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CONOR WORK\HRF\"/>
    </mc:Choice>
  </mc:AlternateContent>
  <xr:revisionPtr revIDLastSave="0" documentId="8_{FE4654F2-B50A-4406-AEE4-D58782979DFC}" xr6:coauthVersionLast="46" xr6:coauthVersionMax="46" xr10:uidLastSave="{00000000-0000-0000-0000-000000000000}"/>
  <bookViews>
    <workbookView xWindow="-120" yWindow="-120" windowWidth="24240" windowHeight="13140" activeTab="6" xr2:uid="{00000000-000D-0000-FFFF-FFFF00000000}"/>
  </bookViews>
  <sheets>
    <sheet name="Front" sheetId="1" r:id="rId1"/>
    <sheet name="Content" sheetId="3" r:id="rId2"/>
    <sheet name="Service Description" sheetId="8" r:id="rId3"/>
    <sheet name="GenAss" sheetId="2" r:id="rId4"/>
    <sheet name="Totals and Scenarios" sheetId="4" r:id="rId5"/>
    <sheet name="Oursourcing" sheetId="5" r:id="rId6"/>
    <sheet name="Insourcing" sheetId="6" r:id="rId7"/>
    <sheet name="data" sheetId="7"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4" l="1"/>
  <c r="D21" i="4"/>
  <c r="C23" i="4"/>
  <c r="D23" i="4"/>
  <c r="B23" i="4"/>
  <c r="B21" i="4"/>
  <c r="E13" i="7"/>
  <c r="F13" i="7"/>
  <c r="D13" i="7"/>
  <c r="B57" i="6"/>
  <c r="C20" i="2"/>
  <c r="D20" i="2" s="1"/>
  <c r="D57" i="6" s="1"/>
  <c r="C56" i="6"/>
  <c r="B56" i="6"/>
  <c r="C19" i="2"/>
  <c r="D19" i="2" s="1"/>
  <c r="D56" i="6" s="1"/>
  <c r="B55" i="6"/>
  <c r="B58" i="6" s="1"/>
  <c r="C31" i="6"/>
  <c r="D31" i="6"/>
  <c r="B31" i="6"/>
  <c r="D17" i="2"/>
  <c r="C17" i="2"/>
  <c r="C66" i="6"/>
  <c r="D66" i="6"/>
  <c r="C67" i="6"/>
  <c r="D67" i="6"/>
  <c r="C68" i="6"/>
  <c r="D68" i="6"/>
  <c r="C69" i="6"/>
  <c r="D69" i="6"/>
  <c r="B69" i="6"/>
  <c r="B68" i="6"/>
  <c r="B67" i="6"/>
  <c r="B66" i="6"/>
  <c r="C55" i="6" l="1"/>
  <c r="C57" i="6"/>
  <c r="D55" i="6"/>
  <c r="D58" i="6" s="1"/>
  <c r="B70" i="6"/>
  <c r="D70" i="6"/>
  <c r="C70" i="6"/>
  <c r="C58" i="6" l="1"/>
  <c r="C11" i="4"/>
  <c r="D11" i="4"/>
  <c r="B11" i="4"/>
  <c r="B30" i="2" l="1"/>
  <c r="C28" i="2"/>
  <c r="D28" i="2" s="1"/>
  <c r="C29" i="2"/>
  <c r="D29" i="2" s="1"/>
  <c r="C62" i="6"/>
  <c r="C64" i="6" s="1"/>
  <c r="C71" i="6" s="1"/>
  <c r="C10" i="6" s="1"/>
  <c r="C36" i="4" s="1"/>
  <c r="D62" i="6"/>
  <c r="D64" i="6" s="1"/>
  <c r="D71" i="6" s="1"/>
  <c r="D10" i="6" s="1"/>
  <c r="D36" i="4" s="1"/>
  <c r="B33" i="6"/>
  <c r="B63" i="6" s="1"/>
  <c r="B32" i="6"/>
  <c r="B62" i="6" s="1"/>
  <c r="B64" i="6" l="1"/>
  <c r="B71" i="6" s="1"/>
  <c r="B10" i="6" s="1"/>
  <c r="C4" i="6"/>
  <c r="C30" i="4" s="1"/>
  <c r="D4" i="6"/>
  <c r="D30" i="4" s="1"/>
  <c r="B4" i="6" l="1"/>
  <c r="B30" i="4" s="1"/>
  <c r="B36" i="4"/>
  <c r="C48" i="6"/>
  <c r="D48" i="6"/>
  <c r="B45" i="6"/>
  <c r="B46" i="6"/>
  <c r="B48" i="6"/>
  <c r="B49" i="6"/>
  <c r="B44" i="6"/>
  <c r="B50" i="6" l="1"/>
  <c r="B8" i="6" s="1"/>
  <c r="D12" i="2"/>
  <c r="C12" i="2"/>
  <c r="B12" i="2"/>
  <c r="D21" i="6"/>
  <c r="C21" i="6"/>
  <c r="C22" i="6" s="1"/>
  <c r="B21" i="6"/>
  <c r="D20" i="6"/>
  <c r="C20" i="6"/>
  <c r="B20" i="6"/>
  <c r="D18" i="6"/>
  <c r="D53" i="6" s="1"/>
  <c r="C18" i="6"/>
  <c r="C53" i="6" s="1"/>
  <c r="B18" i="6"/>
  <c r="B53" i="6" s="1"/>
  <c r="B18" i="5"/>
  <c r="C18" i="5"/>
  <c r="D18" i="5"/>
  <c r="B20" i="5"/>
  <c r="C20" i="5"/>
  <c r="C22" i="5" s="1"/>
  <c r="D20" i="5"/>
  <c r="D22" i="5" s="1"/>
  <c r="B21" i="5"/>
  <c r="B30" i="5" s="1"/>
  <c r="C21" i="5"/>
  <c r="D21" i="5"/>
  <c r="D30" i="5" s="1"/>
  <c r="C26" i="5"/>
  <c r="B29" i="5"/>
  <c r="C27" i="5"/>
  <c r="D27" i="5" s="1"/>
  <c r="B28" i="5"/>
  <c r="D9" i="7"/>
  <c r="D10" i="7"/>
  <c r="C11" i="7"/>
  <c r="D11" i="7" s="1"/>
  <c r="C26" i="2"/>
  <c r="C27" i="2"/>
  <c r="C30" i="2"/>
  <c r="C25" i="2"/>
  <c r="C44" i="6" s="1"/>
  <c r="C5" i="7"/>
  <c r="D5" i="7" s="1"/>
  <c r="C4" i="7"/>
  <c r="D4" i="7" s="1"/>
  <c r="B6" i="7"/>
  <c r="C6" i="7" s="1"/>
  <c r="C30" i="5" l="1"/>
  <c r="C28" i="5"/>
  <c r="B22" i="5"/>
  <c r="B34" i="4"/>
  <c r="D22" i="6"/>
  <c r="B22" i="6"/>
  <c r="D30" i="2"/>
  <c r="D49" i="6" s="1"/>
  <c r="C49" i="6"/>
  <c r="D27" i="2"/>
  <c r="D46" i="6" s="1"/>
  <c r="C46" i="6"/>
  <c r="D26" i="2"/>
  <c r="D45" i="6" s="1"/>
  <c r="C45" i="6"/>
  <c r="D25" i="2"/>
  <c r="D44" i="6" s="1"/>
  <c r="D26" i="5"/>
  <c r="C29" i="5"/>
  <c r="C9" i="5" s="1"/>
  <c r="B9" i="5"/>
  <c r="D6" i="7"/>
  <c r="B11" i="5" l="1"/>
  <c r="B24" i="4" s="1"/>
  <c r="B22" i="4"/>
  <c r="C11" i="5"/>
  <c r="C24" i="4" s="1"/>
  <c r="C22" i="4"/>
  <c r="C50" i="6"/>
  <c r="C8" i="6" s="1"/>
  <c r="D50" i="6"/>
  <c r="D8" i="6" s="1"/>
  <c r="D34" i="4" s="1"/>
  <c r="C3" i="5"/>
  <c r="D28" i="5"/>
  <c r="D29" i="5"/>
  <c r="D9" i="5" s="1"/>
  <c r="D22" i="4" s="1"/>
  <c r="B3" i="5"/>
  <c r="B5" i="5" l="1"/>
  <c r="B52" i="6" s="1"/>
  <c r="B59" i="6" s="1"/>
  <c r="B9" i="6" s="1"/>
  <c r="B16" i="4"/>
  <c r="B18" i="4" s="1"/>
  <c r="B3" i="4" s="1"/>
  <c r="C5" i="5"/>
  <c r="C52" i="6" s="1"/>
  <c r="C59" i="6" s="1"/>
  <c r="C9" i="6" s="1"/>
  <c r="C35" i="4" s="1"/>
  <c r="C16" i="4"/>
  <c r="C18" i="4" s="1"/>
  <c r="C3" i="4" s="1"/>
  <c r="C34" i="4"/>
  <c r="C3" i="6"/>
  <c r="D11" i="5"/>
  <c r="D24" i="4" s="1"/>
  <c r="D3" i="5"/>
  <c r="D5" i="5" l="1"/>
  <c r="D52" i="6" s="1"/>
  <c r="D59" i="6" s="1"/>
  <c r="D9" i="6" s="1"/>
  <c r="D16" i="4"/>
  <c r="D18" i="4" s="1"/>
  <c r="D3" i="4" s="1"/>
  <c r="C11" i="6"/>
  <c r="C37" i="4" s="1"/>
  <c r="B35" i="4"/>
  <c r="B11" i="6"/>
  <c r="B37" i="4" s="1"/>
  <c r="B3" i="6"/>
  <c r="C5" i="6"/>
  <c r="C31" i="4" s="1"/>
  <c r="C4" i="4" s="1"/>
  <c r="C5" i="4" s="1"/>
  <c r="C29" i="4"/>
  <c r="B5" i="6" l="1"/>
  <c r="B31" i="4" s="1"/>
  <c r="B4" i="4" s="1"/>
  <c r="B5" i="4" s="1"/>
  <c r="B29" i="4"/>
  <c r="D35" i="4"/>
  <c r="D3" i="6"/>
  <c r="D11" i="6"/>
  <c r="D37" i="4" s="1"/>
  <c r="D5" i="6" l="1"/>
  <c r="D31" i="4" s="1"/>
  <c r="D4" i="4" s="1"/>
  <c r="D5" i="4" s="1"/>
  <c r="D29" i="4"/>
</calcChain>
</file>

<file path=xl/sharedStrings.xml><?xml version="1.0" encoding="utf-8"?>
<sst xmlns="http://schemas.openxmlformats.org/spreadsheetml/2006/main" count="199" uniqueCount="116">
  <si>
    <t>Contents</t>
  </si>
  <si>
    <t>Sheet Name</t>
  </si>
  <si>
    <t>Description</t>
  </si>
  <si>
    <t>Service Descriptions</t>
  </si>
  <si>
    <t>General Assumptions</t>
  </si>
  <si>
    <t>Summary of general assumptions</t>
  </si>
  <si>
    <t>Notes</t>
  </si>
  <si>
    <t>Changing assumptions</t>
  </si>
  <si>
    <t xml:space="preserve">If a number is in a clear cell or a yellow cell   then it is a calculated amount based on the assumptions in the blue cells. The clear or yellow cells must not be 'over-typed' as they contain formulae (this will not be possible so long as the locked status of the spread sheets it maintained). </t>
  </si>
  <si>
    <t xml:space="preserve">As a general rule: if a number is in a blue cell then it is a variable that can be changed by the user. These cells contain conditional formatting that results in them being highlighted green   if the user changes the variable. This is to allow for easy tracking of scenario changes. </t>
  </si>
  <si>
    <t>OUTSOURCING</t>
  </si>
  <si>
    <t>MTEF</t>
  </si>
  <si>
    <t>Items</t>
  </si>
  <si>
    <t>COE</t>
  </si>
  <si>
    <t>OTHER</t>
  </si>
  <si>
    <t>CAPITAL</t>
  </si>
  <si>
    <t>TOTAL</t>
  </si>
  <si>
    <t>DEMAND</t>
  </si>
  <si>
    <t>OPERATIONAL COSTS</t>
  </si>
  <si>
    <t>STARTING UP COSTS</t>
  </si>
  <si>
    <t>Acute chronic patients</t>
  </si>
  <si>
    <t>Chronic patients</t>
  </si>
  <si>
    <t>Number of cute chronic patients</t>
  </si>
  <si>
    <t>Number of chronic patients</t>
  </si>
  <si>
    <t>Total number of patients</t>
  </si>
  <si>
    <t>Number of patients</t>
  </si>
  <si>
    <t>Sessions</t>
  </si>
  <si>
    <t>Total sessions</t>
  </si>
  <si>
    <t>monthly</t>
  </si>
  <si>
    <t>Acute chronic patients @5 per month</t>
  </si>
  <si>
    <t>Chronic patients @11 per month</t>
  </si>
  <si>
    <t>Costs</t>
  </si>
  <si>
    <t>Financial Assumptions</t>
  </si>
  <si>
    <t>Inflation</t>
  </si>
  <si>
    <t>Salary increases in base line budget per annum</t>
  </si>
  <si>
    <t>Nephrologist Specialist</t>
  </si>
  <si>
    <t>Biomedical Renal Technologist</t>
  </si>
  <si>
    <t>Nephrology nurse</t>
  </si>
  <si>
    <t>Medical Officer</t>
  </si>
  <si>
    <t>2018/18</t>
  </si>
  <si>
    <t>Annual</t>
  </si>
  <si>
    <t>BASELINE</t>
  </si>
  <si>
    <t>Dialysis rates  per busines plan</t>
  </si>
  <si>
    <t>Dialysis Rates</t>
  </si>
  <si>
    <t xml:space="preserve"> Total patient rates</t>
  </si>
  <si>
    <t>Cost of chronic patients</t>
  </si>
  <si>
    <t>Cost of acute patients</t>
  </si>
  <si>
    <t>R</t>
  </si>
  <si>
    <t>Patient numbers are contant due to inactive transplate programme</t>
  </si>
  <si>
    <t>Compensation</t>
  </si>
  <si>
    <t>Number of staff required as per draft business plan</t>
  </si>
  <si>
    <t>Operational Manager</t>
  </si>
  <si>
    <t>Other</t>
  </si>
  <si>
    <t>Nephrology nursing assistance</t>
  </si>
  <si>
    <t>Medical supplies-Consumables for acute and chronic</t>
  </si>
  <si>
    <t>Medical Supplies % of outsourced amount</t>
  </si>
  <si>
    <t>Number haemodialysis machines</t>
  </si>
  <si>
    <t>Acute Haemodialysis machines</t>
  </si>
  <si>
    <t>Starting up  costs</t>
  </si>
  <si>
    <t>Category of staff at salary level</t>
  </si>
  <si>
    <t>Chronic Haemodialysis machines</t>
  </si>
  <si>
    <t>Setting up costs  per busines plan</t>
  </si>
  <si>
    <t>Dialysis chair</t>
  </si>
  <si>
    <t>Number of Dialysis chairs</t>
  </si>
  <si>
    <t>Haemodialysis machine</t>
  </si>
  <si>
    <t xml:space="preserve"> Dialysis chairs</t>
  </si>
  <si>
    <t>Cost of Dialysis chairs</t>
  </si>
  <si>
    <t>Cost of  haemodialysis machine</t>
  </si>
  <si>
    <t>Total Compensation</t>
  </si>
  <si>
    <t>Medical equipment</t>
  </si>
  <si>
    <t>Total medical equipment</t>
  </si>
  <si>
    <t>Medical infrastructure</t>
  </si>
  <si>
    <t xml:space="preserve">Installation of UPS </t>
  </si>
  <si>
    <t xml:space="preserve">installation of a static water purification system </t>
  </si>
  <si>
    <t>Number of medical infrastructure</t>
  </si>
  <si>
    <t>Modification of pipes for cubicles</t>
  </si>
  <si>
    <t>Installation plugs for cubicles</t>
  </si>
  <si>
    <t>Medical infrastructure rates</t>
  </si>
  <si>
    <t>Total medical Infrastructure</t>
  </si>
  <si>
    <t>Total set up costs</t>
  </si>
  <si>
    <t xml:space="preserve">Total other </t>
  </si>
  <si>
    <t>In patient support services</t>
  </si>
  <si>
    <t>In patient support services( as HIV facility will be used for this purpose)</t>
  </si>
  <si>
    <t>Training all relevant healthcare professionals</t>
  </si>
  <si>
    <t>Training manuals for nurses @ 110 each</t>
  </si>
  <si>
    <t>Training manuals</t>
  </si>
  <si>
    <t>Total number of staff</t>
  </si>
  <si>
    <t>Facilitor is at no cost as a Nephrologist from Steve Biko shall be providng the trainin</t>
  </si>
  <si>
    <t>Accommodation for facilitator</t>
  </si>
  <si>
    <t>Amounts are in Rand value</t>
  </si>
  <si>
    <t>Accommodation at per nite</t>
  </si>
  <si>
    <t>Number of trainings required( once per quarter)</t>
  </si>
  <si>
    <t>Duration of training</t>
  </si>
  <si>
    <t>Return flight</t>
  </si>
  <si>
    <t>Return flight ticket</t>
  </si>
  <si>
    <t>Total training costs for healthcare professionals</t>
  </si>
  <si>
    <t>Total and Scenarios</t>
  </si>
  <si>
    <t>Descriptions of the Acute and Chronic services that the model covers</t>
  </si>
  <si>
    <t>Summary of all costs (Outsourcing, Insourcing) andTotal and Scenarios.</t>
  </si>
  <si>
    <t>Assumptions</t>
  </si>
  <si>
    <t>SUMMARY</t>
  </si>
  <si>
    <t>INSOURCING</t>
  </si>
  <si>
    <t>Description of the services that are costed</t>
  </si>
  <si>
    <t>Reviewing the cost of outsourcing the acute and chronic Haemodialysis services</t>
  </si>
  <si>
    <t>Costing the cost of establishing an acute and chronic haemodialysis services</t>
  </si>
  <si>
    <t>Expenditure and Performance Review</t>
  </si>
  <si>
    <t>Costing Model</t>
  </si>
  <si>
    <t>Model developed by 
Lindokuhle Mnisi</t>
  </si>
  <si>
    <t>First Draft</t>
  </si>
  <si>
    <t>18 April 2019</t>
  </si>
  <si>
    <t>Model developed for the 
Rob Ferreira Hospital</t>
  </si>
  <si>
    <r>
      <t xml:space="preserve">DD: BUDGET 
</t>
    </r>
    <r>
      <rPr>
        <b/>
        <i/>
        <sz val="9"/>
        <rFont val="Times New Roman"/>
        <family val="1"/>
      </rPr>
      <t>Mpumalanga Deaprtment of Health</t>
    </r>
  </si>
  <si>
    <t>Cell:083 667 9150</t>
  </si>
  <si>
    <t>Email: lindokuhlem@mouhealth.gov.za</t>
  </si>
  <si>
    <t>Etablishing the cost of establishing acute and chronic haemodialysis services inhouse</t>
  </si>
  <si>
    <t>SAVINGS/(DEFICIT)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</si>
</sst>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b/>
      <sz val="14"/>
      <color theme="1"/>
      <name val="Arial"/>
      <family val="2"/>
    </font>
    <font>
      <b/>
      <u/>
      <sz val="14"/>
      <color theme="1"/>
      <name val="Calibri"/>
      <family val="2"/>
      <scheme val="minor"/>
    </font>
    <font>
      <b/>
      <sz val="11"/>
      <color rgb="FF000000"/>
      <name val="Arial"/>
      <family val="2"/>
    </font>
    <font>
      <sz val="9"/>
      <color theme="1"/>
      <name val="Arial"/>
      <family val="2"/>
    </font>
    <font>
      <i/>
      <sz val="11"/>
      <color theme="1"/>
      <name val="Calibri"/>
      <family val="2"/>
      <scheme val="minor"/>
    </font>
    <font>
      <b/>
      <sz val="11"/>
      <color theme="4" tint="-0.249977111117893"/>
      <name val="Calibri"/>
      <family val="2"/>
      <scheme val="minor"/>
    </font>
    <font>
      <b/>
      <sz val="16"/>
      <color theme="1"/>
      <name val="Arial"/>
      <family val="2"/>
    </font>
    <font>
      <sz val="11"/>
      <color theme="9"/>
      <name val="Calibri"/>
      <family val="2"/>
      <scheme val="minor"/>
    </font>
    <font>
      <b/>
      <sz val="20"/>
      <color theme="1"/>
      <name val="Arial"/>
      <family val="2"/>
    </font>
    <font>
      <sz val="10"/>
      <color theme="1"/>
      <name val="Arial"/>
      <family val="2"/>
    </font>
    <font>
      <b/>
      <i/>
      <sz val="11"/>
      <color theme="4" tint="-0.249977111117893"/>
      <name val="Arial"/>
      <family val="2"/>
    </font>
    <font>
      <b/>
      <sz val="14"/>
      <color rgb="FFFF0000"/>
      <name val="Times New Roman"/>
      <family val="1"/>
    </font>
    <font>
      <sz val="9"/>
      <name val="Times New Roman"/>
      <family val="1"/>
    </font>
    <font>
      <i/>
      <sz val="9"/>
      <name val="Times New Roman"/>
      <family val="1"/>
    </font>
    <font>
      <b/>
      <i/>
      <sz val="9"/>
      <name val="Times New Roman"/>
      <family val="1"/>
    </font>
    <font>
      <sz val="8"/>
      <name val="Times New Roman"/>
      <family val="1"/>
    </font>
    <font>
      <sz val="11"/>
      <color theme="7"/>
      <name val="Calibri"/>
      <family val="2"/>
      <scheme val="minor"/>
    </font>
    <font>
      <b/>
      <sz val="22"/>
      <color theme="7"/>
      <name val="Times New Roman"/>
      <family val="1"/>
    </font>
    <font>
      <sz val="11"/>
      <color theme="5" tint="-0.249977111117893"/>
      <name val="Calibri"/>
      <family val="2"/>
      <scheme val="minor"/>
    </font>
    <font>
      <b/>
      <i/>
      <sz val="14"/>
      <color theme="7" tint="-0.499984740745262"/>
      <name val="Arial"/>
      <family val="2"/>
    </font>
    <font>
      <b/>
      <i/>
      <sz val="22"/>
      <color theme="9"/>
      <name val="Times New Roman"/>
      <family val="1"/>
    </font>
    <font>
      <b/>
      <sz val="10"/>
      <color theme="8" tint="-0.249977111117893"/>
      <name val="Times New Roman"/>
      <family val="1"/>
    </font>
    <font>
      <sz val="11"/>
      <color theme="5" tint="-0.249977111117893"/>
      <name val="Times New Roman"/>
      <family val="1"/>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249977111117893"/>
        <bgColor rgb="FF000000"/>
      </patternFill>
    </fill>
    <fill>
      <patternFill patternType="solid">
        <fgColor theme="4" tint="-0.249977111117893"/>
        <bgColor indexed="64"/>
      </patternFill>
    </fill>
    <fill>
      <patternFill patternType="solid">
        <fgColor theme="9" tint="0.39997558519241921"/>
        <bgColor indexed="64"/>
      </patternFill>
    </fill>
    <fill>
      <patternFill patternType="solid">
        <fgColor indexed="9"/>
        <bgColor indexed="64"/>
      </patternFill>
    </fill>
  </fills>
  <borders count="3">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4" fillId="0" borderId="0" xfId="0" applyFont="1"/>
    <xf numFmtId="0" fontId="5" fillId="0" borderId="0" xfId="0" applyFont="1"/>
    <xf numFmtId="0" fontId="3" fillId="0" borderId="0" xfId="0" applyFont="1"/>
    <xf numFmtId="0" fontId="0" fillId="2" borderId="0" xfId="0" applyFill="1"/>
    <xf numFmtId="0" fontId="0" fillId="3" borderId="0" xfId="0" applyFill="1"/>
    <xf numFmtId="0" fontId="0" fillId="4" borderId="0" xfId="0" applyFill="1"/>
    <xf numFmtId="0" fontId="6" fillId="0" borderId="0" xfId="0" applyFont="1"/>
    <xf numFmtId="0" fontId="3" fillId="5" borderId="0" xfId="0" applyFont="1" applyFill="1"/>
    <xf numFmtId="0" fontId="0" fillId="0" borderId="1" xfId="0" applyBorder="1"/>
    <xf numFmtId="0" fontId="0" fillId="4" borderId="1" xfId="0" applyFill="1" applyBorder="1"/>
    <xf numFmtId="0" fontId="3" fillId="2" borderId="0" xfId="0" applyFont="1" applyFill="1"/>
    <xf numFmtId="0" fontId="0" fillId="0" borderId="0" xfId="0" applyAlignment="1">
      <alignment horizontal="left" indent="1"/>
    </xf>
    <xf numFmtId="0" fontId="3" fillId="4" borderId="0" xfId="0" applyFont="1" applyFill="1"/>
    <xf numFmtId="0" fontId="0" fillId="0" borderId="0" xfId="0" applyFont="1" applyAlignment="1">
      <alignment horizontal="left"/>
    </xf>
    <xf numFmtId="0" fontId="0" fillId="0" borderId="0" xfId="0" applyAlignment="1">
      <alignment horizontal="left"/>
    </xf>
    <xf numFmtId="0" fontId="8" fillId="0" borderId="0" xfId="0" applyFont="1" applyAlignment="1" applyProtection="1">
      <alignment horizontal="left" vertical="center" indent="2"/>
    </xf>
    <xf numFmtId="165" fontId="0" fillId="0" borderId="0" xfId="1" applyNumberFormat="1" applyFont="1"/>
    <xf numFmtId="165" fontId="0" fillId="4" borderId="0" xfId="1" applyNumberFormat="1" applyFont="1" applyFill="1"/>
    <xf numFmtId="165" fontId="0" fillId="3" borderId="0" xfId="1" applyNumberFormat="1" applyFont="1" applyFill="1"/>
    <xf numFmtId="165" fontId="3" fillId="4" borderId="0" xfId="1" applyNumberFormat="1" applyFont="1" applyFill="1"/>
    <xf numFmtId="0" fontId="0" fillId="0" borderId="0" xfId="0" quotePrefix="1" applyAlignment="1">
      <alignment horizontal="left" indent="3"/>
    </xf>
    <xf numFmtId="0" fontId="0" fillId="0" borderId="0" xfId="0" applyAlignment="1">
      <alignment horizontal="left" indent="2"/>
    </xf>
    <xf numFmtId="165" fontId="0" fillId="4" borderId="0" xfId="0" applyNumberFormat="1" applyFill="1"/>
    <xf numFmtId="165" fontId="0" fillId="4" borderId="1" xfId="0" applyNumberFormat="1" applyFill="1" applyBorder="1"/>
    <xf numFmtId="165" fontId="0" fillId="4" borderId="1" xfId="1" applyNumberFormat="1" applyFont="1" applyFill="1" applyBorder="1"/>
    <xf numFmtId="0" fontId="2" fillId="0" borderId="0" xfId="0" applyFont="1" applyAlignment="1">
      <alignment horizontal="left" indent="1"/>
    </xf>
    <xf numFmtId="9" fontId="0" fillId="3" borderId="0" xfId="2" applyFont="1" applyFill="1"/>
    <xf numFmtId="0" fontId="9" fillId="0" borderId="0" xfId="0" applyFont="1" applyAlignment="1">
      <alignment horizontal="left" indent="1"/>
    </xf>
    <xf numFmtId="165" fontId="9" fillId="4" borderId="0" xfId="1" applyNumberFormat="1" applyFont="1" applyFill="1"/>
    <xf numFmtId="0" fontId="3" fillId="0" borderId="0" xfId="0" applyFont="1" applyAlignment="1">
      <alignment horizontal="left"/>
    </xf>
    <xf numFmtId="0" fontId="7" fillId="6" borderId="0" xfId="0" applyFont="1" applyFill="1" applyBorder="1" applyProtection="1"/>
    <xf numFmtId="0" fontId="9" fillId="0" borderId="0" xfId="0" applyFont="1" applyAlignment="1">
      <alignment horizontal="left" indent="2"/>
    </xf>
    <xf numFmtId="164" fontId="0" fillId="3" borderId="0" xfId="0" applyNumberFormat="1" applyFill="1"/>
    <xf numFmtId="0" fontId="0" fillId="3" borderId="0" xfId="0" quotePrefix="1" applyFill="1" applyAlignment="1">
      <alignment horizontal="left" indent="3"/>
    </xf>
    <xf numFmtId="0" fontId="0" fillId="3" borderId="0" xfId="0" applyFill="1" applyAlignment="1">
      <alignment horizontal="left" wrapText="1"/>
    </xf>
    <xf numFmtId="0" fontId="0" fillId="4" borderId="0" xfId="0" applyFill="1" applyAlignment="1">
      <alignment wrapText="1"/>
    </xf>
    <xf numFmtId="0" fontId="10" fillId="0" borderId="0" xfId="0" applyFont="1"/>
    <xf numFmtId="0" fontId="11" fillId="7" borderId="0" xfId="0" applyFont="1" applyFill="1" applyBorder="1" applyAlignment="1" applyProtection="1">
      <alignment vertical="top"/>
    </xf>
    <xf numFmtId="165" fontId="0" fillId="8" borderId="1" xfId="1" applyNumberFormat="1" applyFont="1" applyFill="1" applyBorder="1"/>
    <xf numFmtId="0" fontId="13" fillId="0" borderId="0" xfId="0" applyFont="1" applyFill="1"/>
    <xf numFmtId="0" fontId="14" fillId="0" borderId="0" xfId="0" applyFont="1" applyFill="1"/>
    <xf numFmtId="0" fontId="15" fillId="0" borderId="0" xfId="0" applyFont="1" applyAlignment="1">
      <alignment vertical="center" wrapText="1"/>
    </xf>
    <xf numFmtId="0" fontId="0" fillId="9" borderId="0" xfId="0" applyFill="1" applyBorder="1"/>
    <xf numFmtId="0" fontId="0" fillId="0" borderId="0" xfId="0" applyFill="1"/>
    <xf numFmtId="0" fontId="16" fillId="0" borderId="0" xfId="0" applyFont="1" applyFill="1" applyBorder="1" applyAlignment="1">
      <alignment horizontal="center"/>
    </xf>
    <xf numFmtId="0" fontId="20" fillId="9" borderId="0" xfId="0" applyFont="1" applyFill="1" applyAlignment="1">
      <alignment horizontal="left"/>
    </xf>
    <xf numFmtId="0" fontId="21" fillId="0" borderId="0" xfId="0" applyFont="1"/>
    <xf numFmtId="0" fontId="22" fillId="9" borderId="0" xfId="0" applyFont="1" applyFill="1" applyBorder="1" applyAlignment="1">
      <alignment horizontal="center"/>
    </xf>
    <xf numFmtId="0" fontId="23" fillId="0" borderId="0" xfId="0" applyFont="1"/>
    <xf numFmtId="0" fontId="12" fillId="0" borderId="0" xfId="0" applyFont="1"/>
    <xf numFmtId="0" fontId="25" fillId="9" borderId="0" xfId="0" applyFont="1" applyFill="1" applyBorder="1" applyAlignment="1">
      <alignment horizontal="center"/>
    </xf>
    <xf numFmtId="49" fontId="27" fillId="9" borderId="0" xfId="0" applyNumberFormat="1" applyFont="1" applyFill="1" applyBorder="1" applyAlignment="1">
      <alignment horizontal="center"/>
    </xf>
    <xf numFmtId="0" fontId="28" fillId="0" borderId="0" xfId="0" applyFont="1" applyAlignment="1">
      <alignment horizontal="left" indent="1"/>
    </xf>
    <xf numFmtId="165" fontId="0" fillId="0" borderId="2" xfId="1" applyNumberFormat="1" applyFont="1" applyFill="1" applyBorder="1"/>
    <xf numFmtId="0" fontId="26" fillId="9" borderId="1" xfId="0" applyFont="1" applyFill="1" applyBorder="1" applyAlignment="1">
      <alignment horizontal="center" wrapText="1"/>
    </xf>
    <xf numFmtId="0" fontId="17" fillId="9" borderId="0" xfId="0" applyFont="1" applyFill="1" applyBorder="1" applyAlignment="1">
      <alignment horizontal="left" vertical="top" wrapText="1"/>
    </xf>
    <xf numFmtId="0" fontId="17" fillId="9" borderId="0" xfId="0" applyFont="1" applyFill="1" applyBorder="1" applyAlignment="1">
      <alignment horizontal="left" vertical="top"/>
    </xf>
    <xf numFmtId="0" fontId="18" fillId="9" borderId="0" xfId="0" applyFont="1" applyFill="1" applyBorder="1" applyAlignment="1">
      <alignment horizontal="left" vertical="top" wrapText="1"/>
    </xf>
    <xf numFmtId="0" fontId="24" fillId="0" borderId="0" xfId="0" applyFont="1" applyAlignment="1">
      <alignment horizontal="center" vertical="center" wrapText="1"/>
    </xf>
    <xf numFmtId="0" fontId="2" fillId="0" borderId="0" xfId="0" applyFont="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457200</xdr:colOff>
      <xdr:row>10</xdr:row>
      <xdr:rowOff>411480</xdr:rowOff>
    </xdr:from>
    <xdr:to>
      <xdr:col>7</xdr:col>
      <xdr:colOff>365760</xdr:colOff>
      <xdr:row>13</xdr:row>
      <xdr:rowOff>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0" y="3337560"/>
          <a:ext cx="2346960" cy="876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3:L15"/>
  <sheetViews>
    <sheetView showGridLines="0" topLeftCell="A4" workbookViewId="0">
      <selection activeCell="L11" sqref="L11"/>
    </sheetView>
  </sheetViews>
  <sheetFormatPr defaultRowHeight="15" x14ac:dyDescent="0.25"/>
  <sheetData>
    <row r="3" spans="5:12" ht="27" x14ac:dyDescent="0.35">
      <c r="E3" s="50"/>
      <c r="F3" s="50"/>
      <c r="G3" s="50"/>
      <c r="H3" s="51" t="s">
        <v>105</v>
      </c>
      <c r="I3" s="50"/>
      <c r="J3" s="50"/>
      <c r="K3" s="50"/>
      <c r="L3" s="50"/>
    </row>
    <row r="5" spans="5:12" ht="69.599999999999994" customHeight="1" x14ac:dyDescent="0.25">
      <c r="E5" s="42"/>
      <c r="F5" s="59" t="s">
        <v>114</v>
      </c>
      <c r="G5" s="59"/>
      <c r="H5" s="59"/>
      <c r="I5" s="59"/>
      <c r="J5" s="59"/>
      <c r="K5" s="42"/>
    </row>
    <row r="6" spans="5:12" ht="28.7" customHeight="1" x14ac:dyDescent="0.35">
      <c r="G6" s="47"/>
      <c r="H6" s="48" t="s">
        <v>106</v>
      </c>
      <c r="I6" s="47"/>
    </row>
    <row r="7" spans="5:12" x14ac:dyDescent="0.25">
      <c r="H7" s="43"/>
    </row>
    <row r="8" spans="5:12" ht="18.75" x14ac:dyDescent="0.3">
      <c r="G8" s="44"/>
      <c r="H8" s="45" t="s">
        <v>108</v>
      </c>
      <c r="I8" s="44"/>
    </row>
    <row r="9" spans="5:12" x14ac:dyDescent="0.25">
      <c r="G9" s="49"/>
      <c r="H9" s="52" t="s">
        <v>109</v>
      </c>
      <c r="I9" s="49"/>
    </row>
    <row r="10" spans="5:12" ht="15.75" thickBot="1" x14ac:dyDescent="0.3">
      <c r="E10" s="55" t="s">
        <v>110</v>
      </c>
      <c r="F10" s="55"/>
      <c r="G10" s="55"/>
      <c r="H10" s="55"/>
      <c r="I10" s="55"/>
      <c r="J10" s="55"/>
      <c r="K10" s="55"/>
    </row>
    <row r="11" spans="5:12" ht="42" customHeight="1" x14ac:dyDescent="0.25"/>
    <row r="12" spans="5:12" ht="35.450000000000003" customHeight="1" x14ac:dyDescent="0.25">
      <c r="I12" s="56" t="s">
        <v>107</v>
      </c>
      <c r="J12" s="57"/>
      <c r="K12" s="57"/>
    </row>
    <row r="13" spans="5:12" ht="24" customHeight="1" x14ac:dyDescent="0.25">
      <c r="I13" s="58" t="s">
        <v>111</v>
      </c>
      <c r="J13" s="58"/>
      <c r="K13" s="58"/>
    </row>
    <row r="14" spans="5:12" x14ac:dyDescent="0.25">
      <c r="I14" s="46" t="s">
        <v>112</v>
      </c>
    </row>
    <row r="15" spans="5:12" x14ac:dyDescent="0.25">
      <c r="I15" s="46" t="s">
        <v>113</v>
      </c>
    </row>
  </sheetData>
  <mergeCells count="4">
    <mergeCell ref="E10:K10"/>
    <mergeCell ref="I12:K12"/>
    <mergeCell ref="I13:K13"/>
    <mergeCell ref="F5:J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2"/>
  <sheetViews>
    <sheetView workbookViewId="0">
      <selection activeCell="C20" sqref="C20"/>
    </sheetView>
  </sheetViews>
  <sheetFormatPr defaultRowHeight="15" x14ac:dyDescent="0.25"/>
  <cols>
    <col min="2" max="2" width="19.42578125" bestFit="1" customWidth="1"/>
    <col min="3" max="3" width="71.140625" customWidth="1"/>
  </cols>
  <sheetData>
    <row r="2" spans="2:4" x14ac:dyDescent="0.25">
      <c r="B2" s="3" t="s">
        <v>0</v>
      </c>
      <c r="C2" s="1"/>
    </row>
    <row r="3" spans="2:4" x14ac:dyDescent="0.25">
      <c r="B3" s="3" t="s">
        <v>1</v>
      </c>
      <c r="C3" s="3" t="s">
        <v>2</v>
      </c>
    </row>
    <row r="4" spans="2:4" x14ac:dyDescent="0.25">
      <c r="B4" s="37" t="s">
        <v>3</v>
      </c>
      <c r="C4" s="1" t="s">
        <v>97</v>
      </c>
    </row>
    <row r="5" spans="2:4" x14ac:dyDescent="0.25">
      <c r="B5" s="37" t="s">
        <v>4</v>
      </c>
      <c r="C5" s="1" t="s">
        <v>5</v>
      </c>
    </row>
    <row r="6" spans="2:4" x14ac:dyDescent="0.25">
      <c r="B6" s="37" t="s">
        <v>96</v>
      </c>
      <c r="C6" s="1" t="s">
        <v>98</v>
      </c>
    </row>
    <row r="9" spans="2:4" ht="18" x14ac:dyDescent="0.25">
      <c r="B9" s="2" t="s">
        <v>6</v>
      </c>
    </row>
    <row r="10" spans="2:4" ht="18.75" x14ac:dyDescent="0.3">
      <c r="C10" s="7" t="s">
        <v>7</v>
      </c>
      <c r="D10" s="3"/>
    </row>
    <row r="11" spans="2:4" ht="64.349999999999994" customHeight="1" x14ac:dyDescent="0.25">
      <c r="C11" s="35" t="s">
        <v>9</v>
      </c>
    </row>
    <row r="12" spans="2:4" ht="60" x14ac:dyDescent="0.25">
      <c r="C12" s="36" t="s">
        <v>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5"/>
  <sheetViews>
    <sheetView showGridLines="0" workbookViewId="0">
      <selection activeCell="M20" sqref="M20"/>
    </sheetView>
  </sheetViews>
  <sheetFormatPr defaultRowHeight="15" x14ac:dyDescent="0.25"/>
  <sheetData>
    <row r="2" spans="1:8" ht="26.25" x14ac:dyDescent="0.4">
      <c r="A2" s="40" t="s">
        <v>102</v>
      </c>
      <c r="B2" s="41"/>
    </row>
    <row r="4" spans="1:8" ht="15.75" x14ac:dyDescent="0.25">
      <c r="A4" s="53" t="s">
        <v>103</v>
      </c>
      <c r="B4" s="53"/>
      <c r="C4" s="53"/>
      <c r="D4" s="53"/>
      <c r="E4" s="53"/>
      <c r="F4" s="53"/>
      <c r="G4" s="53"/>
      <c r="H4" s="53"/>
    </row>
    <row r="5" spans="1:8" ht="15.75" x14ac:dyDescent="0.25">
      <c r="A5" s="53" t="s">
        <v>104</v>
      </c>
      <c r="B5" s="53"/>
      <c r="C5" s="53"/>
      <c r="D5" s="53"/>
      <c r="E5" s="53"/>
      <c r="F5" s="53"/>
      <c r="G5" s="53"/>
      <c r="H5" s="5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
  <sheetViews>
    <sheetView workbookViewId="0">
      <selection activeCell="A26" sqref="A26"/>
    </sheetView>
  </sheetViews>
  <sheetFormatPr defaultRowHeight="15" x14ac:dyDescent="0.25"/>
  <cols>
    <col min="1" max="1" width="71.42578125" bestFit="1" customWidth="1"/>
    <col min="2" max="2" width="11.42578125" bestFit="1" customWidth="1"/>
    <col min="3" max="4" width="12.85546875" bestFit="1" customWidth="1"/>
  </cols>
  <sheetData>
    <row r="1" spans="1:4" ht="20.25" x14ac:dyDescent="0.25">
      <c r="A1" s="38" t="s">
        <v>99</v>
      </c>
      <c r="B1" s="11" t="s">
        <v>11</v>
      </c>
      <c r="C1" s="4"/>
      <c r="D1" s="4"/>
    </row>
    <row r="2" spans="1:4" x14ac:dyDescent="0.25">
      <c r="B2" s="11">
        <v>2019</v>
      </c>
      <c r="C2" s="11">
        <v>2020</v>
      </c>
      <c r="D2" s="11">
        <v>2021</v>
      </c>
    </row>
    <row r="3" spans="1:4" x14ac:dyDescent="0.25">
      <c r="A3" s="31" t="s">
        <v>32</v>
      </c>
    </row>
    <row r="4" spans="1:4" x14ac:dyDescent="0.25">
      <c r="A4" s="16" t="s">
        <v>33</v>
      </c>
      <c r="B4" s="33">
        <v>5.5E-2</v>
      </c>
      <c r="C4" s="33">
        <v>5.6000000000000001E-2</v>
      </c>
      <c r="D4" s="33">
        <v>5.3999999999999999E-2</v>
      </c>
    </row>
    <row r="5" spans="1:4" x14ac:dyDescent="0.25">
      <c r="A5" s="16" t="s">
        <v>34</v>
      </c>
      <c r="B5" s="33">
        <v>6.4000000000000001E-2</v>
      </c>
      <c r="C5" s="33">
        <v>6.6000000000000003E-2</v>
      </c>
      <c r="D5" s="33">
        <v>6.4000000000000001E-2</v>
      </c>
    </row>
    <row r="6" spans="1:4" x14ac:dyDescent="0.25">
      <c r="A6" s="22" t="s">
        <v>89</v>
      </c>
      <c r="B6" s="34" t="s">
        <v>47</v>
      </c>
      <c r="C6" s="34" t="s">
        <v>47</v>
      </c>
      <c r="D6" s="34" t="s">
        <v>47</v>
      </c>
    </row>
    <row r="7" spans="1:4" x14ac:dyDescent="0.25">
      <c r="A7" s="22"/>
      <c r="B7" s="21"/>
      <c r="C7" s="21"/>
      <c r="D7" s="21"/>
    </row>
    <row r="8" spans="1:4" x14ac:dyDescent="0.25">
      <c r="A8" s="31" t="s">
        <v>4</v>
      </c>
    </row>
    <row r="9" spans="1:4" x14ac:dyDescent="0.25">
      <c r="A9" t="s">
        <v>48</v>
      </c>
    </row>
    <row r="10" spans="1:4" x14ac:dyDescent="0.25">
      <c r="A10" s="12" t="s">
        <v>20</v>
      </c>
      <c r="B10" s="5">
        <v>17</v>
      </c>
      <c r="C10" s="5">
        <v>17</v>
      </c>
      <c r="D10" s="5">
        <v>17</v>
      </c>
    </row>
    <row r="11" spans="1:4" x14ac:dyDescent="0.25">
      <c r="A11" s="12" t="s">
        <v>21</v>
      </c>
      <c r="B11" s="5">
        <v>44</v>
      </c>
      <c r="C11" s="5">
        <v>44</v>
      </c>
      <c r="D11" s="5">
        <v>44</v>
      </c>
    </row>
    <row r="12" spans="1:4" x14ac:dyDescent="0.25">
      <c r="A12" s="12" t="s">
        <v>24</v>
      </c>
      <c r="B12" s="13">
        <f>SUM(B10:B11)</f>
        <v>61</v>
      </c>
      <c r="C12" s="13">
        <f t="shared" ref="C12:D12" si="0">SUM(C10:C11)</f>
        <v>61</v>
      </c>
      <c r="D12" s="13">
        <f t="shared" si="0"/>
        <v>61</v>
      </c>
    </row>
    <row r="13" spans="1:4" x14ac:dyDescent="0.25">
      <c r="A13" s="12" t="s">
        <v>55</v>
      </c>
      <c r="B13" s="27">
        <v>0.1</v>
      </c>
      <c r="C13" s="27">
        <v>0.1</v>
      </c>
      <c r="D13" s="27">
        <v>0.1</v>
      </c>
    </row>
    <row r="14" spans="1:4" x14ac:dyDescent="0.25">
      <c r="A14" s="12" t="s">
        <v>67</v>
      </c>
      <c r="B14" s="19">
        <v>200000</v>
      </c>
      <c r="C14" s="19">
        <v>0</v>
      </c>
      <c r="D14" s="19">
        <v>0</v>
      </c>
    </row>
    <row r="15" spans="1:4" x14ac:dyDescent="0.25">
      <c r="A15" s="12" t="s">
        <v>66</v>
      </c>
      <c r="B15" s="19">
        <v>100000</v>
      </c>
      <c r="C15" s="19">
        <v>0</v>
      </c>
      <c r="D15" s="19">
        <v>0</v>
      </c>
    </row>
    <row r="16" spans="1:4" x14ac:dyDescent="0.25">
      <c r="A16" s="12" t="s">
        <v>82</v>
      </c>
      <c r="B16" s="19">
        <v>0</v>
      </c>
      <c r="C16" s="19">
        <v>0</v>
      </c>
      <c r="D16" s="19">
        <v>0</v>
      </c>
    </row>
    <row r="17" spans="1:5" x14ac:dyDescent="0.25">
      <c r="A17" s="12" t="s">
        <v>84</v>
      </c>
      <c r="B17" s="19">
        <v>110</v>
      </c>
      <c r="C17" s="18">
        <f>ROUND(B17*1.056,0)</f>
        <v>116</v>
      </c>
      <c r="D17" s="18">
        <f>ROUND(C17*1.056,0)</f>
        <v>122</v>
      </c>
    </row>
    <row r="18" spans="1:5" x14ac:dyDescent="0.25">
      <c r="A18" s="12" t="s">
        <v>87</v>
      </c>
      <c r="B18" s="19">
        <v>0</v>
      </c>
      <c r="C18" s="19">
        <v>0</v>
      </c>
      <c r="D18" s="19">
        <v>0</v>
      </c>
    </row>
    <row r="19" spans="1:5" x14ac:dyDescent="0.25">
      <c r="A19" s="12" t="s">
        <v>90</v>
      </c>
      <c r="B19" s="19">
        <v>1500</v>
      </c>
      <c r="C19" s="18">
        <f>ROUND(B19*1.056,0)</f>
        <v>1584</v>
      </c>
      <c r="D19" s="18">
        <f>ROUND(C19*1.056,0)</f>
        <v>1673</v>
      </c>
    </row>
    <row r="20" spans="1:5" x14ac:dyDescent="0.25">
      <c r="A20" s="12" t="s">
        <v>94</v>
      </c>
      <c r="B20" s="19">
        <v>2986</v>
      </c>
      <c r="C20" s="18">
        <f>ROUND(B20*1.056,0)</f>
        <v>3153</v>
      </c>
      <c r="D20" s="18">
        <f>ROUND(C20*1.056,0)</f>
        <v>3330</v>
      </c>
    </row>
    <row r="21" spans="1:5" x14ac:dyDescent="0.25">
      <c r="A21" s="12"/>
    </row>
    <row r="22" spans="1:5" x14ac:dyDescent="0.25">
      <c r="A22" s="12"/>
    </row>
    <row r="23" spans="1:5" x14ac:dyDescent="0.25">
      <c r="A23" s="12"/>
    </row>
    <row r="24" spans="1:5" x14ac:dyDescent="0.25">
      <c r="A24" s="31" t="s">
        <v>59</v>
      </c>
    </row>
    <row r="25" spans="1:5" x14ac:dyDescent="0.25">
      <c r="A25" t="s">
        <v>35</v>
      </c>
      <c r="B25" s="19">
        <v>1342230</v>
      </c>
      <c r="C25" s="18">
        <f>ROUND(B25*1.066,0)</f>
        <v>1430817</v>
      </c>
      <c r="D25" s="18">
        <f>ROUND(C25*1.064,0)</f>
        <v>1522389</v>
      </c>
    </row>
    <row r="26" spans="1:5" x14ac:dyDescent="0.25">
      <c r="A26" t="s">
        <v>38</v>
      </c>
      <c r="B26" s="19">
        <v>884670</v>
      </c>
      <c r="C26" s="18">
        <f t="shared" ref="C26:C30" si="1">ROUND(B26*1.066,0)</f>
        <v>943058</v>
      </c>
      <c r="D26" s="18">
        <f t="shared" ref="D26:D30" si="2">ROUND(C26*1.064,0)</f>
        <v>1003414</v>
      </c>
    </row>
    <row r="27" spans="1:5" x14ac:dyDescent="0.25">
      <c r="A27" t="s">
        <v>37</v>
      </c>
      <c r="B27" s="19">
        <v>394725</v>
      </c>
      <c r="C27" s="18">
        <f t="shared" si="1"/>
        <v>420777</v>
      </c>
      <c r="D27" s="18">
        <f t="shared" si="2"/>
        <v>447707</v>
      </c>
      <c r="E27" s="54"/>
    </row>
    <row r="28" spans="1:5" x14ac:dyDescent="0.25">
      <c r="A28" t="s">
        <v>53</v>
      </c>
      <c r="B28" s="19">
        <v>136503</v>
      </c>
      <c r="C28" s="18">
        <f t="shared" ref="C28:C29" si="3">ROUND(B28*1.066,0)</f>
        <v>145512</v>
      </c>
      <c r="D28" s="18">
        <f t="shared" ref="D28:D29" si="4">ROUND(C28*1.064,0)</f>
        <v>154825</v>
      </c>
    </row>
    <row r="29" spans="1:5" x14ac:dyDescent="0.25">
      <c r="A29" t="s">
        <v>51</v>
      </c>
      <c r="B29" s="19">
        <v>562800</v>
      </c>
      <c r="C29" s="18">
        <f t="shared" si="3"/>
        <v>599945</v>
      </c>
      <c r="D29" s="18">
        <f t="shared" si="4"/>
        <v>638341</v>
      </c>
    </row>
    <row r="30" spans="1:5" x14ac:dyDescent="0.25">
      <c r="A30" t="s">
        <v>36</v>
      </c>
      <c r="B30" s="19">
        <f>665/2*1000</f>
        <v>332500</v>
      </c>
      <c r="C30" s="18">
        <f t="shared" si="1"/>
        <v>354445</v>
      </c>
      <c r="D30" s="18">
        <f t="shared" si="2"/>
        <v>377129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37"/>
  <sheetViews>
    <sheetView workbookViewId="0">
      <selection sqref="A1:D5"/>
    </sheetView>
  </sheetViews>
  <sheetFormatPr defaultRowHeight="15" x14ac:dyDescent="0.25"/>
  <cols>
    <col min="1" max="1" width="18.5703125" bestFit="1" customWidth="1"/>
    <col min="2" max="4" width="11.140625" bestFit="1" customWidth="1"/>
  </cols>
  <sheetData>
    <row r="1" spans="1:4" x14ac:dyDescent="0.25">
      <c r="A1" s="11" t="s">
        <v>100</v>
      </c>
      <c r="B1" s="11" t="s">
        <v>11</v>
      </c>
      <c r="C1" s="4"/>
      <c r="D1" s="4"/>
    </row>
    <row r="2" spans="1:4" x14ac:dyDescent="0.25">
      <c r="A2" s="4"/>
      <c r="B2" s="11">
        <v>2019</v>
      </c>
      <c r="C2" s="11">
        <v>2020</v>
      </c>
      <c r="D2" s="11">
        <v>2021</v>
      </c>
    </row>
    <row r="3" spans="1:4" ht="17.45" customHeight="1" x14ac:dyDescent="0.25">
      <c r="A3" t="s">
        <v>10</v>
      </c>
      <c r="B3" s="18">
        <f>B18</f>
        <v>14170716</v>
      </c>
      <c r="C3" s="18">
        <f t="shared" ref="C3:D3" si="0">C18</f>
        <v>14962656</v>
      </c>
      <c r="D3" s="18">
        <f t="shared" si="0"/>
        <v>15769272</v>
      </c>
    </row>
    <row r="4" spans="1:4" ht="16.350000000000001" customHeight="1" x14ac:dyDescent="0.25">
      <c r="A4" t="s">
        <v>101</v>
      </c>
      <c r="B4" s="18">
        <f>B31</f>
        <v>9297490.5999999996</v>
      </c>
      <c r="C4" s="18">
        <f t="shared" ref="C4:D4" si="1">C31</f>
        <v>6086861.5999999996</v>
      </c>
      <c r="D4" s="18">
        <f t="shared" si="1"/>
        <v>6461321.2000000002</v>
      </c>
    </row>
    <row r="5" spans="1:4" ht="15.75" thickBot="1" x14ac:dyDescent="0.3">
      <c r="A5" s="9" t="s">
        <v>115</v>
      </c>
      <c r="B5" s="39">
        <f>B3-B4</f>
        <v>4873225.4000000004</v>
      </c>
      <c r="C5" s="39">
        <f t="shared" ref="C5:D5" si="2">C3-C4</f>
        <v>8875794.4000000004</v>
      </c>
      <c r="D5" s="39">
        <f t="shared" si="2"/>
        <v>9307950.8000000007</v>
      </c>
    </row>
    <row r="7" spans="1:4" x14ac:dyDescent="0.25">
      <c r="A7" s="3" t="s">
        <v>12</v>
      </c>
    </row>
    <row r="8" spans="1:4" x14ac:dyDescent="0.25">
      <c r="A8" t="s">
        <v>13</v>
      </c>
      <c r="B8" s="6"/>
      <c r="C8" s="6"/>
      <c r="D8" s="6"/>
    </row>
    <row r="9" spans="1:4" x14ac:dyDescent="0.25">
      <c r="A9" t="s">
        <v>14</v>
      </c>
      <c r="B9" s="23"/>
      <c r="C9" s="23"/>
      <c r="D9" s="23"/>
    </row>
    <row r="10" spans="1:4" x14ac:dyDescent="0.25">
      <c r="A10" t="s">
        <v>15</v>
      </c>
      <c r="B10" s="6"/>
      <c r="C10" s="6"/>
      <c r="D10" s="6"/>
    </row>
    <row r="11" spans="1:4" ht="15.75" thickBot="1" x14ac:dyDescent="0.3">
      <c r="A11" s="9" t="s">
        <v>16</v>
      </c>
      <c r="B11" s="10">
        <f>SUM(B8:B10)</f>
        <v>0</v>
      </c>
      <c r="C11" s="10">
        <f t="shared" ref="C11:D11" si="3">SUM(C8:C10)</f>
        <v>0</v>
      </c>
      <c r="D11" s="10">
        <f t="shared" si="3"/>
        <v>0</v>
      </c>
    </row>
    <row r="14" spans="1:4" x14ac:dyDescent="0.25">
      <c r="A14" s="11" t="s">
        <v>10</v>
      </c>
      <c r="B14" s="11" t="s">
        <v>11</v>
      </c>
      <c r="C14" s="4"/>
      <c r="D14" s="4"/>
    </row>
    <row r="15" spans="1:4" x14ac:dyDescent="0.25">
      <c r="A15" s="4"/>
      <c r="B15" s="11">
        <v>2019</v>
      </c>
      <c r="C15" s="11">
        <v>2020</v>
      </c>
      <c r="D15" s="11">
        <v>2021</v>
      </c>
    </row>
    <row r="16" spans="1:4" x14ac:dyDescent="0.25">
      <c r="A16" t="s">
        <v>18</v>
      </c>
      <c r="B16" s="23">
        <f>Oursourcing!B3</f>
        <v>14170716</v>
      </c>
      <c r="C16" s="23">
        <f>Oursourcing!C3</f>
        <v>14962656</v>
      </c>
      <c r="D16" s="23">
        <f>Oursourcing!D3</f>
        <v>15769272</v>
      </c>
    </row>
    <row r="17" spans="1:4" x14ac:dyDescent="0.25">
      <c r="A17" t="s">
        <v>19</v>
      </c>
      <c r="B17" s="6"/>
      <c r="C17" s="6"/>
      <c r="D17" s="6"/>
    </row>
    <row r="18" spans="1:4" ht="15.75" thickBot="1" x14ac:dyDescent="0.3">
      <c r="A18" s="9" t="s">
        <v>16</v>
      </c>
      <c r="B18" s="24">
        <f>SUM(B16:B17)</f>
        <v>14170716</v>
      </c>
      <c r="C18" s="24">
        <f t="shared" ref="C18:D18" si="4">SUM(C16:C17)</f>
        <v>14962656</v>
      </c>
      <c r="D18" s="24">
        <f t="shared" si="4"/>
        <v>15769272</v>
      </c>
    </row>
    <row r="20" spans="1:4" x14ac:dyDescent="0.25">
      <c r="A20" s="3" t="s">
        <v>12</v>
      </c>
    </row>
    <row r="21" spans="1:4" x14ac:dyDescent="0.25">
      <c r="A21" t="s">
        <v>13</v>
      </c>
      <c r="B21" s="6">
        <f>Oursourcing!B8</f>
        <v>0</v>
      </c>
      <c r="C21" s="6">
        <f>Oursourcing!C8</f>
        <v>0</v>
      </c>
      <c r="D21" s="6">
        <f>Oursourcing!D8</f>
        <v>0</v>
      </c>
    </row>
    <row r="22" spans="1:4" x14ac:dyDescent="0.25">
      <c r="A22" t="s">
        <v>14</v>
      </c>
      <c r="B22" s="23">
        <f>Oursourcing!B9</f>
        <v>14170716</v>
      </c>
      <c r="C22" s="23">
        <f>Oursourcing!C9</f>
        <v>14962656</v>
      </c>
      <c r="D22" s="23">
        <f>Oursourcing!D9</f>
        <v>15769272</v>
      </c>
    </row>
    <row r="23" spans="1:4" x14ac:dyDescent="0.25">
      <c r="A23" t="s">
        <v>15</v>
      </c>
      <c r="B23" s="6">
        <f>Oursourcing!B10</f>
        <v>0</v>
      </c>
      <c r="C23" s="6">
        <f>Oursourcing!C10</f>
        <v>0</v>
      </c>
      <c r="D23" s="6">
        <f>Oursourcing!D10</f>
        <v>0</v>
      </c>
    </row>
    <row r="24" spans="1:4" ht="15.75" thickBot="1" x14ac:dyDescent="0.3">
      <c r="A24" s="9" t="s">
        <v>16</v>
      </c>
      <c r="B24" s="10">
        <f>Oursourcing!B11</f>
        <v>14170716</v>
      </c>
      <c r="C24" s="10">
        <f>Oursourcing!C11</f>
        <v>14962656</v>
      </c>
      <c r="D24" s="10">
        <f>Oursourcing!D11</f>
        <v>15769272</v>
      </c>
    </row>
    <row r="27" spans="1:4" x14ac:dyDescent="0.25">
      <c r="A27" s="11" t="s">
        <v>101</v>
      </c>
      <c r="B27" s="11" t="s">
        <v>11</v>
      </c>
      <c r="C27" s="4"/>
      <c r="D27" s="4"/>
    </row>
    <row r="28" spans="1:4" x14ac:dyDescent="0.25">
      <c r="A28" s="4"/>
      <c r="B28" s="11">
        <v>2019</v>
      </c>
      <c r="C28" s="11">
        <v>2020</v>
      </c>
      <c r="D28" s="11">
        <v>2021</v>
      </c>
    </row>
    <row r="29" spans="1:4" x14ac:dyDescent="0.25">
      <c r="A29" t="s">
        <v>18</v>
      </c>
      <c r="B29" s="18">
        <f>Insourcing!B3</f>
        <v>5748490.5999999996</v>
      </c>
      <c r="C29" s="18">
        <f>Insourcing!C3</f>
        <v>6086861.5999999996</v>
      </c>
      <c r="D29" s="18">
        <f>Insourcing!D3</f>
        <v>6461321.2000000002</v>
      </c>
    </row>
    <row r="30" spans="1:4" x14ac:dyDescent="0.25">
      <c r="A30" t="s">
        <v>19</v>
      </c>
      <c r="B30" s="18">
        <f>Insourcing!B4</f>
        <v>3549000</v>
      </c>
      <c r="C30" s="18">
        <f>Insourcing!C4</f>
        <v>0</v>
      </c>
      <c r="D30" s="18">
        <f>Insourcing!D4</f>
        <v>0</v>
      </c>
    </row>
    <row r="31" spans="1:4" ht="15.75" thickBot="1" x14ac:dyDescent="0.3">
      <c r="A31" s="9" t="s">
        <v>16</v>
      </c>
      <c r="B31" s="25">
        <f>Insourcing!B5</f>
        <v>9297490.5999999996</v>
      </c>
      <c r="C31" s="25">
        <f>Insourcing!C5</f>
        <v>6086861.5999999996</v>
      </c>
      <c r="D31" s="25">
        <f>Insourcing!D5</f>
        <v>6461321.2000000002</v>
      </c>
    </row>
    <row r="33" spans="1:4" x14ac:dyDescent="0.25">
      <c r="A33" s="3" t="s">
        <v>12</v>
      </c>
    </row>
    <row r="34" spans="1:4" x14ac:dyDescent="0.25">
      <c r="A34" t="s">
        <v>13</v>
      </c>
      <c r="B34" s="18">
        <f>Insourcing!B8</f>
        <v>4306375</v>
      </c>
      <c r="C34" s="18">
        <f>Insourcing!C8</f>
        <v>4590596</v>
      </c>
      <c r="D34" s="18">
        <f>Insourcing!D8</f>
        <v>4884394</v>
      </c>
    </row>
    <row r="35" spans="1:4" x14ac:dyDescent="0.25">
      <c r="A35" t="s">
        <v>14</v>
      </c>
      <c r="B35" s="18">
        <f>Insourcing!B9</f>
        <v>1442115.6</v>
      </c>
      <c r="C35" s="18">
        <f>Insourcing!C9</f>
        <v>1496265.6</v>
      </c>
      <c r="D35" s="18">
        <f>Insourcing!D9</f>
        <v>1576927.2000000002</v>
      </c>
    </row>
    <row r="36" spans="1:4" x14ac:dyDescent="0.25">
      <c r="A36" t="s">
        <v>15</v>
      </c>
      <c r="B36" s="18">
        <f>Insourcing!B10</f>
        <v>3549000</v>
      </c>
      <c r="C36" s="18">
        <f>Insourcing!C10</f>
        <v>0</v>
      </c>
      <c r="D36" s="18">
        <f>Insourcing!D10</f>
        <v>0</v>
      </c>
    </row>
    <row r="37" spans="1:4" ht="15.75" thickBot="1" x14ac:dyDescent="0.3">
      <c r="A37" s="9" t="s">
        <v>16</v>
      </c>
      <c r="B37" s="25">
        <f>Insourcing!B11</f>
        <v>9297490.5999999996</v>
      </c>
      <c r="C37" s="25">
        <f>Insourcing!C11</f>
        <v>6086861.5999999996</v>
      </c>
      <c r="D37" s="25">
        <f>Insourcing!D11</f>
        <v>6461321.2000000002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249977111117893"/>
  </sheetPr>
  <dimension ref="A1:D30"/>
  <sheetViews>
    <sheetView topLeftCell="A7" workbookViewId="0">
      <selection activeCell="G15" sqref="G15"/>
    </sheetView>
  </sheetViews>
  <sheetFormatPr defaultRowHeight="15" x14ac:dyDescent="0.25"/>
  <cols>
    <col min="1" max="1" width="32.85546875" customWidth="1"/>
    <col min="2" max="2" width="13.5703125" customWidth="1"/>
    <col min="3" max="3" width="11.140625" bestFit="1" customWidth="1"/>
    <col min="4" max="4" width="11.85546875" customWidth="1"/>
  </cols>
  <sheetData>
    <row r="1" spans="1:4" ht="18.600000000000001" customHeight="1" x14ac:dyDescent="0.25">
      <c r="A1" s="11" t="s">
        <v>10</v>
      </c>
      <c r="B1" s="11" t="s">
        <v>11</v>
      </c>
      <c r="C1" s="4"/>
      <c r="D1" s="4"/>
    </row>
    <row r="2" spans="1:4" x14ac:dyDescent="0.25">
      <c r="A2" s="4"/>
      <c r="B2" s="11">
        <v>2019</v>
      </c>
      <c r="C2" s="11">
        <v>2020</v>
      </c>
      <c r="D2" s="11">
        <v>2021</v>
      </c>
    </row>
    <row r="3" spans="1:4" x14ac:dyDescent="0.25">
      <c r="A3" t="s">
        <v>18</v>
      </c>
      <c r="B3" s="23">
        <f>B9</f>
        <v>14170716</v>
      </c>
      <c r="C3" s="23">
        <f t="shared" ref="C3:D3" si="0">C9</f>
        <v>14962656</v>
      </c>
      <c r="D3" s="23">
        <f t="shared" si="0"/>
        <v>15769272</v>
      </c>
    </row>
    <row r="4" spans="1:4" x14ac:dyDescent="0.25">
      <c r="A4" t="s">
        <v>19</v>
      </c>
      <c r="B4" s="6"/>
      <c r="C4" s="6"/>
      <c r="D4" s="6"/>
    </row>
    <row r="5" spans="1:4" ht="15.75" thickBot="1" x14ac:dyDescent="0.3">
      <c r="A5" s="9" t="s">
        <v>16</v>
      </c>
      <c r="B5" s="24">
        <f>SUM(B3:B4)</f>
        <v>14170716</v>
      </c>
      <c r="C5" s="24">
        <f t="shared" ref="C5:D5" si="1">SUM(C3:C4)</f>
        <v>14962656</v>
      </c>
      <c r="D5" s="24">
        <f t="shared" si="1"/>
        <v>15769272</v>
      </c>
    </row>
    <row r="7" spans="1:4" x14ac:dyDescent="0.25">
      <c r="A7" s="3" t="s">
        <v>12</v>
      </c>
    </row>
    <row r="8" spans="1:4" x14ac:dyDescent="0.25">
      <c r="A8" t="s">
        <v>13</v>
      </c>
      <c r="B8" s="6"/>
      <c r="C8" s="6"/>
      <c r="D8" s="6"/>
    </row>
    <row r="9" spans="1:4" x14ac:dyDescent="0.25">
      <c r="A9" t="s">
        <v>14</v>
      </c>
      <c r="B9" s="23">
        <f>B29+B30</f>
        <v>14170716</v>
      </c>
      <c r="C9" s="23">
        <f t="shared" ref="C9:D9" si="2">C29+C30</f>
        <v>14962656</v>
      </c>
      <c r="D9" s="23">
        <f t="shared" si="2"/>
        <v>15769272</v>
      </c>
    </row>
    <row r="10" spans="1:4" x14ac:dyDescent="0.25">
      <c r="A10" t="s">
        <v>15</v>
      </c>
      <c r="B10" s="6"/>
      <c r="C10" s="6"/>
      <c r="D10" s="6"/>
    </row>
    <row r="11" spans="1:4" ht="15.75" thickBot="1" x14ac:dyDescent="0.3">
      <c r="A11" s="9" t="s">
        <v>16</v>
      </c>
      <c r="B11" s="10">
        <f>SUM(B8:B10)</f>
        <v>14170716</v>
      </c>
      <c r="C11" s="10">
        <f t="shared" ref="C11:D11" si="3">SUM(C8:C10)</f>
        <v>14962656</v>
      </c>
      <c r="D11" s="10">
        <f t="shared" si="3"/>
        <v>15769272</v>
      </c>
    </row>
    <row r="14" spans="1:4" x14ac:dyDescent="0.25">
      <c r="A14" s="8" t="s">
        <v>17</v>
      </c>
    </row>
    <row r="15" spans="1:4" x14ac:dyDescent="0.25">
      <c r="A15" t="s">
        <v>25</v>
      </c>
    </row>
    <row r="16" spans="1:4" x14ac:dyDescent="0.25">
      <c r="A16" s="12" t="s">
        <v>20</v>
      </c>
      <c r="B16" s="5">
        <v>17</v>
      </c>
      <c r="C16" s="5">
        <v>17</v>
      </c>
      <c r="D16" s="5">
        <v>17</v>
      </c>
    </row>
    <row r="17" spans="1:4" x14ac:dyDescent="0.25">
      <c r="A17" s="12" t="s">
        <v>21</v>
      </c>
      <c r="B17" s="5">
        <v>44</v>
      </c>
      <c r="C17" s="5">
        <v>44</v>
      </c>
      <c r="D17" s="5">
        <v>44</v>
      </c>
    </row>
    <row r="18" spans="1:4" x14ac:dyDescent="0.25">
      <c r="A18" s="12" t="s">
        <v>24</v>
      </c>
      <c r="B18" s="13">
        <f>SUM(B16:B17)</f>
        <v>61</v>
      </c>
      <c r="C18" s="13">
        <f t="shared" ref="C18:D18" si="4">SUM(C16:C17)</f>
        <v>61</v>
      </c>
      <c r="D18" s="13">
        <f t="shared" si="4"/>
        <v>61</v>
      </c>
    </row>
    <row r="19" spans="1:4" x14ac:dyDescent="0.25">
      <c r="A19" s="14" t="s">
        <v>26</v>
      </c>
    </row>
    <row r="20" spans="1:4" x14ac:dyDescent="0.25">
      <c r="A20" s="12" t="s">
        <v>29</v>
      </c>
      <c r="B20" s="6">
        <f>5*12</f>
        <v>60</v>
      </c>
      <c r="C20" s="6">
        <f t="shared" ref="C20:D20" si="5">5*12</f>
        <v>60</v>
      </c>
      <c r="D20" s="6">
        <f t="shared" si="5"/>
        <v>60</v>
      </c>
    </row>
    <row r="21" spans="1:4" x14ac:dyDescent="0.25">
      <c r="A21" s="12" t="s">
        <v>30</v>
      </c>
      <c r="B21" s="6">
        <f>11*12</f>
        <v>132</v>
      </c>
      <c r="C21" s="6">
        <f t="shared" ref="C21:D21" si="6">11*12</f>
        <v>132</v>
      </c>
      <c r="D21" s="6">
        <f t="shared" si="6"/>
        <v>132</v>
      </c>
    </row>
    <row r="22" spans="1:4" x14ac:dyDescent="0.25">
      <c r="A22" s="15" t="s">
        <v>27</v>
      </c>
      <c r="B22" s="13">
        <f>SUM(B20:B21)</f>
        <v>192</v>
      </c>
      <c r="C22" s="13">
        <f t="shared" ref="C22:D22" si="7">SUM(C20:C21)</f>
        <v>192</v>
      </c>
      <c r="D22" s="13">
        <f t="shared" si="7"/>
        <v>192</v>
      </c>
    </row>
    <row r="24" spans="1:4" x14ac:dyDescent="0.25">
      <c r="A24" s="8" t="s">
        <v>31</v>
      </c>
    </row>
    <row r="25" spans="1:4" x14ac:dyDescent="0.25">
      <c r="A25" t="s">
        <v>43</v>
      </c>
    </row>
    <row r="26" spans="1:4" x14ac:dyDescent="0.25">
      <c r="A26" s="12" t="s">
        <v>20</v>
      </c>
      <c r="B26" s="19">
        <v>3689</v>
      </c>
      <c r="C26" s="18">
        <f>ROUND(B26*1.056,0)</f>
        <v>3896</v>
      </c>
      <c r="D26" s="18">
        <f>ROUND(C26*1.054,0)</f>
        <v>4106</v>
      </c>
    </row>
    <row r="27" spans="1:4" x14ac:dyDescent="0.25">
      <c r="A27" s="12" t="s">
        <v>21</v>
      </c>
      <c r="B27" s="19">
        <v>1792</v>
      </c>
      <c r="C27" s="18">
        <f>ROUND(B27*1.056,0)</f>
        <v>1892</v>
      </c>
      <c r="D27" s="18">
        <f>ROUND(C27*1.054,0)</f>
        <v>1994</v>
      </c>
    </row>
    <row r="28" spans="1:4" x14ac:dyDescent="0.25">
      <c r="A28" s="12" t="s">
        <v>44</v>
      </c>
      <c r="B28" s="18">
        <f>SUM(B26:B27)</f>
        <v>5481</v>
      </c>
      <c r="C28" s="18">
        <f t="shared" ref="C28:D28" si="8">SUM(C26:C27)</f>
        <v>5788</v>
      </c>
      <c r="D28" s="18">
        <f t="shared" si="8"/>
        <v>6100</v>
      </c>
    </row>
    <row r="29" spans="1:4" x14ac:dyDescent="0.25">
      <c r="A29" s="12" t="s">
        <v>46</v>
      </c>
      <c r="B29" s="23">
        <f>(B16*B20)*B26</f>
        <v>3762780</v>
      </c>
      <c r="C29" s="23">
        <f t="shared" ref="C29:D29" si="9">(C16*C20)*C26</f>
        <v>3973920</v>
      </c>
      <c r="D29" s="23">
        <f t="shared" si="9"/>
        <v>4188120</v>
      </c>
    </row>
    <row r="30" spans="1:4" x14ac:dyDescent="0.25">
      <c r="A30" s="12" t="s">
        <v>45</v>
      </c>
      <c r="B30" s="23">
        <f>(B17*B21)*B27</f>
        <v>10407936</v>
      </c>
      <c r="C30" s="23">
        <f t="shared" ref="C30:D30" si="10">(C17*C21)*C27</f>
        <v>10988736</v>
      </c>
      <c r="D30" s="23">
        <f t="shared" si="10"/>
        <v>11581152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G71"/>
  <sheetViews>
    <sheetView tabSelected="1" topLeftCell="A25" workbookViewId="0">
      <selection activeCell="B71" sqref="B71"/>
    </sheetView>
  </sheetViews>
  <sheetFormatPr defaultRowHeight="15" x14ac:dyDescent="0.25"/>
  <cols>
    <col min="1" max="1" width="46.85546875" bestFit="1" customWidth="1"/>
    <col min="2" max="2" width="13" customWidth="1"/>
    <col min="3" max="3" width="11" customWidth="1"/>
    <col min="4" max="4" width="11.140625" customWidth="1"/>
    <col min="7" max="7" width="13.85546875" bestFit="1" customWidth="1"/>
  </cols>
  <sheetData>
    <row r="1" spans="1:4" ht="21" customHeight="1" x14ac:dyDescent="0.25">
      <c r="A1" s="11" t="s">
        <v>10</v>
      </c>
      <c r="B1" s="11" t="s">
        <v>11</v>
      </c>
      <c r="C1" s="4"/>
      <c r="D1" s="4"/>
    </row>
    <row r="2" spans="1:4" x14ac:dyDescent="0.25">
      <c r="A2" s="4"/>
      <c r="B2" s="11">
        <v>2019</v>
      </c>
      <c r="C2" s="11">
        <v>2020</v>
      </c>
      <c r="D2" s="11">
        <v>2021</v>
      </c>
    </row>
    <row r="3" spans="1:4" x14ac:dyDescent="0.25">
      <c r="A3" t="s">
        <v>18</v>
      </c>
      <c r="B3" s="18">
        <f>B8+B9</f>
        <v>5748490.5999999996</v>
      </c>
      <c r="C3" s="18">
        <f t="shared" ref="C3:D3" si="0">C8+C9</f>
        <v>6086861.5999999996</v>
      </c>
      <c r="D3" s="18">
        <f t="shared" si="0"/>
        <v>6461321.2000000002</v>
      </c>
    </row>
    <row r="4" spans="1:4" x14ac:dyDescent="0.25">
      <c r="A4" t="s">
        <v>19</v>
      </c>
      <c r="B4" s="18">
        <f>B10</f>
        <v>3549000</v>
      </c>
      <c r="C4" s="18">
        <f t="shared" ref="C4:D4" si="1">C10</f>
        <v>0</v>
      </c>
      <c r="D4" s="18">
        <f t="shared" si="1"/>
        <v>0</v>
      </c>
    </row>
    <row r="5" spans="1:4" ht="15.75" thickBot="1" x14ac:dyDescent="0.3">
      <c r="A5" s="9" t="s">
        <v>16</v>
      </c>
      <c r="B5" s="25">
        <f>SUM(B3:B4)</f>
        <v>9297490.5999999996</v>
      </c>
      <c r="C5" s="25">
        <f t="shared" ref="C5:D5" si="2">SUM(C3:C4)</f>
        <v>6086861.5999999996</v>
      </c>
      <c r="D5" s="25">
        <f t="shared" si="2"/>
        <v>6461321.2000000002</v>
      </c>
    </row>
    <row r="7" spans="1:4" x14ac:dyDescent="0.25">
      <c r="A7" s="3" t="s">
        <v>12</v>
      </c>
    </row>
    <row r="8" spans="1:4" x14ac:dyDescent="0.25">
      <c r="A8" t="s">
        <v>13</v>
      </c>
      <c r="B8" s="18">
        <f>B50</f>
        <v>4306375</v>
      </c>
      <c r="C8" s="18">
        <f t="shared" ref="C8:D8" si="3">C50</f>
        <v>4590596</v>
      </c>
      <c r="D8" s="18">
        <f t="shared" si="3"/>
        <v>4884394</v>
      </c>
    </row>
    <row r="9" spans="1:4" x14ac:dyDescent="0.25">
      <c r="A9" t="s">
        <v>14</v>
      </c>
      <c r="B9" s="18">
        <f>B59</f>
        <v>1442115.6</v>
      </c>
      <c r="C9" s="18">
        <f t="shared" ref="C9:D9" si="4">C59</f>
        <v>1496265.6</v>
      </c>
      <c r="D9" s="18">
        <f t="shared" si="4"/>
        <v>1576927.2000000002</v>
      </c>
    </row>
    <row r="10" spans="1:4" x14ac:dyDescent="0.25">
      <c r="A10" t="s">
        <v>15</v>
      </c>
      <c r="B10" s="18">
        <f>B71</f>
        <v>3549000</v>
      </c>
      <c r="C10" s="18">
        <f t="shared" ref="C10:D10" si="5">C71</f>
        <v>0</v>
      </c>
      <c r="D10" s="18">
        <f t="shared" si="5"/>
        <v>0</v>
      </c>
    </row>
    <row r="11" spans="1:4" ht="15.75" thickBot="1" x14ac:dyDescent="0.3">
      <c r="A11" s="9" t="s">
        <v>16</v>
      </c>
      <c r="B11" s="25">
        <f>SUM(B8:B10)</f>
        <v>9297490.5999999996</v>
      </c>
      <c r="C11" s="25">
        <f t="shared" ref="C11:D11" si="6">SUM(C8:C10)</f>
        <v>6086861.5999999996</v>
      </c>
      <c r="D11" s="25">
        <f t="shared" si="6"/>
        <v>6461321.2000000002</v>
      </c>
    </row>
    <row r="14" spans="1:4" x14ac:dyDescent="0.25">
      <c r="A14" s="8" t="s">
        <v>17</v>
      </c>
    </row>
    <row r="15" spans="1:4" x14ac:dyDescent="0.25">
      <c r="A15" t="s">
        <v>25</v>
      </c>
    </row>
    <row r="16" spans="1:4" x14ac:dyDescent="0.25">
      <c r="A16" s="12" t="s">
        <v>20</v>
      </c>
      <c r="B16" s="5">
        <v>17</v>
      </c>
      <c r="C16" s="5">
        <v>17</v>
      </c>
      <c r="D16" s="5">
        <v>17</v>
      </c>
    </row>
    <row r="17" spans="1:4" x14ac:dyDescent="0.25">
      <c r="A17" s="12" t="s">
        <v>21</v>
      </c>
      <c r="B17" s="5">
        <v>44</v>
      </c>
      <c r="C17" s="5">
        <v>44</v>
      </c>
      <c r="D17" s="5">
        <v>44</v>
      </c>
    </row>
    <row r="18" spans="1:4" x14ac:dyDescent="0.25">
      <c r="A18" s="12" t="s">
        <v>24</v>
      </c>
      <c r="B18" s="13">
        <f>SUM(B16:B17)</f>
        <v>61</v>
      </c>
      <c r="C18" s="13">
        <f t="shared" ref="C18:D18" si="7">SUM(C16:C17)</f>
        <v>61</v>
      </c>
      <c r="D18" s="13">
        <f t="shared" si="7"/>
        <v>61</v>
      </c>
    </row>
    <row r="19" spans="1:4" x14ac:dyDescent="0.25">
      <c r="A19" s="14" t="s">
        <v>26</v>
      </c>
    </row>
    <row r="20" spans="1:4" x14ac:dyDescent="0.25">
      <c r="A20" s="12" t="s">
        <v>29</v>
      </c>
      <c r="B20" s="6">
        <f>5*12</f>
        <v>60</v>
      </c>
      <c r="C20" s="6">
        <f t="shared" ref="C20:D20" si="8">5*12</f>
        <v>60</v>
      </c>
      <c r="D20" s="6">
        <f t="shared" si="8"/>
        <v>60</v>
      </c>
    </row>
    <row r="21" spans="1:4" x14ac:dyDescent="0.25">
      <c r="A21" s="12" t="s">
        <v>30</v>
      </c>
      <c r="B21" s="6">
        <f>11*12</f>
        <v>132</v>
      </c>
      <c r="C21" s="6">
        <f t="shared" ref="C21:D21" si="9">11*12</f>
        <v>132</v>
      </c>
      <c r="D21" s="6">
        <f t="shared" si="9"/>
        <v>132</v>
      </c>
    </row>
    <row r="22" spans="1:4" x14ac:dyDescent="0.25">
      <c r="A22" s="15" t="s">
        <v>27</v>
      </c>
      <c r="B22" s="13">
        <f>SUM(B20:B21)</f>
        <v>192</v>
      </c>
      <c r="C22" s="13">
        <f t="shared" ref="C22:D22" si="10">SUM(C20:C21)</f>
        <v>192</v>
      </c>
      <c r="D22" s="13">
        <f t="shared" si="10"/>
        <v>192</v>
      </c>
    </row>
    <row r="23" spans="1:4" x14ac:dyDescent="0.25">
      <c r="A23" s="15"/>
      <c r="B23" s="15"/>
      <c r="C23" s="15"/>
      <c r="D23" s="15"/>
    </row>
    <row r="24" spans="1:4" x14ac:dyDescent="0.25">
      <c r="A24" s="15" t="s">
        <v>50</v>
      </c>
    </row>
    <row r="25" spans="1:4" x14ac:dyDescent="0.25">
      <c r="A25" s="12" t="s">
        <v>35</v>
      </c>
      <c r="B25" s="5">
        <v>1</v>
      </c>
      <c r="C25" s="5">
        <v>1</v>
      </c>
      <c r="D25" s="5">
        <v>1</v>
      </c>
    </row>
    <row r="26" spans="1:4" x14ac:dyDescent="0.25">
      <c r="A26" s="12" t="s">
        <v>38</v>
      </c>
      <c r="B26" s="5">
        <v>1</v>
      </c>
      <c r="C26" s="5">
        <v>1</v>
      </c>
      <c r="D26" s="5">
        <v>1</v>
      </c>
    </row>
    <row r="27" spans="1:4" x14ac:dyDescent="0.25">
      <c r="A27" s="12" t="s">
        <v>37</v>
      </c>
      <c r="B27" s="5">
        <v>3</v>
      </c>
      <c r="C27" s="5">
        <v>3</v>
      </c>
      <c r="D27" s="5">
        <v>3</v>
      </c>
    </row>
    <row r="28" spans="1:4" x14ac:dyDescent="0.25">
      <c r="A28" s="12" t="s">
        <v>53</v>
      </c>
      <c r="B28" s="5">
        <v>3</v>
      </c>
      <c r="C28" s="5">
        <v>3</v>
      </c>
      <c r="D28" s="5">
        <v>3</v>
      </c>
    </row>
    <row r="29" spans="1:4" x14ac:dyDescent="0.25">
      <c r="A29" s="12" t="s">
        <v>51</v>
      </c>
      <c r="B29" s="5">
        <v>1</v>
      </c>
      <c r="C29" s="5">
        <v>1</v>
      </c>
      <c r="D29" s="5">
        <v>1</v>
      </c>
    </row>
    <row r="30" spans="1:4" x14ac:dyDescent="0.25">
      <c r="A30" s="12" t="s">
        <v>36</v>
      </c>
      <c r="B30" s="5">
        <v>1</v>
      </c>
      <c r="C30" s="5">
        <v>1</v>
      </c>
      <c r="D30" s="5">
        <v>1</v>
      </c>
    </row>
    <row r="31" spans="1:4" x14ac:dyDescent="0.25">
      <c r="A31" s="12" t="s">
        <v>86</v>
      </c>
      <c r="B31" s="18">
        <f>SUM(B25:B30)</f>
        <v>10</v>
      </c>
      <c r="C31" s="18">
        <f t="shared" ref="C31:D31" si="11">SUM(C25:C30)</f>
        <v>10</v>
      </c>
      <c r="D31" s="18">
        <f t="shared" si="11"/>
        <v>10</v>
      </c>
    </row>
    <row r="32" spans="1:4" x14ac:dyDescent="0.25">
      <c r="A32" s="15" t="s">
        <v>56</v>
      </c>
      <c r="B32" s="18">
        <f>data!D13</f>
        <v>8</v>
      </c>
    </row>
    <row r="33" spans="1:4" x14ac:dyDescent="0.25">
      <c r="A33" s="15" t="s">
        <v>63</v>
      </c>
      <c r="B33" s="18">
        <f>data!D16</f>
        <v>8</v>
      </c>
    </row>
    <row r="34" spans="1:4" x14ac:dyDescent="0.25">
      <c r="A34" s="14" t="s">
        <v>74</v>
      </c>
      <c r="B34" s="18"/>
    </row>
    <row r="35" spans="1:4" x14ac:dyDescent="0.25">
      <c r="A35" s="12" t="s">
        <v>75</v>
      </c>
      <c r="B35" s="5">
        <v>8</v>
      </c>
      <c r="C35" s="5">
        <v>0</v>
      </c>
      <c r="D35" s="5">
        <v>0</v>
      </c>
    </row>
    <row r="36" spans="1:4" x14ac:dyDescent="0.25">
      <c r="A36" s="12" t="s">
        <v>72</v>
      </c>
      <c r="B36" s="5">
        <v>1</v>
      </c>
      <c r="C36" s="5">
        <v>0</v>
      </c>
      <c r="D36" s="5">
        <v>0</v>
      </c>
    </row>
    <row r="37" spans="1:4" x14ac:dyDescent="0.25">
      <c r="A37" s="12" t="s">
        <v>76</v>
      </c>
      <c r="B37" s="5">
        <v>8</v>
      </c>
      <c r="C37" s="5">
        <v>0</v>
      </c>
      <c r="D37" s="5">
        <v>0</v>
      </c>
    </row>
    <row r="38" spans="1:4" x14ac:dyDescent="0.25">
      <c r="A38" s="12" t="s">
        <v>73</v>
      </c>
      <c r="B38" s="5">
        <v>1</v>
      </c>
      <c r="C38" s="5">
        <v>0</v>
      </c>
      <c r="D38" s="5">
        <v>0</v>
      </c>
    </row>
    <row r="39" spans="1:4" x14ac:dyDescent="0.25">
      <c r="A39" s="15" t="s">
        <v>91</v>
      </c>
      <c r="B39" s="5">
        <v>4</v>
      </c>
      <c r="C39" s="5">
        <v>4</v>
      </c>
      <c r="D39" s="5">
        <v>4</v>
      </c>
    </row>
    <row r="40" spans="1:4" x14ac:dyDescent="0.25">
      <c r="A40" s="15" t="s">
        <v>92</v>
      </c>
      <c r="B40" s="5">
        <v>2</v>
      </c>
      <c r="C40" s="5">
        <v>2</v>
      </c>
      <c r="D40" s="5">
        <v>2</v>
      </c>
    </row>
    <row r="42" spans="1:4" x14ac:dyDescent="0.25">
      <c r="A42" s="8" t="s">
        <v>31</v>
      </c>
    </row>
    <row r="43" spans="1:4" x14ac:dyDescent="0.25">
      <c r="A43" s="3" t="s">
        <v>49</v>
      </c>
    </row>
    <row r="44" spans="1:4" x14ac:dyDescent="0.25">
      <c r="A44" s="12" t="s">
        <v>35</v>
      </c>
      <c r="B44" s="18">
        <f>GenAss!B25*Insourcing!B25</f>
        <v>1342230</v>
      </c>
      <c r="C44" s="18">
        <f>GenAss!C25*Insourcing!C25</f>
        <v>1430817</v>
      </c>
      <c r="D44" s="18">
        <f>GenAss!D25*Insourcing!D25</f>
        <v>1522389</v>
      </c>
    </row>
    <row r="45" spans="1:4" x14ac:dyDescent="0.25">
      <c r="A45" s="12" t="s">
        <v>38</v>
      </c>
      <c r="B45" s="18">
        <f>GenAss!B26*Insourcing!B26</f>
        <v>884670</v>
      </c>
      <c r="C45" s="18">
        <f>GenAss!C26*Insourcing!C26</f>
        <v>943058</v>
      </c>
      <c r="D45" s="18">
        <f>GenAss!D26*Insourcing!D26</f>
        <v>1003414</v>
      </c>
    </row>
    <row r="46" spans="1:4" x14ac:dyDescent="0.25">
      <c r="A46" s="26" t="s">
        <v>37</v>
      </c>
      <c r="B46" s="18">
        <f>GenAss!B27*Insourcing!B27</f>
        <v>1184175</v>
      </c>
      <c r="C46" s="18">
        <f>GenAss!C27*Insourcing!C27</f>
        <v>1262331</v>
      </c>
      <c r="D46" s="18">
        <f>GenAss!D27*Insourcing!D27</f>
        <v>1343121</v>
      </c>
    </row>
    <row r="47" spans="1:4" x14ac:dyDescent="0.25">
      <c r="A47" s="26" t="s">
        <v>53</v>
      </c>
      <c r="B47" s="18"/>
      <c r="C47" s="18"/>
      <c r="D47" s="18"/>
    </row>
    <row r="48" spans="1:4" x14ac:dyDescent="0.25">
      <c r="A48" s="26" t="s">
        <v>51</v>
      </c>
      <c r="B48" s="18">
        <f>GenAss!B29*Insourcing!B29</f>
        <v>562800</v>
      </c>
      <c r="C48" s="18">
        <f>GenAss!C29*Insourcing!C29</f>
        <v>599945</v>
      </c>
      <c r="D48" s="18">
        <f>GenAss!D29*Insourcing!D29</f>
        <v>638341</v>
      </c>
    </row>
    <row r="49" spans="1:7" x14ac:dyDescent="0.25">
      <c r="A49" s="12" t="s">
        <v>36</v>
      </c>
      <c r="B49" s="18">
        <f>GenAss!B30*Insourcing!B30</f>
        <v>332500</v>
      </c>
      <c r="C49" s="18">
        <f>GenAss!C30*Insourcing!C30</f>
        <v>354445</v>
      </c>
      <c r="D49" s="18">
        <f>GenAss!D30*Insourcing!D30</f>
        <v>377129</v>
      </c>
    </row>
    <row r="50" spans="1:7" x14ac:dyDescent="0.25">
      <c r="A50" s="28" t="s">
        <v>68</v>
      </c>
      <c r="B50" s="29">
        <f>SUM(B44:B49)</f>
        <v>4306375</v>
      </c>
      <c r="C50" s="29">
        <f t="shared" ref="C50:D50" si="12">SUM(C44:C49)</f>
        <v>4590596</v>
      </c>
      <c r="D50" s="29">
        <f t="shared" si="12"/>
        <v>4884394</v>
      </c>
    </row>
    <row r="51" spans="1:7" x14ac:dyDescent="0.25">
      <c r="A51" s="30" t="s">
        <v>52</v>
      </c>
    </row>
    <row r="52" spans="1:7" x14ac:dyDescent="0.25">
      <c r="A52" s="12" t="s">
        <v>54</v>
      </c>
      <c r="B52" s="18">
        <f>Oursourcing!B5*GenAss!B13</f>
        <v>1417071.6</v>
      </c>
      <c r="C52" s="18">
        <f>Oursourcing!C5*GenAss!C13</f>
        <v>1496265.6</v>
      </c>
      <c r="D52" s="18">
        <f>Oursourcing!D5*GenAss!D13</f>
        <v>1576927.2000000002</v>
      </c>
    </row>
    <row r="53" spans="1:7" x14ac:dyDescent="0.25">
      <c r="A53" s="12" t="s">
        <v>81</v>
      </c>
      <c r="B53" s="18">
        <f>B18*GenAss!B16</f>
        <v>0</v>
      </c>
      <c r="C53" s="18">
        <f>C18*GenAss!C16</f>
        <v>0</v>
      </c>
      <c r="D53" s="18">
        <f>D18*GenAss!D16</f>
        <v>0</v>
      </c>
    </row>
    <row r="54" spans="1:7" x14ac:dyDescent="0.25">
      <c r="A54" s="12" t="s">
        <v>83</v>
      </c>
      <c r="B54" s="18"/>
      <c r="C54" s="18"/>
      <c r="D54" s="18"/>
    </row>
    <row r="55" spans="1:7" x14ac:dyDescent="0.25">
      <c r="A55" s="22" t="s">
        <v>85</v>
      </c>
      <c r="B55" s="18">
        <f>B31*GenAss!B17</f>
        <v>1100</v>
      </c>
      <c r="C55" s="18">
        <f>C31*GenAss!C17</f>
        <v>1160</v>
      </c>
      <c r="D55" s="18">
        <f>D31*GenAss!D17</f>
        <v>1220</v>
      </c>
    </row>
    <row r="56" spans="1:7" x14ac:dyDescent="0.25">
      <c r="A56" s="22" t="s">
        <v>88</v>
      </c>
      <c r="B56" s="18">
        <f>(B39*B40)*GenAss!B19</f>
        <v>12000</v>
      </c>
      <c r="C56" s="18">
        <f>(C39*C40)*GenAss!C19</f>
        <v>12672</v>
      </c>
      <c r="D56" s="18">
        <f>(D39*D40)*GenAss!D19</f>
        <v>13384</v>
      </c>
    </row>
    <row r="57" spans="1:7" x14ac:dyDescent="0.25">
      <c r="A57" s="22" t="s">
        <v>93</v>
      </c>
      <c r="B57" s="18">
        <f>B39*GenAss!B20</f>
        <v>11944</v>
      </c>
      <c r="C57" s="18">
        <f>C39*GenAss!C20</f>
        <v>12612</v>
      </c>
      <c r="D57" s="18">
        <f>D39*GenAss!D20</f>
        <v>13320</v>
      </c>
    </row>
    <row r="58" spans="1:7" x14ac:dyDescent="0.25">
      <c r="A58" s="32" t="s">
        <v>95</v>
      </c>
      <c r="B58" s="29">
        <f>SUM(B55:B57)</f>
        <v>25044</v>
      </c>
      <c r="C58" s="29">
        <f t="shared" ref="C58:D58" si="13">SUM(C55:C57)</f>
        <v>26444</v>
      </c>
      <c r="D58" s="29">
        <f t="shared" si="13"/>
        <v>27924</v>
      </c>
    </row>
    <row r="59" spans="1:7" x14ac:dyDescent="0.25">
      <c r="A59" s="28" t="s">
        <v>80</v>
      </c>
      <c r="B59" s="29">
        <f>SUM(B52+B53+B58)</f>
        <v>1442115.6</v>
      </c>
      <c r="C59" s="29">
        <f>SUM(C52)</f>
        <v>1496265.6</v>
      </c>
      <c r="D59" s="29">
        <f>SUM(D52)</f>
        <v>1576927.2000000002</v>
      </c>
    </row>
    <row r="60" spans="1:7" x14ac:dyDescent="0.25">
      <c r="A60" s="30" t="s">
        <v>58</v>
      </c>
      <c r="G60" s="17"/>
    </row>
    <row r="61" spans="1:7" x14ac:dyDescent="0.25">
      <c r="A61" s="15" t="s">
        <v>69</v>
      </c>
      <c r="G61" s="17"/>
    </row>
    <row r="62" spans="1:7" x14ac:dyDescent="0.25">
      <c r="A62" s="12" t="s">
        <v>64</v>
      </c>
      <c r="B62" s="18">
        <f>B32*GenAss!B14</f>
        <v>1600000</v>
      </c>
      <c r="C62" s="18">
        <f>C32*GenAss!C14</f>
        <v>0</v>
      </c>
      <c r="D62" s="18">
        <f>D32*GenAss!D14</f>
        <v>0</v>
      </c>
    </row>
    <row r="63" spans="1:7" x14ac:dyDescent="0.25">
      <c r="A63" s="12" t="s">
        <v>65</v>
      </c>
      <c r="B63" s="18">
        <f>B33*GenAss!B15</f>
        <v>800000</v>
      </c>
      <c r="C63" s="18">
        <v>0</v>
      </c>
      <c r="D63" s="18">
        <v>0</v>
      </c>
    </row>
    <row r="64" spans="1:7" x14ac:dyDescent="0.25">
      <c r="A64" s="28" t="s">
        <v>70</v>
      </c>
      <c r="B64" s="29">
        <f>SUM(B62:B63)</f>
        <v>2400000</v>
      </c>
      <c r="C64" s="18">
        <f t="shared" ref="C64:D64" si="14">SUM(C62:C63)</f>
        <v>0</v>
      </c>
      <c r="D64" s="18">
        <f t="shared" si="14"/>
        <v>0</v>
      </c>
    </row>
    <row r="65" spans="1:4" x14ac:dyDescent="0.25">
      <c r="A65" s="14" t="s">
        <v>71</v>
      </c>
    </row>
    <row r="66" spans="1:4" x14ac:dyDescent="0.25">
      <c r="A66" s="12" t="s">
        <v>75</v>
      </c>
      <c r="B66" s="18">
        <f>B35*data!D19</f>
        <v>200000</v>
      </c>
      <c r="C66" s="18">
        <f>C35*data!E19</f>
        <v>0</v>
      </c>
      <c r="D66" s="18">
        <f>D35*data!F19</f>
        <v>0</v>
      </c>
    </row>
    <row r="67" spans="1:4" x14ac:dyDescent="0.25">
      <c r="A67" s="12" t="s">
        <v>72</v>
      </c>
      <c r="B67" s="18">
        <f>B36*data!D20</f>
        <v>900000</v>
      </c>
      <c r="C67" s="18">
        <f>C36*data!E20</f>
        <v>0</v>
      </c>
      <c r="D67" s="18">
        <f>D36*data!F20</f>
        <v>0</v>
      </c>
    </row>
    <row r="68" spans="1:4" x14ac:dyDescent="0.25">
      <c r="A68" s="12" t="s">
        <v>76</v>
      </c>
      <c r="B68" s="18">
        <f>B37*data!D21</f>
        <v>4000</v>
      </c>
      <c r="C68" s="18">
        <f>C37*data!E21</f>
        <v>0</v>
      </c>
      <c r="D68" s="18">
        <f>D37*data!F21</f>
        <v>0</v>
      </c>
    </row>
    <row r="69" spans="1:4" x14ac:dyDescent="0.25">
      <c r="A69" s="12" t="s">
        <v>73</v>
      </c>
      <c r="B69" s="18">
        <f>data!D22</f>
        <v>45000</v>
      </c>
      <c r="C69" s="18">
        <f>data!E22</f>
        <v>0</v>
      </c>
      <c r="D69" s="18">
        <f>data!F22</f>
        <v>0</v>
      </c>
    </row>
    <row r="70" spans="1:4" x14ac:dyDescent="0.25">
      <c r="A70" s="28" t="s">
        <v>78</v>
      </c>
      <c r="B70" s="29">
        <f>SUM(B66:B69)</f>
        <v>1149000</v>
      </c>
      <c r="C70" s="18">
        <f t="shared" ref="C70:D70" si="15">SUM(C66:C69)</f>
        <v>0</v>
      </c>
      <c r="D70" s="18">
        <f t="shared" si="15"/>
        <v>0</v>
      </c>
    </row>
    <row r="71" spans="1:4" x14ac:dyDescent="0.25">
      <c r="A71" s="28" t="s">
        <v>79</v>
      </c>
      <c r="B71" s="29">
        <f>SUM(+B64+B70)</f>
        <v>3549000</v>
      </c>
      <c r="C71" s="29">
        <f t="shared" ref="C71:D71" si="16">SUM(+C64+C70)</f>
        <v>0</v>
      </c>
      <c r="D71" s="29">
        <f t="shared" si="16"/>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opLeftCell="A7" workbookViewId="0">
      <selection activeCell="A24" sqref="A24:A29"/>
    </sheetView>
  </sheetViews>
  <sheetFormatPr defaultRowHeight="15" x14ac:dyDescent="0.25"/>
  <cols>
    <col min="1" max="1" width="40.85546875" bestFit="1" customWidth="1"/>
    <col min="2" max="2" width="11.140625" customWidth="1"/>
    <col min="3" max="3" width="10.42578125" bestFit="1" customWidth="1"/>
    <col min="4" max="4" width="11.42578125" bestFit="1" customWidth="1"/>
  </cols>
  <sheetData>
    <row r="1" spans="1:6" x14ac:dyDescent="0.25">
      <c r="B1" s="60" t="s">
        <v>41</v>
      </c>
      <c r="C1" s="60"/>
      <c r="D1" s="11" t="s">
        <v>11</v>
      </c>
      <c r="E1" s="4"/>
      <c r="F1" s="4"/>
    </row>
    <row r="2" spans="1:6" x14ac:dyDescent="0.25">
      <c r="C2" t="s">
        <v>39</v>
      </c>
      <c r="D2" s="11">
        <v>2019</v>
      </c>
      <c r="E2" s="11">
        <v>2020</v>
      </c>
      <c r="F2" s="11">
        <v>2021</v>
      </c>
    </row>
    <row r="3" spans="1:6" x14ac:dyDescent="0.25">
      <c r="A3" s="8" t="s">
        <v>17</v>
      </c>
      <c r="B3" t="s">
        <v>28</v>
      </c>
      <c r="C3" t="s">
        <v>40</v>
      </c>
    </row>
    <row r="4" spans="1:6" x14ac:dyDescent="0.25">
      <c r="A4" t="s">
        <v>22</v>
      </c>
      <c r="B4">
        <v>17</v>
      </c>
      <c r="C4" s="6">
        <f>B4*12</f>
        <v>204</v>
      </c>
      <c r="D4">
        <f>ROUND(C4*1.07,0)</f>
        <v>218</v>
      </c>
    </row>
    <row r="5" spans="1:6" x14ac:dyDescent="0.25">
      <c r="A5" t="s">
        <v>23</v>
      </c>
      <c r="B5">
        <v>44</v>
      </c>
      <c r="C5" s="6">
        <f t="shared" ref="C5:C6" si="0">B5*12</f>
        <v>528</v>
      </c>
      <c r="D5">
        <f t="shared" ref="D5:D6" si="1">ROUND(C5*1.07,0)</f>
        <v>565</v>
      </c>
    </row>
    <row r="6" spans="1:6" x14ac:dyDescent="0.25">
      <c r="A6" s="3" t="s">
        <v>24</v>
      </c>
      <c r="B6" s="13">
        <f>SUM(B4:B5)</f>
        <v>61</v>
      </c>
      <c r="C6" s="13">
        <f t="shared" si="0"/>
        <v>732</v>
      </c>
      <c r="D6">
        <f t="shared" si="1"/>
        <v>783</v>
      </c>
    </row>
    <row r="8" spans="1:6" x14ac:dyDescent="0.25">
      <c r="A8" s="8" t="s">
        <v>42</v>
      </c>
    </row>
    <row r="9" spans="1:6" x14ac:dyDescent="0.25">
      <c r="A9" s="12" t="s">
        <v>20</v>
      </c>
      <c r="C9" s="17">
        <v>3500</v>
      </c>
      <c r="D9" s="18">
        <f>ROUND(C9*1.054,0)</f>
        <v>3689</v>
      </c>
    </row>
    <row r="10" spans="1:6" x14ac:dyDescent="0.25">
      <c r="A10" s="12" t="s">
        <v>21</v>
      </c>
      <c r="C10" s="17">
        <v>1700</v>
      </c>
      <c r="D10" s="18">
        <f>ROUND(C10*1.054,0)</f>
        <v>1792</v>
      </c>
    </row>
    <row r="11" spans="1:6" x14ac:dyDescent="0.25">
      <c r="C11" s="20">
        <f>SUM(C9:C10)</f>
        <v>5200</v>
      </c>
      <c r="D11" s="20">
        <f>ROUND(C11*1.054,0)</f>
        <v>5481</v>
      </c>
    </row>
    <row r="12" spans="1:6" x14ac:dyDescent="0.25">
      <c r="A12" s="3" t="s">
        <v>61</v>
      </c>
    </row>
    <row r="13" spans="1:6" x14ac:dyDescent="0.25">
      <c r="A13" t="s">
        <v>56</v>
      </c>
      <c r="D13" s="18">
        <f>SUM(D14:D15)</f>
        <v>8</v>
      </c>
      <c r="E13" s="18">
        <f t="shared" ref="E13:F13" si="2">SUM(E14:E15)</f>
        <v>0</v>
      </c>
      <c r="F13" s="18">
        <f t="shared" si="2"/>
        <v>0</v>
      </c>
    </row>
    <row r="14" spans="1:6" x14ac:dyDescent="0.25">
      <c r="A14" s="12" t="s">
        <v>57</v>
      </c>
      <c r="D14" s="5">
        <v>5</v>
      </c>
      <c r="E14" s="5">
        <v>0</v>
      </c>
      <c r="F14" s="5">
        <v>0</v>
      </c>
    </row>
    <row r="15" spans="1:6" x14ac:dyDescent="0.25">
      <c r="A15" s="12" t="s">
        <v>60</v>
      </c>
      <c r="D15" s="5">
        <v>3</v>
      </c>
      <c r="E15" s="5">
        <v>0</v>
      </c>
      <c r="F15" s="5">
        <v>0</v>
      </c>
    </row>
    <row r="16" spans="1:6" x14ac:dyDescent="0.25">
      <c r="A16" s="12" t="s">
        <v>62</v>
      </c>
      <c r="D16" s="5">
        <v>8</v>
      </c>
      <c r="E16" s="5">
        <v>0</v>
      </c>
      <c r="F16" s="5">
        <v>0</v>
      </c>
    </row>
    <row r="18" spans="1:6" x14ac:dyDescent="0.25">
      <c r="A18" t="s">
        <v>77</v>
      </c>
    </row>
    <row r="19" spans="1:6" x14ac:dyDescent="0.25">
      <c r="A19" s="12" t="s">
        <v>75</v>
      </c>
      <c r="D19" s="19">
        <v>25000</v>
      </c>
      <c r="E19" s="5">
        <v>0</v>
      </c>
      <c r="F19" s="5">
        <v>0</v>
      </c>
    </row>
    <row r="20" spans="1:6" x14ac:dyDescent="0.25">
      <c r="A20" s="12" t="s">
        <v>72</v>
      </c>
      <c r="D20" s="19">
        <v>900000</v>
      </c>
      <c r="E20" s="5">
        <v>0</v>
      </c>
      <c r="F20" s="5">
        <v>0</v>
      </c>
    </row>
    <row r="21" spans="1:6" x14ac:dyDescent="0.25">
      <c r="A21" s="12" t="s">
        <v>76</v>
      </c>
      <c r="D21" s="19">
        <v>500</v>
      </c>
      <c r="E21" s="5">
        <v>0</v>
      </c>
      <c r="F21" s="5">
        <v>0</v>
      </c>
    </row>
    <row r="22" spans="1:6" x14ac:dyDescent="0.25">
      <c r="A22" s="12" t="s">
        <v>73</v>
      </c>
      <c r="D22" s="19">
        <v>45000</v>
      </c>
      <c r="E22" s="5">
        <v>0</v>
      </c>
      <c r="F22" s="5">
        <v>0</v>
      </c>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Student Spending Review</Spending_x0020_Review_x0020_Type>
    <Category xmlns="1e0ec87a-2ca9-4846-bcf0-31c9454ca23d">Health</Category>
    <Sub_x002d_Category xmlns="1e0ec87a-2ca9-4846-bcf0-31c9454ca23d">Investigating the Cost of Establishing an In-House for Acute and Chronic Haemodialysis Services at Rob Ferreira Hospital</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01E6BC-4B9C-4449-AF87-1A976F36AA4A}">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7C3FBF80-3A36-4CE8-BEBC-10AB4E8EB314}">
  <ds:schemaRefs>
    <ds:schemaRef ds:uri="http://schemas.microsoft.com/sharepoint/v3/contenttype/forms"/>
  </ds:schemaRefs>
</ds:datastoreItem>
</file>

<file path=customXml/itemProps3.xml><?xml version="1.0" encoding="utf-8"?>
<ds:datastoreItem xmlns:ds="http://schemas.openxmlformats.org/officeDocument/2006/customXml" ds:itemID="{B256DE86-BF1F-4C6A-B5DF-8B079F38F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Front</vt:lpstr>
      <vt:lpstr>Content</vt:lpstr>
      <vt:lpstr>Service Description</vt:lpstr>
      <vt:lpstr>GenAss</vt:lpstr>
      <vt:lpstr>Totals and Scenarios</vt:lpstr>
      <vt:lpstr>Oursourcing</vt:lpstr>
      <vt:lpstr>Insourcing</vt:lpstr>
      <vt:lpstr>data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Lindo Mnisi</dc:creator>
  <cp:lastModifiedBy>Home</cp:lastModifiedBy>
  <dcterms:created xsi:type="dcterms:W3CDTF">2019-04-19T20:51:14Z</dcterms:created>
  <dcterms:modified xsi:type="dcterms:W3CDTF">2021-11-11T15:45:22Z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