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theme/themeOverride1.xml" ContentType="application/vnd.openxmlformats-officedocument.themeOverrid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D:\CONOR WORK\BAS\"/>
    </mc:Choice>
  </mc:AlternateContent>
  <xr:revisionPtr revIDLastSave="0" documentId="8_{EFE54167-7B16-443A-A471-34E9A90E924A}" xr6:coauthVersionLast="46" xr6:coauthVersionMax="46" xr10:uidLastSave="{00000000-0000-0000-0000-000000000000}"/>
  <bookViews>
    <workbookView xWindow="-120" yWindow="-120" windowWidth="24240" windowHeight="13140" xr2:uid="{00000000-000D-0000-FFFF-FFFF00000000}"/>
  </bookViews>
  <sheets>
    <sheet name="Title" sheetId="1" r:id="rId1"/>
    <sheet name="Introduction" sheetId="2" r:id="rId2"/>
    <sheet name="Gen Assumptions" sheetId="3" r:id="rId3"/>
    <sheet name="Costing" sheetId="9" r:id="rId4"/>
    <sheet name="Expenditure Analysis" sheetId="17" r:id="rId5"/>
    <sheet name="Capacity Building" sheetId="6" r:id="rId6"/>
    <sheet name="Monitoring and Support" sheetId="11" r:id="rId7"/>
    <sheet name="Process flows" sheetId="13" r:id="rId8"/>
    <sheet name="Structure" sheetId="15" r:id="rId9"/>
    <sheet name="Graphs" sheetId="16" r:id="rId10"/>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9" i="11" l="1"/>
  <c r="W9" i="11" s="1"/>
  <c r="U12" i="11" s="1"/>
  <c r="L24" i="9" l="1"/>
  <c r="L26" i="9"/>
  <c r="L29" i="9"/>
  <c r="F24" i="9"/>
  <c r="F25" i="9"/>
  <c r="F26" i="9"/>
  <c r="F28" i="9"/>
  <c r="F19" i="9"/>
  <c r="F20" i="9"/>
  <c r="F21" i="9"/>
  <c r="S20" i="6" l="1"/>
  <c r="C81" i="6"/>
  <c r="K55" i="6"/>
  <c r="E74" i="6"/>
  <c r="E68" i="6"/>
  <c r="E47" i="6"/>
  <c r="E26" i="6"/>
  <c r="L31" i="6"/>
  <c r="L32" i="6"/>
  <c r="L33" i="6"/>
  <c r="L34" i="6"/>
  <c r="L35" i="6"/>
  <c r="L36" i="6"/>
  <c r="L37" i="6"/>
  <c r="L38" i="6"/>
  <c r="L39" i="6"/>
  <c r="L40" i="6"/>
  <c r="L41" i="6"/>
  <c r="L42" i="6"/>
  <c r="L43" i="6"/>
  <c r="L44" i="6"/>
  <c r="L45" i="6"/>
  <c r="L46" i="6"/>
  <c r="L30" i="6"/>
  <c r="M47" i="6"/>
  <c r="M26" i="6"/>
  <c r="L14" i="6"/>
  <c r="L15" i="6"/>
  <c r="L16" i="6"/>
  <c r="L17" i="6"/>
  <c r="L18" i="6"/>
  <c r="L19" i="6"/>
  <c r="L20" i="6"/>
  <c r="L21" i="6"/>
  <c r="L22" i="6"/>
  <c r="L23" i="6"/>
  <c r="L24" i="6"/>
  <c r="L25" i="6"/>
  <c r="L13" i="6"/>
  <c r="J79" i="3" l="1"/>
  <c r="H79" i="3"/>
  <c r="F79" i="3"/>
  <c r="I79" i="3"/>
  <c r="G79" i="3"/>
  <c r="F81" i="6"/>
  <c r="H80" i="3"/>
  <c r="F80" i="3"/>
  <c r="G80" i="3"/>
  <c r="J80" i="3"/>
  <c r="I80" i="3"/>
  <c r="E81" i="6"/>
  <c r="G81" i="6"/>
  <c r="D81" i="6"/>
  <c r="D30" i="6"/>
  <c r="D13" i="6"/>
  <c r="I12" i="11" l="1"/>
  <c r="I13" i="11" l="1"/>
  <c r="S26" i="9"/>
  <c r="T26" i="9" s="1"/>
  <c r="S29" i="9"/>
  <c r="T29" i="9" s="1"/>
  <c r="S24" i="9"/>
  <c r="T24" i="9" s="1"/>
  <c r="O28" i="9"/>
  <c r="P28" i="9" s="1"/>
  <c r="O25" i="9"/>
  <c r="P25" i="9" s="1"/>
  <c r="O26" i="9"/>
  <c r="P26" i="9" s="1"/>
  <c r="O24" i="9"/>
  <c r="P24" i="9" s="1"/>
  <c r="M28" i="9"/>
  <c r="N28" i="9" s="1"/>
  <c r="M26" i="9"/>
  <c r="N26" i="9" s="1"/>
  <c r="M25" i="9"/>
  <c r="N25" i="9" s="1"/>
  <c r="M24" i="9"/>
  <c r="N24" i="9" s="1"/>
  <c r="M19" i="9"/>
  <c r="N19" i="9" s="1"/>
  <c r="M20" i="9"/>
  <c r="N20" i="9" s="1"/>
  <c r="M21" i="9"/>
  <c r="N21" i="9" s="1"/>
  <c r="O20" i="9"/>
  <c r="P20" i="9" s="1"/>
  <c r="O21" i="9"/>
  <c r="P21" i="9" s="1"/>
  <c r="O19" i="9"/>
  <c r="P19" i="9" s="1"/>
  <c r="N35" i="11" l="1"/>
  <c r="I17" i="11" l="1"/>
  <c r="N25" i="11"/>
  <c r="N26" i="11"/>
  <c r="N27" i="11"/>
  <c r="N28" i="11"/>
  <c r="N29" i="11"/>
  <c r="N30" i="11"/>
  <c r="N31" i="11"/>
  <c r="N32" i="11"/>
  <c r="N33" i="11"/>
  <c r="N34" i="11"/>
  <c r="N24" i="11"/>
  <c r="F62" i="3"/>
  <c r="F63" i="3" s="1"/>
  <c r="F64" i="3" s="1"/>
  <c r="G64" i="3" s="1"/>
  <c r="H64" i="3" s="1"/>
  <c r="I64" i="3" s="1"/>
  <c r="J64" i="3" s="1"/>
  <c r="K64" i="3" s="1"/>
  <c r="J30" i="3"/>
  <c r="I30" i="3"/>
  <c r="I29" i="3"/>
  <c r="J28" i="3"/>
  <c r="I28" i="3"/>
  <c r="J27" i="3"/>
  <c r="I27" i="3"/>
  <c r="I26" i="3"/>
  <c r="I25" i="3"/>
  <c r="I24" i="3"/>
  <c r="J12" i="3"/>
  <c r="F23" i="3" s="1"/>
  <c r="I23" i="3" s="1"/>
  <c r="I12" i="3"/>
  <c r="F27" i="3" s="1"/>
  <c r="H12" i="3"/>
  <c r="F30" i="3" s="1"/>
  <c r="K11" i="9"/>
  <c r="E18" i="9" s="1"/>
  <c r="I11" i="9"/>
  <c r="E27" i="9" s="1"/>
  <c r="H11" i="9"/>
  <c r="E30" i="9" s="1"/>
  <c r="F30" i="9" s="1"/>
  <c r="O27" i="9" l="1"/>
  <c r="P27" i="9" s="1"/>
  <c r="F27" i="9"/>
  <c r="O30" i="9"/>
  <c r="P30" i="9" s="1"/>
  <c r="M30" i="9"/>
  <c r="N30" i="9" s="1"/>
  <c r="O18" i="9"/>
  <c r="M18" i="9"/>
  <c r="E29" i="9"/>
  <c r="F29" i="9" s="1"/>
  <c r="E23" i="9"/>
  <c r="I31" i="3"/>
  <c r="F18" i="3"/>
  <c r="J23" i="3" s="1"/>
  <c r="J31" i="3" s="1"/>
  <c r="F29" i="3"/>
  <c r="O23" i="9" l="1"/>
  <c r="F31" i="9"/>
  <c r="M27" i="9"/>
  <c r="N27" i="9" s="1"/>
  <c r="N31" i="9" s="1"/>
  <c r="O29" i="9"/>
  <c r="P29" i="9" s="1"/>
  <c r="P31" i="9" s="1"/>
  <c r="M29" i="9"/>
  <c r="N29" i="9" s="1"/>
  <c r="M23" i="9"/>
  <c r="F31" i="3"/>
  <c r="J32" i="3" s="1"/>
  <c r="J33" i="3" s="1"/>
  <c r="O31" i="9" l="1"/>
  <c r="O32" i="9" s="1"/>
  <c r="C40" i="9" s="1"/>
  <c r="M31" i="9"/>
  <c r="M32" i="9" s="1"/>
  <c r="O33" i="9" s="1"/>
  <c r="P33" i="9" s="1"/>
  <c r="F32" i="3"/>
  <c r="H33" i="3" s="1"/>
  <c r="I26" i="9"/>
  <c r="K28" i="9"/>
  <c r="I29" i="9"/>
  <c r="K30" i="9"/>
  <c r="K27" i="9"/>
  <c r="K25" i="9"/>
  <c r="I24" i="9"/>
  <c r="S25" i="9" l="1"/>
  <c r="T25" i="9" s="1"/>
  <c r="L25" i="9"/>
  <c r="S28" i="9"/>
  <c r="T28" i="9" s="1"/>
  <c r="L28" i="9"/>
  <c r="S27" i="9"/>
  <c r="T27" i="9" s="1"/>
  <c r="L27" i="9"/>
  <c r="Q26" i="9"/>
  <c r="R26" i="9" s="1"/>
  <c r="J26" i="9"/>
  <c r="S30" i="9"/>
  <c r="T30" i="9" s="1"/>
  <c r="L30" i="9"/>
  <c r="Q24" i="9"/>
  <c r="R24" i="9" s="1"/>
  <c r="J24" i="9"/>
  <c r="Q29" i="9"/>
  <c r="R29" i="9" s="1"/>
  <c r="J29" i="9"/>
  <c r="I30" i="9"/>
  <c r="I25" i="9"/>
  <c r="I27" i="9"/>
  <c r="I28" i="9"/>
  <c r="T31" i="9" l="1"/>
  <c r="Q25" i="9"/>
  <c r="R25" i="9" s="1"/>
  <c r="J25" i="9"/>
  <c r="Q30" i="9"/>
  <c r="R30" i="9" s="1"/>
  <c r="J30" i="9"/>
  <c r="Q28" i="9"/>
  <c r="R28" i="9" s="1"/>
  <c r="J28" i="9"/>
  <c r="Q27" i="9"/>
  <c r="R27" i="9" s="1"/>
  <c r="J27" i="9"/>
  <c r="I23" i="9"/>
  <c r="G40" i="3"/>
  <c r="G41" i="3"/>
  <c r="G42" i="3"/>
  <c r="G43" i="3"/>
  <c r="G44" i="3"/>
  <c r="G45" i="3"/>
  <c r="G46" i="3"/>
  <c r="G47" i="3"/>
  <c r="G48" i="3"/>
  <c r="G49" i="3"/>
  <c r="G50" i="3"/>
  <c r="G51" i="3"/>
  <c r="G52" i="3"/>
  <c r="G39" i="3"/>
  <c r="H90" i="6"/>
  <c r="G90" i="6"/>
  <c r="F90" i="6"/>
  <c r="D90" i="6"/>
  <c r="C90" i="6"/>
  <c r="H87" i="6"/>
  <c r="F87" i="6"/>
  <c r="D78" i="6"/>
  <c r="I55" i="6"/>
  <c r="D87" i="6" s="1"/>
  <c r="H55" i="6"/>
  <c r="G55" i="6"/>
  <c r="G87" i="6" s="1"/>
  <c r="K47" i="6"/>
  <c r="K26" i="6"/>
  <c r="R20" i="6"/>
  <c r="R21" i="6" s="1"/>
  <c r="R22" i="6" s="1"/>
  <c r="F24" i="6" s="1"/>
  <c r="G24" i="6" s="1"/>
  <c r="S21" i="6"/>
  <c r="S22" i="6" s="1"/>
  <c r="N23" i="6" s="1"/>
  <c r="O23" i="6" s="1"/>
  <c r="Q20" i="6"/>
  <c r="Q21" i="6" s="1"/>
  <c r="Q22" i="6" s="1"/>
  <c r="H24" i="6" s="1"/>
  <c r="I24" i="6" s="1"/>
  <c r="O11" i="11"/>
  <c r="P11" i="11"/>
  <c r="Q11" i="11"/>
  <c r="T10" i="11"/>
  <c r="S10" i="11"/>
  <c r="R9" i="11"/>
  <c r="T9" i="11"/>
  <c r="S9" i="11"/>
  <c r="R10" i="11"/>
  <c r="C87" i="6" l="1"/>
  <c r="R31" i="9"/>
  <c r="Q23" i="9"/>
  <c r="Q31" i="9" s="1"/>
  <c r="Q32" i="9" s="1"/>
  <c r="J23" i="9"/>
  <c r="J31" i="9" s="1"/>
  <c r="S11" i="11"/>
  <c r="T11" i="11"/>
  <c r="H32" i="6"/>
  <c r="I32" i="6" s="1"/>
  <c r="H36" i="6"/>
  <c r="I36" i="6" s="1"/>
  <c r="H40" i="6"/>
  <c r="I40" i="6" s="1"/>
  <c r="H44" i="6"/>
  <c r="I44" i="6" s="1"/>
  <c r="N33" i="6"/>
  <c r="O33" i="6" s="1"/>
  <c r="N45" i="6"/>
  <c r="O45" i="6" s="1"/>
  <c r="F37" i="6"/>
  <c r="G37" i="6" s="1"/>
  <c r="F41" i="6"/>
  <c r="G41" i="6" s="1"/>
  <c r="F31" i="6"/>
  <c r="G31" i="6" s="1"/>
  <c r="F43" i="6"/>
  <c r="G43" i="6" s="1"/>
  <c r="F32" i="6"/>
  <c r="G32" i="6" s="1"/>
  <c r="F36" i="6"/>
  <c r="G36" i="6" s="1"/>
  <c r="N37" i="6"/>
  <c r="O37" i="6" s="1"/>
  <c r="N46" i="6"/>
  <c r="O46" i="6" s="1"/>
  <c r="N38" i="6"/>
  <c r="O38" i="6" s="1"/>
  <c r="N30" i="6"/>
  <c r="O30" i="6" s="1"/>
  <c r="N41" i="6"/>
  <c r="O41" i="6" s="1"/>
  <c r="F33" i="6"/>
  <c r="G33" i="6" s="1"/>
  <c r="F39" i="6"/>
  <c r="G39" i="6" s="1"/>
  <c r="F44" i="6"/>
  <c r="G44" i="6" s="1"/>
  <c r="F35" i="6"/>
  <c r="G35" i="6" s="1"/>
  <c r="F40" i="6"/>
  <c r="G40" i="6" s="1"/>
  <c r="F45" i="6"/>
  <c r="G45" i="6" s="1"/>
  <c r="N34" i="6"/>
  <c r="O34" i="6" s="1"/>
  <c r="N42" i="6"/>
  <c r="O42" i="6" s="1"/>
  <c r="N36" i="11"/>
  <c r="K23" i="9"/>
  <c r="L23" i="9" s="1"/>
  <c r="L31" i="9" s="1"/>
  <c r="E31" i="9"/>
  <c r="G53" i="3"/>
  <c r="G37" i="3" s="1"/>
  <c r="H33" i="6"/>
  <c r="I33" i="6" s="1"/>
  <c r="H37" i="6"/>
  <c r="I37" i="6" s="1"/>
  <c r="H41" i="6"/>
  <c r="I41" i="6" s="1"/>
  <c r="H45" i="6"/>
  <c r="I45" i="6" s="1"/>
  <c r="L47" i="6"/>
  <c r="J74" i="3" s="1"/>
  <c r="N21" i="6"/>
  <c r="O21" i="6" s="1"/>
  <c r="H30" i="6"/>
  <c r="H34" i="6"/>
  <c r="I34" i="6" s="1"/>
  <c r="H38" i="6"/>
  <c r="I38" i="6" s="1"/>
  <c r="H42" i="6"/>
  <c r="I42" i="6" s="1"/>
  <c r="H46" i="6"/>
  <c r="I46" i="6" s="1"/>
  <c r="N31" i="6"/>
  <c r="O31" i="6" s="1"/>
  <c r="N35" i="6"/>
  <c r="O35" i="6" s="1"/>
  <c r="N39" i="6"/>
  <c r="O39" i="6" s="1"/>
  <c r="N43" i="6"/>
  <c r="O43" i="6" s="1"/>
  <c r="F30" i="6"/>
  <c r="G30" i="6" s="1"/>
  <c r="F34" i="6"/>
  <c r="G34" i="6" s="1"/>
  <c r="F38" i="6"/>
  <c r="G38" i="6" s="1"/>
  <c r="F42" i="6"/>
  <c r="G42" i="6" s="1"/>
  <c r="F46" i="6"/>
  <c r="G46" i="6" s="1"/>
  <c r="H31" i="6"/>
  <c r="I31" i="6" s="1"/>
  <c r="H35" i="6"/>
  <c r="I35" i="6" s="1"/>
  <c r="H39" i="6"/>
  <c r="I39" i="6" s="1"/>
  <c r="H43" i="6"/>
  <c r="I43" i="6" s="1"/>
  <c r="N32" i="6"/>
  <c r="O32" i="6" s="1"/>
  <c r="N36" i="6"/>
  <c r="O36" i="6" s="1"/>
  <c r="N40" i="6"/>
  <c r="O40" i="6" s="1"/>
  <c r="N44" i="6"/>
  <c r="O44" i="6" s="1"/>
  <c r="N16" i="6"/>
  <c r="O16" i="6" s="1"/>
  <c r="H14" i="6"/>
  <c r="I14" i="6" s="1"/>
  <c r="H22" i="6"/>
  <c r="I22" i="6" s="1"/>
  <c r="H17" i="6"/>
  <c r="I17" i="6" s="1"/>
  <c r="H25" i="6"/>
  <c r="I25" i="6" s="1"/>
  <c r="N17" i="6"/>
  <c r="O17" i="6" s="1"/>
  <c r="N22" i="6"/>
  <c r="O22" i="6" s="1"/>
  <c r="H18" i="6"/>
  <c r="I18" i="6" s="1"/>
  <c r="N13" i="6"/>
  <c r="O13" i="6" s="1"/>
  <c r="N18" i="6"/>
  <c r="O18" i="6" s="1"/>
  <c r="N24" i="6"/>
  <c r="O24" i="6" s="1"/>
  <c r="L26" i="6"/>
  <c r="H13" i="6"/>
  <c r="I13" i="6" s="1"/>
  <c r="H21" i="6"/>
  <c r="I21" i="6" s="1"/>
  <c r="N14" i="6"/>
  <c r="O14" i="6" s="1"/>
  <c r="N20" i="6"/>
  <c r="O20" i="6" s="1"/>
  <c r="N25" i="6"/>
  <c r="O25" i="6" s="1"/>
  <c r="F13" i="6"/>
  <c r="G13" i="6" s="1"/>
  <c r="F17" i="6"/>
  <c r="G17" i="6" s="1"/>
  <c r="F21" i="6"/>
  <c r="G21" i="6" s="1"/>
  <c r="F25" i="6"/>
  <c r="G25" i="6" s="1"/>
  <c r="F14" i="6"/>
  <c r="G14" i="6" s="1"/>
  <c r="F18" i="6"/>
  <c r="G18" i="6" s="1"/>
  <c r="F22" i="6"/>
  <c r="G22" i="6" s="1"/>
  <c r="F15" i="6"/>
  <c r="G15" i="6" s="1"/>
  <c r="F19" i="6"/>
  <c r="G19" i="6" s="1"/>
  <c r="F23" i="6"/>
  <c r="G23" i="6" s="1"/>
  <c r="H15" i="6"/>
  <c r="I15" i="6" s="1"/>
  <c r="H19" i="6"/>
  <c r="I19" i="6" s="1"/>
  <c r="H23" i="6"/>
  <c r="I23" i="6" s="1"/>
  <c r="F16" i="6"/>
  <c r="G16" i="6" s="1"/>
  <c r="F20" i="6"/>
  <c r="G20" i="6" s="1"/>
  <c r="H16" i="6"/>
  <c r="I16" i="6" s="1"/>
  <c r="H20" i="6"/>
  <c r="I20" i="6" s="1"/>
  <c r="N15" i="6"/>
  <c r="O15" i="6" s="1"/>
  <c r="N19" i="6"/>
  <c r="O19" i="6" s="1"/>
  <c r="R11" i="11"/>
  <c r="C47" i="6"/>
  <c r="D31" i="6"/>
  <c r="D32" i="6"/>
  <c r="D33" i="6"/>
  <c r="D34" i="6"/>
  <c r="D35" i="6"/>
  <c r="D36" i="6"/>
  <c r="D37" i="6"/>
  <c r="D38" i="6"/>
  <c r="D39" i="6"/>
  <c r="D40" i="6"/>
  <c r="D41" i="6"/>
  <c r="D42" i="6"/>
  <c r="D43" i="6"/>
  <c r="D44" i="6"/>
  <c r="D45" i="6"/>
  <c r="D46" i="6"/>
  <c r="C26" i="6"/>
  <c r="D14" i="6"/>
  <c r="D15" i="6"/>
  <c r="D16" i="6"/>
  <c r="D17" i="6"/>
  <c r="D18" i="6"/>
  <c r="D19" i="6"/>
  <c r="D20" i="6"/>
  <c r="D21" i="6"/>
  <c r="D22" i="6"/>
  <c r="D23" i="6"/>
  <c r="D24" i="6"/>
  <c r="D25" i="6"/>
  <c r="J72" i="3" l="1"/>
  <c r="F79" i="6"/>
  <c r="F83" i="6" s="1"/>
  <c r="Q33" i="9"/>
  <c r="R33" i="9" s="1"/>
  <c r="C41" i="9"/>
  <c r="E32" i="9"/>
  <c r="R12" i="11"/>
  <c r="D14" i="11" s="1"/>
  <c r="C41" i="11"/>
  <c r="F88" i="3"/>
  <c r="F89" i="3"/>
  <c r="I26" i="6"/>
  <c r="K31" i="9"/>
  <c r="K32" i="9" s="1"/>
  <c r="S23" i="9"/>
  <c r="G60" i="6"/>
  <c r="G88" i="6"/>
  <c r="O47" i="6"/>
  <c r="G47" i="6"/>
  <c r="H47" i="6"/>
  <c r="I30" i="6"/>
  <c r="I47" i="6" s="1"/>
  <c r="O26" i="6"/>
  <c r="G26" i="6"/>
  <c r="H26" i="6"/>
  <c r="D26" i="6"/>
  <c r="D47" i="6"/>
  <c r="F74" i="3" s="1"/>
  <c r="E14" i="11"/>
  <c r="K14" i="11"/>
  <c r="C14" i="11"/>
  <c r="I14" i="11"/>
  <c r="G10" i="11"/>
  <c r="C12" i="11"/>
  <c r="C13" i="11" s="1"/>
  <c r="F55" i="6"/>
  <c r="F60" i="6" s="1"/>
  <c r="C79" i="6" l="1"/>
  <c r="F72" i="3"/>
  <c r="F78" i="6"/>
  <c r="C78" i="6"/>
  <c r="K33" i="9"/>
  <c r="L33" i="9" s="1"/>
  <c r="J14" i="11"/>
  <c r="I15" i="11" s="1"/>
  <c r="I16" i="11" s="1"/>
  <c r="C15" i="11"/>
  <c r="C16" i="11" s="1"/>
  <c r="G6" i="6"/>
  <c r="H74" i="3"/>
  <c r="K59" i="6"/>
  <c r="H72" i="3"/>
  <c r="E79" i="6"/>
  <c r="K60" i="6"/>
  <c r="G5" i="6"/>
  <c r="D79" i="6"/>
  <c r="G79" i="6"/>
  <c r="G83" i="6" s="1"/>
  <c r="G84" i="6" s="1"/>
  <c r="F88" i="6"/>
  <c r="F92" i="6" s="1"/>
  <c r="F93" i="6" s="1"/>
  <c r="F84" i="6"/>
  <c r="S31" i="9"/>
  <c r="S32" i="9" s="1"/>
  <c r="C88" i="6"/>
  <c r="F59" i="6"/>
  <c r="G59" i="6"/>
  <c r="G72" i="3"/>
  <c r="D88" i="6"/>
  <c r="G74" i="3"/>
  <c r="I59" i="6"/>
  <c r="H59" i="6"/>
  <c r="G92" i="6"/>
  <c r="G93" i="6" s="1"/>
  <c r="I72" i="3"/>
  <c r="H88" i="6"/>
  <c r="I74" i="3"/>
  <c r="S33" i="9" l="1"/>
  <c r="T33" i="9" s="1"/>
  <c r="C42" i="9"/>
  <c r="E42" i="9" s="1"/>
  <c r="G42" i="9" s="1"/>
  <c r="J17" i="11"/>
  <c r="E83" i="6"/>
  <c r="C83" i="6"/>
  <c r="C84" i="6" s="1"/>
  <c r="C92" i="6"/>
  <c r="C93" i="6" s="1"/>
  <c r="D83" i="6"/>
  <c r="D84" i="6" s="1"/>
  <c r="D92" i="6"/>
  <c r="D93" i="6" s="1"/>
  <c r="H92" i="6"/>
  <c r="H93" i="6" s="1"/>
  <c r="D12" i="11"/>
  <c r="D13" i="11" s="1"/>
  <c r="K12" i="11"/>
  <c r="K13" i="11" s="1"/>
  <c r="J12" i="11"/>
  <c r="J13" i="11" s="1"/>
  <c r="M11" i="11"/>
  <c r="L11" i="11"/>
  <c r="M10" i="11"/>
  <c r="L10" i="11"/>
  <c r="M9" i="11"/>
  <c r="L9" i="11"/>
  <c r="K17" i="11" l="1"/>
  <c r="G36" i="11"/>
  <c r="D104" i="3" s="1"/>
  <c r="J55" i="6" l="1"/>
  <c r="C68" i="6"/>
  <c r="C74" i="6"/>
  <c r="F36" i="11"/>
  <c r="C36" i="11"/>
  <c r="D36" i="11"/>
  <c r="E36" i="11"/>
  <c r="J77" i="3" l="1"/>
  <c r="I77" i="3"/>
  <c r="K65" i="3" s="1"/>
  <c r="K66" i="3" s="1"/>
  <c r="K67" i="3" s="1"/>
  <c r="G77" i="3"/>
  <c r="H77" i="3"/>
  <c r="I65" i="3" s="1"/>
  <c r="I66" i="3" s="1"/>
  <c r="I67" i="3" s="1"/>
  <c r="F77" i="3"/>
  <c r="E80" i="6"/>
  <c r="J76" i="3"/>
  <c r="J81" i="3" s="1"/>
  <c r="H76" i="3"/>
  <c r="H81" i="3" s="1"/>
  <c r="I76" i="3"/>
  <c r="I81" i="3" s="1"/>
  <c r="G76" i="3"/>
  <c r="F76" i="3"/>
  <c r="F81" i="3" s="1"/>
  <c r="F89" i="6"/>
  <c r="F91" i="6" s="1"/>
  <c r="D80" i="6"/>
  <c r="D82" i="6" s="1"/>
  <c r="D89" i="6"/>
  <c r="D91" i="6" s="1"/>
  <c r="H89" i="6"/>
  <c r="H91" i="6" s="1"/>
  <c r="C89" i="6"/>
  <c r="C91" i="6" s="1"/>
  <c r="C80" i="6"/>
  <c r="C82" i="6" s="1"/>
  <c r="G89" i="6"/>
  <c r="G91" i="6" s="1"/>
  <c r="F80" i="6"/>
  <c r="F82" i="6" s="1"/>
  <c r="G80" i="6"/>
  <c r="E78" i="6"/>
  <c r="E82" i="6" s="1"/>
  <c r="G78" i="6"/>
  <c r="J60" i="6"/>
  <c r="J59" i="6"/>
  <c r="D102" i="3"/>
  <c r="D103" i="3" s="1"/>
  <c r="C39" i="11"/>
  <c r="C40" i="11"/>
  <c r="D105" i="3" s="1"/>
  <c r="D100" i="3"/>
  <c r="D101" i="3" s="1"/>
  <c r="C38" i="11"/>
  <c r="N47" i="6"/>
  <c r="N26" i="6"/>
  <c r="E12" i="11"/>
  <c r="E13" i="11" s="1"/>
  <c r="F10" i="11"/>
  <c r="G9" i="11"/>
  <c r="F9" i="11"/>
  <c r="J65" i="3" l="1"/>
  <c r="J66" i="3" s="1"/>
  <c r="J67" i="3" s="1"/>
  <c r="G65" i="3"/>
  <c r="G66" i="3" s="1"/>
  <c r="G67" i="3" s="1"/>
  <c r="G82" i="6"/>
  <c r="G81" i="3"/>
  <c r="H65" i="3" s="1"/>
  <c r="H66" i="3" s="1"/>
  <c r="H67" i="3" s="1"/>
  <c r="F47" i="6"/>
  <c r="F26" i="6"/>
  <c r="I31" i="9" l="1"/>
  <c r="I32" i="9" s="1"/>
  <c r="E41" i="9" s="1"/>
  <c r="G41" i="9" s="1"/>
  <c r="I33" i="9" l="1"/>
  <c r="J33"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PVanWyk</author>
  </authors>
  <commentList>
    <comment ref="F17" authorId="0" shapeId="0" xr:uid="{00000000-0006-0000-0200-000001000000}">
      <text>
        <r>
          <rPr>
            <b/>
            <sz val="9"/>
            <color indexed="81"/>
            <rFont val="Tahoma"/>
            <family val="2"/>
          </rPr>
          <t>SMaclean:</t>
        </r>
        <r>
          <rPr>
            <sz val="9"/>
            <color indexed="81"/>
            <rFont val="Tahoma"/>
            <family val="2"/>
          </rPr>
          <t xml:space="preserve">
Current Gross salary for permanent employees</t>
        </r>
      </text>
    </comment>
    <comment ref="C88" authorId="0" shapeId="0" xr:uid="{00000000-0006-0000-0200-000002000000}">
      <text>
        <r>
          <rPr>
            <b/>
            <sz val="9"/>
            <color indexed="81"/>
            <rFont val="Tahoma"/>
            <family val="2"/>
          </rPr>
          <t>SMaclean:</t>
        </r>
        <r>
          <rPr>
            <sz val="9"/>
            <color indexed="81"/>
            <rFont val="Tahoma"/>
            <family val="2"/>
          </rPr>
          <t xml:space="preserve">
Sec. Verifications is currently done within 2 to 3 days for BAS users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PVanWyk</author>
  </authors>
  <commentList>
    <comment ref="E17" authorId="0" shapeId="0" xr:uid="{00000000-0006-0000-0300-000001000000}">
      <text>
        <r>
          <rPr>
            <b/>
            <sz val="9"/>
            <color indexed="81"/>
            <rFont val="Tahoma"/>
            <family val="2"/>
          </rPr>
          <t>SMaclean:</t>
        </r>
        <r>
          <rPr>
            <sz val="9"/>
            <color indexed="81"/>
            <rFont val="Tahoma"/>
            <family val="2"/>
          </rPr>
          <t xml:space="preserve">
Current Gross salary for permanent employees. Green indicate new and/or vacant posts to be filled. All vacancies will be filled on Salary Level 11, 10 and 7 respectively.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PVanWyk</author>
  </authors>
  <commentList>
    <comment ref="C65" authorId="0" shapeId="0" xr:uid="{00000000-0006-0000-0500-000001000000}">
      <text>
        <r>
          <rPr>
            <b/>
            <sz val="9"/>
            <color indexed="81"/>
            <rFont val="Tahoma"/>
            <family val="2"/>
          </rPr>
          <t xml:space="preserve">SMaclean:
</t>
        </r>
        <r>
          <rPr>
            <sz val="9"/>
            <color indexed="81"/>
            <rFont val="Tahoma"/>
            <family val="2"/>
          </rPr>
          <t xml:space="preserve">Extra day included for SCOA forums - held twice a year or as the need arise
</t>
        </r>
      </text>
    </comment>
    <comment ref="C67" authorId="0" shapeId="0" xr:uid="{00000000-0006-0000-0500-000002000000}">
      <text>
        <r>
          <rPr>
            <b/>
            <sz val="9"/>
            <color indexed="81"/>
            <rFont val="Tahoma"/>
            <family val="2"/>
          </rPr>
          <t xml:space="preserve">SMaclean:
</t>
        </r>
        <r>
          <rPr>
            <sz val="9"/>
            <color indexed="81"/>
            <rFont val="Tahoma"/>
            <family val="2"/>
          </rPr>
          <t xml:space="preserve">Extra day included for SCOA forums - held twice a year or as the need arise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PVanWyk</author>
  </authors>
  <commentList>
    <comment ref="S4" authorId="0" shapeId="0" xr:uid="{00000000-0006-0000-0600-000001000000}">
      <text>
        <r>
          <rPr>
            <b/>
            <sz val="9"/>
            <color indexed="81"/>
            <rFont val="Tahoma"/>
            <family val="2"/>
          </rPr>
          <t>SMaclean:</t>
        </r>
        <r>
          <rPr>
            <sz val="9"/>
            <color indexed="81"/>
            <rFont val="Tahoma"/>
            <family val="2"/>
          </rPr>
          <t xml:space="preserve">
Maximum time it will take to resolve a request is between 5 and 15 minutes. Incidents take longer to resolve, however most incidents that cannot be resolved within approximately 3 hours are referred to National Treasury.</t>
        </r>
      </text>
    </comment>
    <comment ref="N9" authorId="0" shapeId="0" xr:uid="{00000000-0006-0000-0600-000002000000}">
      <text>
        <r>
          <rPr>
            <b/>
            <sz val="9"/>
            <color indexed="81"/>
            <rFont val="Tahoma"/>
            <charset val="1"/>
          </rPr>
          <t xml:space="preserve">SMaclean:
</t>
        </r>
        <r>
          <rPr>
            <sz val="9"/>
            <color indexed="81"/>
            <rFont val="Tahoma"/>
            <family val="2"/>
          </rPr>
          <t>A request can be done within 2 - 15 minutes, i.e. resets, user creations, Add supplier, Create an ICN, Segments, Capture a Parameter, Amend a user profile, activate a segment detail e.g. Item. This is the standard time in which requests can be finalised - under normal circumstances (not taking into account system problems)</t>
        </r>
        <r>
          <rPr>
            <sz val="9"/>
            <color indexed="81"/>
            <rFont val="Tahoma"/>
            <charset val="1"/>
          </rPr>
          <t xml:space="preserve">
ALL calls must be resolved within 24 hours (3 Working days). This is not an indication of the time it takes to 'resolve' a call, but rather the time granted to attend to a call.
</t>
        </r>
      </text>
    </comment>
    <comment ref="B10" authorId="0" shapeId="0" xr:uid="{00000000-0006-0000-0600-000003000000}">
      <text>
        <r>
          <rPr>
            <b/>
            <sz val="9"/>
            <color indexed="81"/>
            <rFont val="Tahoma"/>
            <family val="2"/>
          </rPr>
          <t>SMaclean:</t>
        </r>
        <r>
          <rPr>
            <sz val="9"/>
            <color indexed="81"/>
            <rFont val="Tahoma"/>
            <family val="2"/>
          </rPr>
          <t xml:space="preserve">
Special reference made to resets as the function has been automated in 2017</t>
        </r>
      </text>
    </comment>
    <comment ref="H10" authorId="0" shapeId="0" xr:uid="{00000000-0006-0000-0600-000004000000}">
      <text>
        <r>
          <rPr>
            <b/>
            <sz val="9"/>
            <color indexed="81"/>
            <rFont val="Tahoma"/>
            <family val="2"/>
          </rPr>
          <t>SMaclean:</t>
        </r>
        <r>
          <rPr>
            <sz val="9"/>
            <color indexed="81"/>
            <rFont val="Tahoma"/>
            <family val="2"/>
          </rPr>
          <t xml:space="preserve">
Special reference to Item control number - ICN's has significantly decreased as Implementation for the Province are done, except for the New Hospital in De Aar.</t>
        </r>
      </text>
    </comment>
    <comment ref="N10" authorId="0" shapeId="0" xr:uid="{00000000-0006-0000-0600-000005000000}">
      <text>
        <r>
          <rPr>
            <b/>
            <sz val="9"/>
            <color indexed="81"/>
            <rFont val="Tahoma"/>
            <family val="2"/>
          </rPr>
          <t xml:space="preserve">SMaclean:
</t>
        </r>
        <r>
          <rPr>
            <sz val="9"/>
            <color indexed="81"/>
            <rFont val="Tahoma"/>
            <family val="2"/>
          </rPr>
          <t>Incidents range from 5 minutes to more than 3 days if the call was referred to National Treasury. 
Incidents include request for information, reports on old databases. Incidents that cannot be resolved within approximately 4 hours (not consecutive hours), are referred to National Treasury, hence the maximum time allocated for purposes of this PER is 4 hours.</t>
        </r>
      </text>
    </comment>
    <comment ref="H11" authorId="0" shapeId="0" xr:uid="{00000000-0006-0000-0600-000006000000}">
      <text>
        <r>
          <rPr>
            <b/>
            <sz val="9"/>
            <color indexed="81"/>
            <rFont val="Tahoma"/>
            <family val="2"/>
          </rPr>
          <t>SMaclean:</t>
        </r>
        <r>
          <rPr>
            <sz val="9"/>
            <color indexed="81"/>
            <rFont val="Tahoma"/>
            <family val="2"/>
          </rPr>
          <t xml:space="preserve">
Special reference to requests from suppliers, the implementation of CSD has lead to a significant decrease in request</t>
        </r>
      </text>
    </comment>
    <comment ref="K13" authorId="0" shapeId="0" xr:uid="{00000000-0006-0000-0600-000007000000}">
      <text>
        <r>
          <rPr>
            <b/>
            <sz val="9"/>
            <color indexed="81"/>
            <rFont val="Tahoma"/>
            <family val="2"/>
          </rPr>
          <t>SMaclean:</t>
        </r>
        <r>
          <rPr>
            <sz val="9"/>
            <color indexed="81"/>
            <rFont val="Tahoma"/>
            <family val="2"/>
          </rPr>
          <t xml:space="preserve">
Calls divided by an average of 5 officials, 1 resigned as at 01 June 2018, 1 transferred as at 01 October 2018, 1 resigned as at end of November 2018
</t>
        </r>
      </text>
    </comment>
    <comment ref="B40" authorId="0" shapeId="0" xr:uid="{00000000-0006-0000-0600-000008000000}">
      <text>
        <r>
          <rPr>
            <b/>
            <sz val="9"/>
            <color indexed="81"/>
            <rFont val="Tahoma"/>
            <family val="2"/>
          </rPr>
          <t>SMaclean:</t>
        </r>
        <r>
          <rPr>
            <sz val="9"/>
            <color indexed="81"/>
            <rFont val="Tahoma"/>
            <family val="2"/>
          </rPr>
          <t xml:space="preserve">
Users per Syscon if BAS and LOGIS are merged.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PVanWyk</author>
  </authors>
  <commentList>
    <comment ref="C21" authorId="0" shapeId="0" xr:uid="{00000000-0006-0000-0800-000001000000}">
      <text>
        <r>
          <rPr>
            <b/>
            <sz val="9"/>
            <color indexed="81"/>
            <rFont val="Tahoma"/>
            <family val="2"/>
          </rPr>
          <t>SMaclean:</t>
        </r>
        <r>
          <rPr>
            <sz val="9"/>
            <color indexed="81"/>
            <rFont val="Tahoma"/>
            <family val="2"/>
          </rPr>
          <t xml:space="preserve">
3 Vacancies as per current approved structure, 1 post is filled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PVanWyk</author>
  </authors>
  <commentList>
    <comment ref="A6" authorId="0" shapeId="0" xr:uid="{00000000-0006-0000-0900-000001000000}">
      <text>
        <r>
          <rPr>
            <b/>
            <sz val="9"/>
            <color indexed="81"/>
            <rFont val="Tahoma"/>
            <family val="2"/>
          </rPr>
          <t>SMaclean:</t>
        </r>
        <r>
          <rPr>
            <sz val="9"/>
            <color indexed="81"/>
            <rFont val="Tahoma"/>
            <family val="2"/>
          </rPr>
          <t xml:space="preserve">
Special reference made to resets as the function has been automated in 2017</t>
        </r>
      </text>
    </comment>
    <comment ref="A23" authorId="0" shapeId="0" xr:uid="{00000000-0006-0000-0900-000002000000}">
      <text>
        <r>
          <rPr>
            <b/>
            <sz val="9"/>
            <color indexed="81"/>
            <rFont val="Tahoma"/>
            <family val="2"/>
          </rPr>
          <t>SMaclean:</t>
        </r>
        <r>
          <rPr>
            <sz val="9"/>
            <color indexed="81"/>
            <rFont val="Tahoma"/>
            <family val="2"/>
          </rPr>
          <t xml:space="preserve">
Special reference to Item control number - ICN's has significantly decreased as Implementation for the Province are done, except for the New Hospital in De Aar.</t>
        </r>
      </text>
    </comment>
    <comment ref="A24" authorId="0" shapeId="0" xr:uid="{00000000-0006-0000-0900-000003000000}">
      <text>
        <r>
          <rPr>
            <b/>
            <sz val="9"/>
            <color indexed="81"/>
            <rFont val="Tahoma"/>
            <family val="2"/>
          </rPr>
          <t>SMaclean:</t>
        </r>
        <r>
          <rPr>
            <sz val="9"/>
            <color indexed="81"/>
            <rFont val="Tahoma"/>
            <family val="2"/>
          </rPr>
          <t xml:space="preserve">
Special reference to requests from suppliers, the implementation of CSD has lead to a significant decrease in request</t>
        </r>
      </text>
    </comment>
  </commentList>
</comments>
</file>

<file path=xl/sharedStrings.xml><?xml version="1.0" encoding="utf-8"?>
<sst xmlns="http://schemas.openxmlformats.org/spreadsheetml/2006/main" count="784" uniqueCount="484">
  <si>
    <t>By</t>
  </si>
  <si>
    <t>Shirene Maclean</t>
  </si>
  <si>
    <t>BAS Support and Administration</t>
  </si>
  <si>
    <t>Deputy Director</t>
  </si>
  <si>
    <t>Total Cost to implement programme change</t>
  </si>
  <si>
    <t>Assumptions</t>
  </si>
  <si>
    <t>2016/17</t>
  </si>
  <si>
    <t>2017/18</t>
  </si>
  <si>
    <t>Financial Assumptions</t>
  </si>
  <si>
    <t>General Assumptions</t>
  </si>
  <si>
    <t>Salary levels of key staff</t>
  </si>
  <si>
    <t>Work days per annum</t>
  </si>
  <si>
    <t>Non core work days per annum</t>
  </si>
  <si>
    <t>Core work days per annum</t>
  </si>
  <si>
    <t>2018/19</t>
  </si>
  <si>
    <t xml:space="preserve">LOGIS Support and Management </t>
  </si>
  <si>
    <t xml:space="preserve">Deputy Director </t>
  </si>
  <si>
    <t>Assistant Director</t>
  </si>
  <si>
    <t xml:space="preserve">Assistant Director </t>
  </si>
  <si>
    <t>Salary level</t>
  </si>
  <si>
    <t>Financial Admin Officer</t>
  </si>
  <si>
    <t>Full time TCE</t>
  </si>
  <si>
    <t>Financial Administration Officer</t>
  </si>
  <si>
    <t>BAS Training Sessions</t>
  </si>
  <si>
    <t>General Principles</t>
  </si>
  <si>
    <t>General Journals</t>
  </si>
  <si>
    <t>Financial Reporting</t>
  </si>
  <si>
    <t>Bank Reconciliation</t>
  </si>
  <si>
    <t>SAL/Persal Exceptions</t>
  </si>
  <si>
    <t>Cash Receipts</t>
  </si>
  <si>
    <t>Debt</t>
  </si>
  <si>
    <t>Budgets</t>
  </si>
  <si>
    <t>Duration (Days)</t>
  </si>
  <si>
    <t>LOGIS Training Sessions</t>
  </si>
  <si>
    <t>Logis Literacy</t>
  </si>
  <si>
    <t xml:space="preserve">10 BAS Training sessions to be held per Financial Year as per the APP </t>
  </si>
  <si>
    <t xml:space="preserve">16 LOGIS Training sessions to be held per Financial Year as per the APP </t>
  </si>
  <si>
    <t>Logis Asset Management</t>
  </si>
  <si>
    <t>Logis System Controller Functional</t>
  </si>
  <si>
    <t>Logis Asset Verification</t>
  </si>
  <si>
    <t>Logis Asset Miscellaneous</t>
  </si>
  <si>
    <t>Logis Posted/Automated Transit Manual</t>
  </si>
  <si>
    <t>As per training schedule</t>
  </si>
  <si>
    <t>Adhoc</t>
  </si>
  <si>
    <t>Total hours per financial year</t>
  </si>
  <si>
    <t>FY 2019/2020</t>
  </si>
  <si>
    <t>BAS and LOGIS Calls logged and resolved for MTEF 2016/17 - 2018/19</t>
  </si>
  <si>
    <t>YoY Increase/decrease</t>
  </si>
  <si>
    <t>BAS CALLS</t>
  </si>
  <si>
    <t>Total calls</t>
  </si>
  <si>
    <t>Resets</t>
  </si>
  <si>
    <t>LOGIS CALLS</t>
  </si>
  <si>
    <t>New ICN's</t>
  </si>
  <si>
    <t>Supplier Admin</t>
  </si>
  <si>
    <t>BAS</t>
  </si>
  <si>
    <t>LOGIS</t>
  </si>
  <si>
    <t>Average per quarter</t>
  </si>
  <si>
    <t>Average per Official/per quarter</t>
  </si>
  <si>
    <t>Current Scenario</t>
  </si>
  <si>
    <t>Trainers</t>
  </si>
  <si>
    <t>Conduct all training sessions</t>
  </si>
  <si>
    <t>Divided by 3 officials</t>
  </si>
  <si>
    <t>Employees</t>
  </si>
  <si>
    <t>Unit</t>
  </si>
  <si>
    <t>FY 2020/2021</t>
  </si>
  <si>
    <t>May</t>
  </si>
  <si>
    <t>Time away from office/working hours</t>
  </si>
  <si>
    <t>Feb/March</t>
  </si>
  <si>
    <t>February</t>
  </si>
  <si>
    <t>August</t>
  </si>
  <si>
    <t>November</t>
  </si>
  <si>
    <t>May/June</t>
  </si>
  <si>
    <t>August/September</t>
  </si>
  <si>
    <t>November/December</t>
  </si>
  <si>
    <t>Max. Average hours</t>
  </si>
  <si>
    <t>LOGIS Training Sessions scheduled for 2019/20</t>
  </si>
  <si>
    <t>BAS Training Sessions scheduled for 2019/20</t>
  </si>
  <si>
    <t>Logis Order</t>
  </si>
  <si>
    <t>Logis System Controller Admin</t>
  </si>
  <si>
    <t>Monitoring and Support services rendered to 13 Departments and 47 Logis stores</t>
  </si>
  <si>
    <t>NC: Education</t>
  </si>
  <si>
    <t>NC: Provincial Treasury</t>
  </si>
  <si>
    <t>NC: Health</t>
  </si>
  <si>
    <t>NC: Transport, Safety &amp; Liaison</t>
  </si>
  <si>
    <t>NC: Sport, Arts &amp; Culture</t>
  </si>
  <si>
    <t>NC Economic Development</t>
  </si>
  <si>
    <t>NC: Roads &amp; Public Works</t>
  </si>
  <si>
    <t>NC: Social Development</t>
  </si>
  <si>
    <t>NC: Environment &amp; Nature Conservation</t>
  </si>
  <si>
    <t>NC: Office of the Premier</t>
  </si>
  <si>
    <t>Departments</t>
  </si>
  <si>
    <t xml:space="preserve">TOTAL USERS </t>
  </si>
  <si>
    <t>2017/2018</t>
  </si>
  <si>
    <t>2016/2017</t>
  </si>
  <si>
    <t>BAS USERS</t>
  </si>
  <si>
    <t>Users with BAS and LOGIS User-ids</t>
  </si>
  <si>
    <t>A checklist to list all the critical actions that must take place to ensure the successful implementation of the BAS system</t>
  </si>
  <si>
    <t>Create preparation and implementation plans and obtain signoff – usually signed off by the CFO</t>
  </si>
  <si>
    <t>Asses the technical environment in the departments and align as per the need of the system</t>
  </si>
  <si>
    <t>Compile a Provincial policy/procedure manual regarding the utilisation of User-id’s</t>
  </si>
  <si>
    <t>Similarities</t>
  </si>
  <si>
    <t>Challenges</t>
  </si>
  <si>
    <t>Sessions scheduled per FY</t>
  </si>
  <si>
    <t>As per training scheduled</t>
  </si>
  <si>
    <t>Public Holidays</t>
  </si>
  <si>
    <t>Weekends</t>
  </si>
  <si>
    <t xml:space="preserve">Working days per FY cycle </t>
  </si>
  <si>
    <t>Remaining hours - scenario 1</t>
  </si>
  <si>
    <t>Remaining hours - scenario 2</t>
  </si>
  <si>
    <t xml:space="preserve">Process: The Deputy Director send the training programme in March/April to all the Logis System controllers, BAS sub-system controllers and/or representatives to requests nominations. Nominations received are then consolidated by the Assistant Director as per the training session he/she will conduct. These nominations are then captured on the training database. The trainer will then send an email 1 to 2 weeks before the training to confirm attendance for the nominated officials or update the training database as per the changes requested by departments. The trainer then need to print the learning material, attendance register, evaluation sheets, exam papers, conduct the training, mark the exam papers, update the training database, prepare and print the certificates, cover letters, and have the certificates signed. Certificates are usually handed out at the Provincial user forums unless otherwise requested. The days/hours above is in consideration of all the preparations and finalisations. </t>
  </si>
  <si>
    <t>Assumption</t>
  </si>
  <si>
    <t>Average working hours p/a</t>
  </si>
  <si>
    <t>Training</t>
  </si>
  <si>
    <t>LOGIS user forums</t>
  </si>
  <si>
    <t>Current LOGIS users per Syscon</t>
  </si>
  <si>
    <t>Current BAS users per Syscon</t>
  </si>
  <si>
    <t>CURRENT STRUCTURE</t>
  </si>
  <si>
    <t>PROPOSED STRUCTURE</t>
  </si>
  <si>
    <t>1 x Deputy Directors</t>
  </si>
  <si>
    <t>3 x Assistant Director</t>
  </si>
  <si>
    <t>4 x Assistant Director</t>
  </si>
  <si>
    <t>Directorate: Supporting and Interlinked Financial Systems</t>
  </si>
  <si>
    <t>Sub-Directorate: BAS Support and Administration</t>
  </si>
  <si>
    <t>Sub-Directorate: LOGIS Management and Support</t>
  </si>
  <si>
    <t>COSTED PLAN STRUCTURE</t>
  </si>
  <si>
    <t>SCENARIO 1</t>
  </si>
  <si>
    <t>SCENARIO 2</t>
  </si>
  <si>
    <t>Purpose</t>
  </si>
  <si>
    <t>Sub-Directorate: BAS and LOGIS Support, Management and Administration</t>
  </si>
  <si>
    <t>Strategic Objective</t>
  </si>
  <si>
    <t>To provide oversight and management of interlinked financial systems and enhancing compliance with the PFMA and other relevant legislation within the provincial administration</t>
  </si>
  <si>
    <t>To manage and render functional support to BAS users</t>
  </si>
  <si>
    <t>BLUE - Changes to structure</t>
  </si>
  <si>
    <t>4 x Financial Administration officers</t>
  </si>
  <si>
    <t>3 x Financial Administration officers</t>
  </si>
  <si>
    <t>5 x Assistant Director</t>
  </si>
  <si>
    <t>GREEN - Proposed changes</t>
  </si>
  <si>
    <t>Gold - Vacancies</t>
  </si>
  <si>
    <t>To manage the provision of financial systems oversight for provincial government</t>
  </si>
  <si>
    <t>1 X Director</t>
  </si>
  <si>
    <t>1x Secretary</t>
  </si>
  <si>
    <t>Average users per Syscon</t>
  </si>
  <si>
    <t>1 x Deputy Director</t>
  </si>
  <si>
    <t>Average hours spend on training per Official</t>
  </si>
  <si>
    <t>A checklist to list all the critical actions that must take place to ensure the successful implementation of the LOGIS system</t>
  </si>
  <si>
    <t>Differences</t>
  </si>
  <si>
    <t>Create BAS users, set up security profiles, grant users access to workflows as per their job descriptions and add printers.</t>
  </si>
  <si>
    <t>Create LOGIS users, set up security profiles, grant users access to workflows as per their job descriptions and add printers</t>
  </si>
  <si>
    <t xml:space="preserve">Capture Parameters, this include capturing the LOGIS stores created on LOGIS for PI purposes, </t>
  </si>
  <si>
    <t>Capture and/or re-instate Transaction Processing Rules</t>
  </si>
  <si>
    <t>Capture Item Control Numbers, Add Suppliers and Add Personnel.</t>
  </si>
  <si>
    <t>Create LOGIS stores for all departments</t>
  </si>
  <si>
    <t>The code structure are captured and maintained on BAS, whereas Assets, Inventories and Consumables are captured and maintained on LOGIS</t>
  </si>
  <si>
    <t>The co-ordination, implementation and maintenance process of BAS and LOGIS for departments (system controllers).</t>
  </si>
  <si>
    <t>Monitor and verify the utilisation of LOGIS and LBIS at the current live sites, Co-ordinate LOGIS support services and provide guidance to the current live sites, Co-ordinate the capacity building of LOGIS users</t>
  </si>
  <si>
    <t>6 x Assistant Director</t>
  </si>
  <si>
    <t>1 Financial Administration Officer</t>
  </si>
  <si>
    <t xml:space="preserve">Compile, prepare and maintain LOGIS guidelines and training materials. Conduct training needs analysis and provide LOGIS training services accordingly. Update and maintain the training database. Attend National user forums and coordinate Provincial user forums </t>
  </si>
  <si>
    <t xml:space="preserve">Compile, prepare and maintain BAS guidelines and training materials. Conduct training needs analysis and provide BAS training services accordingly. Update and maintain the training database. Attend National user forums and coordinate Provincial user forums </t>
  </si>
  <si>
    <t>Monitor the loading of store item balances, oversee verification of assets/store items, update store control files. Verify content of monthly reports published on LBIS, point out shortcomings and advise departments accordingly, verify supplier administration, verify codification, visit self-accountable sites and perform Quality Assessments.</t>
  </si>
  <si>
    <t>BAS and LOGIS System controllers need to be trained on both systems respectively</t>
  </si>
  <si>
    <t>The co-ordination, implementation and maintenance process of BAS and LOGIS for departments (Deputy Directors).</t>
  </si>
  <si>
    <t>Manage and/or coordinate the capacity building of all BAS users - overall managerial responsibility for BAS training in the province, represent the province at National BAS user forums/workshops, responsible for Provincial user forums</t>
  </si>
  <si>
    <t>Manage and/or coordinate the capacity building of all LOGIS users - overall managerial responsibility for LOGIS training in the province, represent the province at National LOGIS user forums/workshops, responsible for Provincial user forums</t>
  </si>
  <si>
    <t>Manage the component - perform strategic and operation planning, manage stakeholder relationships, oversee the administrative support functions, perform people, financial asset management</t>
  </si>
  <si>
    <t>Monitor quarterly security checks, amend and implement amendments of the provincial BAS Security Management Manual.</t>
  </si>
  <si>
    <t>Provide Financial year-end guidance- adherence to prescribed Month, Year and Final Audit closure</t>
  </si>
  <si>
    <t>Rendering a Provincial BAS helpdesk function to all BAS users and assist with the implementation of a change in Provincial Banker as and when needed.</t>
  </si>
  <si>
    <t>Manage the preparation, implementation and maintenance of LOGIS at sites in the province</t>
  </si>
  <si>
    <t>Present and introduce management reports and other LOGIS related facilities to manage activated sites, consolidate and submit rollout progress reports</t>
  </si>
  <si>
    <t>Manage the monitoring of compliance to prescribed legislation, policies and guidelines relating to all BAS processes</t>
  </si>
  <si>
    <t>Manage the monitoring of compliance and enforcement of prescribed legislation, policies and guidelines relating to all BAS processes</t>
  </si>
  <si>
    <t>Additional Notes</t>
  </si>
  <si>
    <t>Monitor functional support on LOGIS, Supplier Administration and the Codification process.</t>
  </si>
  <si>
    <t>Consolidate FYE closure dates and statuses, and report on the clearing of suspense accounts, examine, consolidate and report on the passing of Opening Journals</t>
  </si>
  <si>
    <t>Monitor and report on the BAS vs LOGIS utilisation</t>
  </si>
  <si>
    <t>Download and analyse reports, point out shortcomings to sites, prepare LOGIS management information reports in terms of spend analysis, commitments and accruals, inventory reforms.</t>
  </si>
  <si>
    <t>LOGIS has been implemented successfully across the Province.</t>
  </si>
  <si>
    <t>Similarities/Differences between BAS and LOGIS in terms of roles of Deputy Directors and Assistant Directors (BAS had not appointed and Administrative officer in the past 10 years)</t>
  </si>
  <si>
    <t>Supplier administration has significantly decreased as a result of the implementation of CSD (Central Supplier Database)</t>
  </si>
  <si>
    <t>1 x Financial Administration Officer</t>
  </si>
  <si>
    <t>Manage the support services and guidance rendered to provincial BAS and LOGIS users</t>
  </si>
  <si>
    <t>Manage and/or coordinate the performing of BAS and LOGIS system controller functions</t>
  </si>
  <si>
    <t>Manage and/or coordinate the capacity building of all BAS and LOGIS users</t>
  </si>
  <si>
    <t>Manage the component</t>
  </si>
  <si>
    <t>Assistant Directors (5 AD's - BAS and LOGIS Management, Support and Administration)</t>
  </si>
  <si>
    <t>Capacity building of all BAS and LOGIS users - conduct training to all BAS and LOGIS users</t>
  </si>
  <si>
    <t>Monitor compliance and enforcement of prescribed legislation, policies and guidelines relating to all BAS and LOGIS processes</t>
  </si>
  <si>
    <t xml:space="preserve">Perform BAS System controller functions and monitor and verify the utilisation of BAS and LOGIS </t>
  </si>
  <si>
    <t>Co-ordinate, implement and maintain LOGIS at sites.</t>
  </si>
  <si>
    <t>Render support services and provide guidance to all provincial BAS and LOGIS users</t>
  </si>
  <si>
    <t>Administrative management of the section/Unit</t>
  </si>
  <si>
    <t xml:space="preserve">Assistant Director: Administration and Support </t>
  </si>
  <si>
    <t>Provide training administrative services for BAS and LOGIS</t>
  </si>
  <si>
    <t>Compile, prepare and maintain BAS and LOGIS training guidelines and materials</t>
  </si>
  <si>
    <t>Co-ordinate BAS and LOGIS user forums</t>
  </si>
  <si>
    <t>Perform LOGIS Supplier administration and codification functions</t>
  </si>
  <si>
    <t>Financial Administration Officer: BAS and LOGIS Support</t>
  </si>
  <si>
    <t>Manage the coordination of BAS and LOGIS user forums</t>
  </si>
  <si>
    <t>Monitor/conduct LOGIS Supplier administration and codification functions</t>
  </si>
  <si>
    <t>Provide LOGIS support with regards to supplier administration and codification</t>
  </si>
  <si>
    <t>Prepare and distribute results/certificates to all users</t>
  </si>
  <si>
    <t>Manage and maintain the training database</t>
  </si>
  <si>
    <t>Maintain the training database</t>
  </si>
  <si>
    <t>Facilitate logistics relating to training.</t>
  </si>
  <si>
    <t>Capacity building of all BAS and LOGIS users - conduct training to all BAS and LOGIS users (will include some administrative functions)</t>
  </si>
  <si>
    <t>Deputy Director: BAS Support and Administration</t>
  </si>
  <si>
    <t>Deputy Director: LOGIS Management and Support</t>
  </si>
  <si>
    <t>Manage the support services and guidance rendered to Provincial BAS Users</t>
  </si>
  <si>
    <t>Manage the monitoring of compliance and enforcement of prescribed legislation, policy and guidelines relating to all BAS processes</t>
  </si>
  <si>
    <t>Manage and/or coordinate the performing of BAS system controller functions</t>
  </si>
  <si>
    <t>Manage and/or coordinate the capacity building of all BAS users</t>
  </si>
  <si>
    <t>Manage the components</t>
  </si>
  <si>
    <t>Manage the capacity building of LOGIS users</t>
  </si>
  <si>
    <t>Manage the support services and guidelines rendered to LOGIS users</t>
  </si>
  <si>
    <t>Manage the monitoring of compliance to prescribed legislation, policies and guidelines relating to the LOGIS processes</t>
  </si>
  <si>
    <t>Render a support service to all provincial BAS users</t>
  </si>
  <si>
    <t>Monitoring of compliance and enforcement of prescribed legislation, policy and guidelines relating to all BAS processes</t>
  </si>
  <si>
    <t>Building Capacity of BAS users</t>
  </si>
  <si>
    <t>Assistant Directors: LOGIS Support (2)</t>
  </si>
  <si>
    <t>Assistant Directors: BAS Support and Administration (3)</t>
  </si>
  <si>
    <t>Assistant Directors: LOGIS Training (1)</t>
  </si>
  <si>
    <t>Co-ordinate the capacity building of LOGIS users</t>
  </si>
  <si>
    <t>Co-ordinate LOGIS support services and provide guidance to the current live sites</t>
  </si>
  <si>
    <t>Monitor and verify the utilisation of LOGIS and LBIS at current live sites</t>
  </si>
  <si>
    <t>Co-ordinate, implement and maintain LOGIS sites</t>
  </si>
  <si>
    <t>Develop training materials</t>
  </si>
  <si>
    <t>Co-ordinate user forums</t>
  </si>
  <si>
    <t>Administrative Officer: LOGIS Training (1)</t>
  </si>
  <si>
    <t>Conduct LOGIS training to all LOGIS users</t>
  </si>
  <si>
    <t>Provide inputs on the development and updating of training materials and manuals</t>
  </si>
  <si>
    <t>Support Personnel and Salary controllers in the provincial departments with LOGIS related problems</t>
  </si>
  <si>
    <t>Provide guidance on LOGIS circulars, practice notes and LOGIS tables</t>
  </si>
  <si>
    <t>Administrative Officer: LOGIS Implementation and support (1)</t>
  </si>
  <si>
    <t>Assistant Directors: LOGIS Supplier Admin and Codification (2), 1 filled, 1 vacant</t>
  </si>
  <si>
    <t>Conduct/monitor the verification and authorisation of banking details and supplier credentials</t>
  </si>
  <si>
    <t>Prepare, implement and maintain LOGIS at sites</t>
  </si>
  <si>
    <t>Support the utilisation of LOGIS and LBIS by current live sites</t>
  </si>
  <si>
    <t>Render the LOGIS support services and guidance provided to the current live sites</t>
  </si>
  <si>
    <t>Requests</t>
  </si>
  <si>
    <t>Incidents</t>
  </si>
  <si>
    <t>Consolidate nominations received</t>
  </si>
  <si>
    <t>Mark Exam papers</t>
  </si>
  <si>
    <t>Prepare, print and distribute certificates</t>
  </si>
  <si>
    <t>Scenario 1</t>
  </si>
  <si>
    <t>Scenario 2</t>
  </si>
  <si>
    <t>2018/2019</t>
  </si>
  <si>
    <t>Minutes</t>
  </si>
  <si>
    <t>Average time spend on calls in minutes</t>
  </si>
  <si>
    <t>Total</t>
  </si>
  <si>
    <t>Average minutes spend on calls</t>
  </si>
  <si>
    <t>Average Hours spend per FY to resolve calls</t>
  </si>
  <si>
    <t>Request and download reports</t>
  </si>
  <si>
    <t>Filter data for information as per the security verifications requests</t>
  </si>
  <si>
    <t>Verify documents against reports</t>
  </si>
  <si>
    <t>Prepare Security Verification for the department</t>
  </si>
  <si>
    <t xml:space="preserve">Update the Matrix </t>
  </si>
  <si>
    <t>Visit the department to verify users and have the security verification signed off by the CFO</t>
  </si>
  <si>
    <t xml:space="preserve">Average per FY </t>
  </si>
  <si>
    <t>Average time allocated to Security Verifications per department on both systems</t>
  </si>
  <si>
    <t>LOGIS USERS</t>
  </si>
  <si>
    <t>Provide/conduct LOGIS training to all LOGIS users</t>
  </si>
  <si>
    <t>Send e-mails to confirm training sessions (can be one email or an email per department)</t>
  </si>
  <si>
    <t>Average hours to arrange and finalise a training session</t>
  </si>
  <si>
    <t>Average days to arrange and finalise a training session</t>
  </si>
  <si>
    <t>Average minutes to arrange and finalise a training session</t>
  </si>
  <si>
    <t>FAO</t>
  </si>
  <si>
    <t>AD</t>
  </si>
  <si>
    <t>Activity</t>
  </si>
  <si>
    <t>Approximate input(hours) needed to conduct training sessions</t>
  </si>
  <si>
    <t>Approximate input(hours) needed to manage training sessions</t>
  </si>
  <si>
    <t>Approximate input(hours) needed to administrate training sessions</t>
  </si>
  <si>
    <t>Approximate input(hours) needed to manage and administrate training sessions</t>
  </si>
  <si>
    <t>Approximate input(days) needed to manage training sessions</t>
  </si>
  <si>
    <t>Approximate input(days) needed to administrate training sessions</t>
  </si>
  <si>
    <t>Approximate input(days) needed to manage and administrate training sessions</t>
  </si>
  <si>
    <t>-</t>
  </si>
  <si>
    <t>Scenario 1: Conduct training (5 AD's)</t>
  </si>
  <si>
    <t>Scenario 1: Management of training (1 AD)</t>
  </si>
  <si>
    <t>Scenario 1: Administration of training (1 FAO)</t>
  </si>
  <si>
    <t>Scenario 2: Conduct training (5 AD's)</t>
  </si>
  <si>
    <t>Scenario 2: Management and Administration of training (1 FAO)</t>
  </si>
  <si>
    <t xml:space="preserve">Average hours left after training/workshops </t>
  </si>
  <si>
    <t>Average days spend on training per Official</t>
  </si>
  <si>
    <t>Air transport</t>
  </si>
  <si>
    <t>Meals</t>
  </si>
  <si>
    <t>Subsistence and Travel Allowance</t>
  </si>
  <si>
    <t>Training - LOGIS train-the-trainer for  BAS and LOGIS System Controllers</t>
  </si>
  <si>
    <t>Training - BAS training for LOGIS System Controllers</t>
  </si>
  <si>
    <t>Training - LOGIS System Controller training for BAS System Controllers</t>
  </si>
  <si>
    <t>Number of Officials to be trained</t>
  </si>
  <si>
    <t>Duration of training (Days)</t>
  </si>
  <si>
    <t>Salary Level</t>
  </si>
  <si>
    <t>Proposed structure</t>
  </si>
  <si>
    <t>Current Gross Salary</t>
  </si>
  <si>
    <t>Average Hours spend for MTEF 2016/17-2018/19 to resolve calls</t>
  </si>
  <si>
    <t>Salary Scale 2019/2020</t>
  </si>
  <si>
    <t>Average time allocated to calls in minutes</t>
  </si>
  <si>
    <t>Scenario 1 - costed plan - based on 2019/2020 TCE</t>
  </si>
  <si>
    <t>Scenario 2 - costed plan - based on 2019/2020 TCE</t>
  </si>
  <si>
    <t>Salary adjustment 2019/2020</t>
  </si>
  <si>
    <t>Salary notch 2018/2019</t>
  </si>
  <si>
    <t>Salary Level 7</t>
  </si>
  <si>
    <t>Salary Level 9</t>
  </si>
  <si>
    <t>Salary Level 11</t>
  </si>
  <si>
    <t>Salary notch 20119/2020</t>
  </si>
  <si>
    <t>PMDS 2017/2018</t>
  </si>
  <si>
    <t>Projected savings based on costed plan</t>
  </si>
  <si>
    <t>Capacity Building</t>
  </si>
  <si>
    <t>BAS Training</t>
  </si>
  <si>
    <t>LOGIS Forums</t>
  </si>
  <si>
    <t>Support Services</t>
  </si>
  <si>
    <t>Support Calls</t>
  </si>
  <si>
    <t>Monitoring of suspense accounts</t>
  </si>
  <si>
    <t>Quarterly report on Department's activities</t>
  </si>
  <si>
    <t>Commitment and Accruals reports</t>
  </si>
  <si>
    <t>Spend Analysis</t>
  </si>
  <si>
    <t xml:space="preserve">BAS Forums/Workshops </t>
  </si>
  <si>
    <t>National</t>
  </si>
  <si>
    <t>Provincial</t>
  </si>
  <si>
    <t>National (BAS and SCOA)</t>
  </si>
  <si>
    <t>Hours required per FY to conduct training/attend forums</t>
  </si>
  <si>
    <t>Hours required to manage/co-ordinate training sessions</t>
  </si>
  <si>
    <t>Hours required for the administration of training sessions</t>
  </si>
  <si>
    <t>Hours required to manage/co-ordinate training sessions and perform administrative functions</t>
  </si>
  <si>
    <t>Total input needed for Capacity building</t>
  </si>
  <si>
    <t>Security Verifications (Currently still 12 Departments, will be 11 Departments once DENC and DALR&amp;RD has fully merged</t>
  </si>
  <si>
    <t>Average hours</t>
  </si>
  <si>
    <t>Average hours spend by LOGIS Support (FAO's) on LOGIS calls during the MTEF 2016/17-2018/2019</t>
  </si>
  <si>
    <t>Average hours spend by System controllers on BAS and LOGIS calls during the MTEF 2016/17-2018/2019</t>
  </si>
  <si>
    <t>Percentage of ICN and Supplier Administrations calls processed by FAO</t>
  </si>
  <si>
    <t>Average Hours spend for MTEF 2016/17-2018/19 to resolve calls per AD (3), 4FAO's for 2 FY's - Average 3</t>
  </si>
  <si>
    <t>Users</t>
  </si>
  <si>
    <t>Current BAS users</t>
  </si>
  <si>
    <t>Current LOGIS users</t>
  </si>
  <si>
    <t>Number of users per System Controller</t>
  </si>
  <si>
    <t>Users with BAS and LOGIS user-ids (Needed to access both systems for officials who are responsible for payments and BAS functionalities)</t>
  </si>
  <si>
    <t>Gen Assumptions'!A1</t>
  </si>
  <si>
    <t>Capacity Building'!A1</t>
  </si>
  <si>
    <t>Process flows'!A1</t>
  </si>
  <si>
    <t>Structure!A1</t>
  </si>
  <si>
    <t>This workbook contains information on the general processes for BAS and LOGIS. It outlines the similarities and differences between the two units</t>
  </si>
  <si>
    <t>This workbook contains information regarding the resources/time needed to perform this KPA</t>
  </si>
  <si>
    <t>Monitoring and Support'!A1</t>
  </si>
  <si>
    <t>Can the same or beter results be achieved in a more effective and efficient way if the BAS and LOGIS units are merged?</t>
  </si>
  <si>
    <t>This workbook contains assumptions based on the information collected</t>
  </si>
  <si>
    <t>AD-Training Management and Support</t>
  </si>
  <si>
    <t>FAO -Scenario 2</t>
  </si>
  <si>
    <t>LOGIS Training</t>
  </si>
  <si>
    <t>Accommodation</t>
  </si>
  <si>
    <t>Monitoring of suspense accounts and reporting</t>
  </si>
  <si>
    <t>Current departments per System Controller</t>
  </si>
  <si>
    <t>2/3</t>
  </si>
  <si>
    <t>BAS (1 AD will be responsible for 3 small departments)</t>
  </si>
  <si>
    <t>LOGIS (1 AD will be responsible for 3 small departments)</t>
  </si>
  <si>
    <t>Average users per System Controller if the costed plan is approved</t>
  </si>
  <si>
    <t>FAO - Scenario 1</t>
  </si>
  <si>
    <t>AD: System Controller - Scenario 1</t>
  </si>
  <si>
    <t>AD: System Controller - Scenario 2</t>
  </si>
  <si>
    <t>Approximate input needed for training preparation and finalisation</t>
  </si>
  <si>
    <t>Directorate: Financial Information Management Systems (FIMS)</t>
  </si>
  <si>
    <t>To managed and render functional support to LOGIS users</t>
  </si>
  <si>
    <t>To managed and render functional support to BAS and LOGIS users</t>
  </si>
  <si>
    <t>Key Performance areas (KPA's)</t>
  </si>
  <si>
    <t>Manage the preparation, implementation and maintenance of LOGIS sites in the province</t>
  </si>
  <si>
    <t>Manage the monitoring of compliance and enforcement of prescribed legislation, policies and guidelines relating to all BAS and LOGIS users</t>
  </si>
  <si>
    <t>Compile, prepare and maintain training materials and guidelines and facilitate logistics relating to training.</t>
  </si>
  <si>
    <t>Perform BAS System controller functions</t>
  </si>
  <si>
    <t>Provide training administrative services for BAS and LOGIS, including the preparation, printing and distribution of certificates</t>
  </si>
  <si>
    <t>Manage the maintenance of the training database</t>
  </si>
  <si>
    <t>Administrative management of Section/Unit</t>
  </si>
  <si>
    <t>Facilitate logistics relating to training</t>
  </si>
  <si>
    <t>Perform codification functions according to prescribed standards</t>
  </si>
  <si>
    <t xml:space="preserve">All Procurement Integration (PI) users need to be captured on BAS as well with user level PI, for PI interfaces to take place between BAS and LOGIS. </t>
  </si>
  <si>
    <t>Monitor compliance and enforcement of prescribed legislation, policies and guidelines relating to BAS processes, render a support service to all provincial BAS users, building capacity of BAS users</t>
  </si>
  <si>
    <t>Assess self-accountable sites that are identified to be implemented on LOGIS, overall managerial responsibility for the preparation, implementation and activation of sites</t>
  </si>
  <si>
    <t>Ensure segment changes as per the budget statement are effected on BAS and submit to PERSAL to capture changes, i.e. Objective and Responsibility changes</t>
  </si>
  <si>
    <t xml:space="preserve">Capture Responsibilities, Projects, Regional Identifiers, Assets, and Objectives. Activate/Re-instate Items, Infrastructure and Fund </t>
  </si>
  <si>
    <t xml:space="preserve">Determine if the department has an Asset/stock catalogue, if consumption history is available and if the list of allocated assets is updated. All Assets/Stock need to be added on LOGIS </t>
  </si>
  <si>
    <t xml:space="preserve">Assist departments during Financial Month and Year - end closure to clear accounts - Debt Accounts, Receipts, Exceptions (BAS/PERSAL), Payables (BAS/LOGIS), monitor the capturing of Opening Journals and Budgets and assist with/monitor Final Audit Closure. </t>
  </si>
  <si>
    <t>Challenges in terms of 2, LOGIS and BAS system controllers need to learn the processes and procedures for the respective systems. This challenge will mostly be dealt with by providing training, however some technical problems will require on the job training. This can only be dealt with by teaching and assisting each other as and when these challenges arise.</t>
  </si>
  <si>
    <t xml:space="preserve">NC: Agriculture, Land, Reform &amp; Rural Reform </t>
  </si>
  <si>
    <t xml:space="preserve">Time allocated as such to make provision for departments like Health who has more than the average number of users, and therefore more activities. Reports take longer to download because of the size of the report (can be anything from 900 to 2000 pages). The average time for departments like OTP will be much less than the allocated time above (reports for smaller departments can be from 100 - 300 pages. The size of the reports depends on the number of transactions/activities per month.  </t>
  </si>
  <si>
    <t>Hours spend on training</t>
  </si>
  <si>
    <t>Facilitate logistical arrangements for training session</t>
  </si>
  <si>
    <t>Update the training database (Training venue accommodate 17 people, hence updates are based on 17 trainees per session)</t>
  </si>
  <si>
    <t xml:space="preserve">Process: The Deputy Director send the training programme in March/April to all the Logis System controllers, BAS sub-system controllers and/or representatives to requests nominations. Nominations received are then consolidated by the Financial Administration Officer. These nominations are then captured on the training database. The FAO will then send an email 1 to 2 weeks before the training to confirm attendance for the nominated officials or update the training database as per the changes requested by departments. The FAO will then prepare and print the attendance register and evaluation sheets. The trainer then need to print the learning material, exam papers, conduct the training, and mark the exam papers. The FAO will then update the training database, prepare and print the certificates, cover letters, and have the certificates signed. Certificates are usually handed out at the Provincial user forums unless otherwise requested. The days/hours above is in consideration of all the preparations and finalisations. </t>
  </si>
  <si>
    <t xml:space="preserve">Challenges in terms of 1.7, both LOGIS and BAS system controllers need to be trained on the LOGIS train-the-trainer course to be accredited to provide LOGIS training (only 1 AD in the LOGIS unit has attended this course). This is a six week course that is compulsory to be provided access to the LOGIS training database. BAS System controllers need training on the LOGIS system i.e. LOGIS Literacy and LOGIS System Controller Functional course, 2 of the 3 System controllers has attended and passed the LOGIS Literacy course, 1 still need to attend, 3 need to attend the 2 week system controller course. LOGIS System controllers need to attend all BAS courses (all of which are conducted Provincialy, except the system controller course). The reason for attending all BAS modules: the system controller course for BAS only focus on the system controller functions and not on the functionalities of BAS, i.e. Debts, Receipts, Bank Reconciliation, PERSAL Exceptions, General Journals, Financial Reporting, Budgets etc., whereas the  LOGIS system controller course focus on the system controller functions as well as the Procurement and Assets processes. </t>
  </si>
  <si>
    <t>To appoint a Deputy Director who can manage and oversee both systems, the official need to know the processes and procedures for both systems, need to have a thorough understanding of the operations of both systems, should be able to compile monthly reports for departments with regard to compliance and performance of both systems, point out shortcoming and provide assistance and support to departments.</t>
  </si>
  <si>
    <t>Current scenario: BAS system controllers- 3 Assistant Directors, conducting training for BAS and 1 Assistant Director at LOGIS conducting training for LOGIS.</t>
  </si>
  <si>
    <t xml:space="preserve">LOGIS create stores, whereas BAS create offices. The LOGIS stores still need to be captured under Parameter 187 - Regional Indicator, for PI to take place. </t>
  </si>
  <si>
    <t>Manage the support services and guidance rendered to Provincial BAS users, Provide Financial year-end guidance- adherence to prescribed Month, Year and Final Audit closure, Ensure segment changes as per the budget statement are effected on BAS and submit to PERSAL to capture changes, i.e. Objective and Responsibility changes.</t>
  </si>
  <si>
    <t>PER to merge the BAS and LOGIS oversight units in the Northern Cape Provincial Treasury</t>
  </si>
  <si>
    <t>One Call' Service</t>
  </si>
  <si>
    <t>2020/2021</t>
  </si>
  <si>
    <t>Growth Projections</t>
  </si>
  <si>
    <t>CPI + 0.5%</t>
  </si>
  <si>
    <t>CPI</t>
  </si>
  <si>
    <t>Current structure</t>
  </si>
  <si>
    <t>Proposed Structure</t>
  </si>
  <si>
    <t>CPI + 1.0%</t>
  </si>
  <si>
    <t>Level 1 to 7</t>
  </si>
  <si>
    <t>Level 8 to 10</t>
  </si>
  <si>
    <t>Level 11 to 12</t>
  </si>
  <si>
    <t>5.0% +1.0%</t>
  </si>
  <si>
    <t>Average Hours spend per official to resolve calls for MTEF 2016/17-2018/19</t>
  </si>
  <si>
    <t>BAS and LOGIS Management and Support</t>
  </si>
  <si>
    <t>Total Projected Expenditure</t>
  </si>
  <si>
    <t xml:space="preserve">Scenario 2: 5 Assistant Directors (5 AD's to conduct and coordinate training) and 1 Financial Administration Officer </t>
  </si>
  <si>
    <t>Merge the  Basic Accounting System and  Logistical Information System oversight support units in the Northern Cape Provincial Treasury.</t>
  </si>
  <si>
    <t>Costing!A1</t>
  </si>
  <si>
    <t>Expenditure Analysis'!A1</t>
  </si>
  <si>
    <t>This workbook contains expenditure analysis on the BAS and LOGIS units in the NC Provincial Treasury over the MTEF for 2016/2017 - 2018/2019</t>
  </si>
  <si>
    <t>Row Labels</t>
  </si>
  <si>
    <t>2015/2016</t>
  </si>
  <si>
    <t>Grand Total</t>
  </si>
  <si>
    <t>BAS Support</t>
  </si>
  <si>
    <t>Basic Salary</t>
  </si>
  <si>
    <t>Housing Allowances</t>
  </si>
  <si>
    <t>NON PENSINABLE ALLOWANCES</t>
  </si>
  <si>
    <t>PERFOMANCE BONUS</t>
  </si>
  <si>
    <t>SERV BASED</t>
  </si>
  <si>
    <t>SERVICE BONUS</t>
  </si>
  <si>
    <t>LOGIS Support</t>
  </si>
  <si>
    <t>NON PENSONABLE ALLOWANCES</t>
  </si>
  <si>
    <t>Work hours per annum</t>
  </si>
  <si>
    <t>Potential savings (%)</t>
  </si>
  <si>
    <t>Potential Savings (R'000)</t>
  </si>
  <si>
    <t xml:space="preserve">Expenditure </t>
  </si>
  <si>
    <t>Salaries</t>
  </si>
  <si>
    <t>Input(hours) needed to conduct training sessions</t>
  </si>
  <si>
    <t>Input(days) needed to administrate training sessions</t>
  </si>
  <si>
    <t>Input(hours) needed to administrate training sessions</t>
  </si>
  <si>
    <t>Approximate input(days) needed to prepare for training sessions</t>
  </si>
  <si>
    <t>Prepare training material</t>
  </si>
  <si>
    <t>Approximate input per trainer (hours)</t>
  </si>
  <si>
    <t>FY 2019/2020 (Hours)/ 5xAD's</t>
  </si>
  <si>
    <t>FY 2020/2021 (Hours)/ 5xAD's</t>
  </si>
  <si>
    <t>FY 2019/2020 (Hours)/ 1xAD</t>
  </si>
  <si>
    <t>FY 2020/2021 (Hours)/ 1xAD</t>
  </si>
  <si>
    <t>FY 2019/2020 (Hours)/ 1xFAO</t>
  </si>
  <si>
    <t>FY 2020/21 (Hours)/ 1xFAO</t>
  </si>
  <si>
    <t>Average work hours remaining for monitoring of suspense accounts, reporting, extra preparation time for training</t>
  </si>
  <si>
    <t>Average days remaining for monitoring of suspense accounts, reporting, extra preparation time for training</t>
  </si>
  <si>
    <t>FAO - Scenario 2</t>
  </si>
  <si>
    <t>Administration Officer</t>
  </si>
  <si>
    <t>1 Deputy Director, 3 Assistant Directors</t>
  </si>
  <si>
    <t>1 Deputy Director, 3 Assistant Directors, 4 Administration Officers</t>
  </si>
  <si>
    <t>Scenario 1: 6 Assistant Directors (5 AD's to conduct training, 1 AD to coordinate training) and 1 Financial Administration Officer (to administrate training)</t>
  </si>
  <si>
    <t xml:space="preserve">Approximate input needed to prepare, conduct and finalise training sessions. </t>
  </si>
  <si>
    <t>BAS currently has 8 training modules, Sundry Payments and Purchase Orders are no longer part of the training provided since the implementation of LOGIS. System Controller training are provided by National Treasury as and when needed, due the fact that the system controller functions is performed at the BAS Support and Administration unit.</t>
  </si>
  <si>
    <t>Approximate input needed to prepare, conduct and finalise training sessions.</t>
  </si>
  <si>
    <t>Logis Payments</t>
  </si>
  <si>
    <t>BAS - National user group forums</t>
  </si>
  <si>
    <t>LOGIS - National user group forums</t>
  </si>
  <si>
    <t>LOGIS - Provincial user group forums</t>
  </si>
  <si>
    <t>BAS - Provincial user group forums</t>
  </si>
  <si>
    <t>BAS user forums</t>
  </si>
  <si>
    <t>Average hours spend on training per official</t>
  </si>
  <si>
    <t>E-mails send to invite users to attend training</t>
  </si>
  <si>
    <t>NC:CO-OP Gov, Human Settlements and Traditional Affairs</t>
  </si>
  <si>
    <t>Average hours needed per official to perform Security verifications on Bas and LOGIS respectively</t>
  </si>
  <si>
    <t>Total hours needed per FY to perform security verifications per department per system</t>
  </si>
  <si>
    <t>Expenditure Analysis for the period 2015/2016 - 2018/2019</t>
  </si>
  <si>
    <t>Setup costs</t>
  </si>
  <si>
    <t xml:space="preserve">Average work hours required for capacity building, monitoring and support </t>
  </si>
  <si>
    <t>Number of sessions per FY (Provision made for 3 Adhoc sessions)</t>
  </si>
  <si>
    <t>Number of sessions per FY (Provision made for 1 Adhoc session)</t>
  </si>
  <si>
    <t>BAS (4 Days per quarter - per department)</t>
  </si>
  <si>
    <t>LOGIS (4 Days per quarter-per department)</t>
  </si>
  <si>
    <t>Proposed Departments per System Controller</t>
  </si>
  <si>
    <t>Working Days required per official for capacity building</t>
  </si>
  <si>
    <t>Average hours it might take to finalise quarterly security verifications per department for BAS and LOGIS</t>
  </si>
  <si>
    <t>Service Bonus</t>
  </si>
  <si>
    <t>Salary notch 2019/2020</t>
  </si>
  <si>
    <t>MTEF 2016/2017 - 2018/2019</t>
  </si>
  <si>
    <t>Average time spend per year</t>
  </si>
  <si>
    <t>AD-Training Management and Support - scenario 1</t>
  </si>
  <si>
    <t>This workbook contains projections on the cost for merging the units</t>
  </si>
  <si>
    <t>Is there a need based on the current proposed structure to appoint more employees in the LOGIS unit?</t>
  </si>
  <si>
    <t>This workbook outlines the current approved structure for BAS and LOGIS, the proposed structure to be implemented, as well as the proposed structures based on the costing plan</t>
  </si>
  <si>
    <t>Average time spend on Supplier Admin and Codification</t>
  </si>
  <si>
    <t>AS PER SCENARIO 1</t>
  </si>
  <si>
    <t>Are there potential similarities/duplications between the two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</si>
</sst>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0_-;\-&quot;£&quot;* #,##0_-;_-&quot;£&quot;* &quot;-&quot;_-;_-@_-"/>
    <numFmt numFmtId="165" formatCode="0.0%"/>
    <numFmt numFmtId="166" formatCode="_ [$R-1C09]\ * #,##0.00_ ;_ [$R-1C09]\ * \-#,##0.00_ ;_ [$R-1C09]\ * &quot;-&quot;??_ ;_ @_ "/>
    <numFmt numFmtId="167" formatCode="[$R-1C09]\ #,##0.00;[$R-1C09]\ \-#,##0.00"/>
  </numFmts>
  <fonts count="48" x14ac:knownFonts="1">
    <font>
      <sz val="11"/>
      <color theme="1"/>
      <name val="Calibri"/>
      <family val="2"/>
      <scheme val="minor"/>
    </font>
    <font>
      <sz val="11"/>
      <color theme="1"/>
      <name val="Calibri"/>
      <family val="2"/>
      <scheme val="minor"/>
    </font>
    <font>
      <b/>
      <sz val="14"/>
      <color theme="1"/>
      <name val="Calibri"/>
      <family val="2"/>
      <scheme val="minor"/>
    </font>
    <font>
      <b/>
      <sz val="16"/>
      <color theme="8"/>
      <name val="Calibri"/>
      <family val="2"/>
      <scheme val="minor"/>
    </font>
    <font>
      <sz val="12"/>
      <color theme="1"/>
      <name val="Calibri"/>
      <family val="2"/>
      <scheme val="minor"/>
    </font>
    <font>
      <b/>
      <sz val="16"/>
      <color theme="1"/>
      <name val="Arial"/>
      <family val="2"/>
    </font>
    <font>
      <b/>
      <sz val="11"/>
      <color theme="1"/>
      <name val="Arial"/>
      <family val="2"/>
    </font>
    <font>
      <sz val="11"/>
      <color theme="1"/>
      <name val="Arial"/>
      <family val="2"/>
    </font>
    <font>
      <b/>
      <sz val="11"/>
      <color rgb="FF000000"/>
      <name val="Arial"/>
      <family val="2"/>
    </font>
    <font>
      <b/>
      <sz val="9"/>
      <color theme="1"/>
      <name val="Arial"/>
      <family val="2"/>
    </font>
    <font>
      <sz val="9"/>
      <color theme="1"/>
      <name val="Arial"/>
      <family val="2"/>
    </font>
    <font>
      <sz val="10"/>
      <color theme="1"/>
      <name val="Arial"/>
      <family val="2"/>
    </font>
    <font>
      <b/>
      <sz val="10"/>
      <color theme="1"/>
      <name val="Arial"/>
      <family val="2"/>
    </font>
    <font>
      <b/>
      <sz val="11"/>
      <color theme="1"/>
      <name val="Calibri"/>
      <family val="2"/>
      <scheme val="minor"/>
    </font>
    <font>
      <sz val="11"/>
      <color rgb="FFFF0000"/>
      <name val="Calibri"/>
      <family val="2"/>
      <scheme val="minor"/>
    </font>
    <font>
      <b/>
      <sz val="14"/>
      <color theme="1"/>
      <name val="Arial"/>
      <family val="2"/>
    </font>
    <font>
      <sz val="10"/>
      <color theme="1"/>
      <name val="Calibri"/>
      <family val="2"/>
      <scheme val="minor"/>
    </font>
    <font>
      <b/>
      <sz val="12"/>
      <color theme="1"/>
      <name val="Calibri"/>
      <family val="2"/>
      <scheme val="minor"/>
    </font>
    <font>
      <sz val="11"/>
      <name val="Calibri"/>
      <family val="2"/>
      <scheme val="minor"/>
    </font>
    <font>
      <sz val="9"/>
      <color indexed="81"/>
      <name val="Tahoma"/>
      <family val="2"/>
    </font>
    <font>
      <b/>
      <sz val="9"/>
      <color indexed="81"/>
      <name val="Tahoma"/>
      <family val="2"/>
    </font>
    <font>
      <b/>
      <sz val="12"/>
      <color theme="1"/>
      <name val="Arial"/>
      <family val="2"/>
    </font>
    <font>
      <sz val="9"/>
      <color theme="1"/>
      <name val="Calibri"/>
      <family val="2"/>
      <scheme val="minor"/>
    </font>
    <font>
      <sz val="11"/>
      <color theme="8"/>
      <name val="Calibri"/>
      <family val="2"/>
      <scheme val="minor"/>
    </font>
    <font>
      <sz val="11"/>
      <color rgb="FF00B050"/>
      <name val="Calibri"/>
      <family val="2"/>
      <scheme val="minor"/>
    </font>
    <font>
      <sz val="9"/>
      <color rgb="FF00B050"/>
      <name val="Calibri"/>
      <family val="2"/>
      <scheme val="minor"/>
    </font>
    <font>
      <sz val="9"/>
      <name val="Calibri"/>
      <family val="2"/>
      <scheme val="minor"/>
    </font>
    <font>
      <b/>
      <sz val="12"/>
      <color theme="8"/>
      <name val="Calibri"/>
      <family val="2"/>
      <scheme val="minor"/>
    </font>
    <font>
      <b/>
      <sz val="12"/>
      <color rgb="FFFF0000"/>
      <name val="Calibri"/>
      <family val="2"/>
      <scheme val="minor"/>
    </font>
    <font>
      <b/>
      <sz val="12"/>
      <color rgb="FF00B050"/>
      <name val="Calibri"/>
      <family val="2"/>
      <scheme val="minor"/>
    </font>
    <font>
      <sz val="9"/>
      <color theme="7"/>
      <name val="Calibri"/>
      <family val="2"/>
      <scheme val="minor"/>
    </font>
    <font>
      <b/>
      <sz val="12"/>
      <color theme="7"/>
      <name val="Calibri"/>
      <family val="2"/>
      <scheme val="minor"/>
    </font>
    <font>
      <b/>
      <sz val="11"/>
      <color rgb="FFFF0000"/>
      <name val="Calibri"/>
      <family val="2"/>
      <scheme val="minor"/>
    </font>
    <font>
      <b/>
      <sz val="11"/>
      <color theme="7"/>
      <name val="Calibri"/>
      <family val="2"/>
      <scheme val="minor"/>
    </font>
    <font>
      <b/>
      <sz val="11"/>
      <color theme="8"/>
      <name val="Calibri"/>
      <family val="2"/>
      <scheme val="minor"/>
    </font>
    <font>
      <sz val="9"/>
      <color indexed="81"/>
      <name val="Tahoma"/>
      <charset val="1"/>
    </font>
    <font>
      <b/>
      <sz val="9"/>
      <color indexed="81"/>
      <name val="Tahoma"/>
      <charset val="1"/>
    </font>
    <font>
      <sz val="12"/>
      <color rgb="FFFF0000"/>
      <name val="Calibri"/>
      <family val="2"/>
      <scheme val="minor"/>
    </font>
    <font>
      <sz val="9"/>
      <color rgb="FF00B050"/>
      <name val="Arial"/>
      <family val="2"/>
    </font>
    <font>
      <b/>
      <sz val="9"/>
      <color theme="7"/>
      <name val="Arial"/>
      <family val="2"/>
    </font>
    <font>
      <b/>
      <sz val="14"/>
      <name val="Arial"/>
      <family val="2"/>
    </font>
    <font>
      <u/>
      <sz val="11"/>
      <color theme="10"/>
      <name val="Calibri"/>
      <family val="2"/>
      <scheme val="minor"/>
    </font>
    <font>
      <b/>
      <sz val="16"/>
      <color theme="1"/>
      <name val="Calibri"/>
      <family val="2"/>
      <scheme val="minor"/>
    </font>
    <font>
      <b/>
      <sz val="12"/>
      <color theme="5"/>
      <name val="Calibri"/>
      <family val="2"/>
      <scheme val="minor"/>
    </font>
    <font>
      <b/>
      <sz val="12"/>
      <color theme="6" tint="-0.249977111117893"/>
      <name val="Calibri"/>
      <family val="2"/>
      <scheme val="minor"/>
    </font>
    <font>
      <b/>
      <sz val="12"/>
      <color theme="5" tint="-0.249977111117893"/>
      <name val="Calibri"/>
      <family val="2"/>
      <scheme val="minor"/>
    </font>
    <font>
      <sz val="11"/>
      <color theme="0"/>
      <name val="Calibri"/>
      <family val="2"/>
      <scheme val="minor"/>
    </font>
    <font>
      <sz val="14"/>
      <color theme="1"/>
      <name val="Calibri"/>
      <family val="2"/>
      <scheme val="minor"/>
    </font>
  </fonts>
  <fills count="41">
    <fill>
      <patternFill patternType="none"/>
    </fill>
    <fill>
      <patternFill patternType="gray125"/>
    </fill>
    <fill>
      <patternFill patternType="solid">
        <fgColor theme="8"/>
        <bgColor indexed="64"/>
      </patternFill>
    </fill>
    <fill>
      <patternFill patternType="solid">
        <fgColor theme="0"/>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5" tint="0.3999755851924192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8" tint="0.79998168889431442"/>
        <bgColor rgb="FF000000"/>
      </patternFill>
    </fill>
    <fill>
      <patternFill patternType="solid">
        <fgColor theme="5" tint="0.79998168889431442"/>
        <bgColor indexed="64"/>
      </patternFill>
    </fill>
    <fill>
      <patternFill patternType="solid">
        <fgColor theme="2"/>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4"/>
        <bgColor indexed="64"/>
      </patternFill>
    </fill>
    <fill>
      <patternFill patternType="solid">
        <fgColor rgb="FFFFFF00"/>
        <bgColor indexed="64"/>
      </patternFill>
    </fill>
    <fill>
      <patternFill patternType="solid">
        <fgColor theme="5"/>
        <bgColor indexed="64"/>
      </patternFill>
    </fill>
    <fill>
      <patternFill patternType="solid">
        <fgColor theme="7"/>
        <bgColor indexed="64"/>
      </patternFill>
    </fill>
    <fill>
      <patternFill patternType="solid">
        <fgColor theme="9"/>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5" tint="-0.249977111117893"/>
        <bgColor indexed="64"/>
      </patternFill>
    </fill>
    <fill>
      <patternFill patternType="solid">
        <fgColor theme="3" tint="0.39997558519241921"/>
        <bgColor indexed="64"/>
      </patternFill>
    </fill>
    <fill>
      <patternFill patternType="solid">
        <fgColor theme="6"/>
        <bgColor indexed="64"/>
      </patternFill>
    </fill>
    <fill>
      <patternFill patternType="solid">
        <fgColor theme="0" tint="-4.9989318521683403E-2"/>
        <bgColor indexed="64"/>
      </patternFill>
    </fill>
    <fill>
      <patternFill patternType="solid">
        <fgColor theme="0"/>
        <bgColor rgb="FF000000"/>
      </patternFill>
    </fill>
    <fill>
      <patternFill patternType="solid">
        <fgColor theme="8" tint="0.39997558519241921"/>
        <bgColor rgb="FF000000"/>
      </patternFill>
    </fill>
    <fill>
      <patternFill patternType="solid">
        <fgColor theme="4"/>
      </patternFill>
    </fill>
    <fill>
      <patternFill patternType="solid">
        <fgColor theme="0" tint="-0.249977111117893"/>
        <bgColor indexed="64"/>
      </patternFill>
    </fill>
    <fill>
      <patternFill patternType="solid">
        <fgColor theme="4" tint="0.79998168889431442"/>
        <bgColor theme="4" tint="0.79998168889431442"/>
      </patternFill>
    </fill>
    <fill>
      <patternFill patternType="solid">
        <fgColor theme="8" tint="0.59999389629810485"/>
        <bgColor theme="4" tint="0.79998168889431442"/>
      </patternFill>
    </fill>
    <fill>
      <patternFill patternType="solid">
        <fgColor rgb="FF00B0F0"/>
        <bgColor indexed="64"/>
      </patternFill>
    </fill>
  </fills>
  <borders count="16">
    <border>
      <left/>
      <right/>
      <top/>
      <bottom/>
      <diagonal/>
    </border>
    <border>
      <left/>
      <right/>
      <top/>
      <bottom style="thin">
        <color auto="1"/>
      </bottom>
      <diagonal/>
    </border>
    <border>
      <left/>
      <right/>
      <top/>
      <bottom style="thin">
        <color theme="2" tint="-0.24994659260841701"/>
      </bottom>
      <diagonal/>
    </border>
    <border>
      <left/>
      <right/>
      <top/>
      <bottom style="thin">
        <color theme="4" tint="0.39997558519241921"/>
      </bottom>
      <diagonal/>
    </border>
    <border>
      <left/>
      <right/>
      <top style="thin">
        <color theme="4" tint="0.39997558519241921"/>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41" fillId="0" borderId="0" applyNumberFormat="0" applyFill="0" applyBorder="0" applyAlignment="0" applyProtection="0"/>
    <xf numFmtId="0" fontId="46" fillId="36" borderId="0" applyNumberFormat="0" applyBorder="0" applyAlignment="0" applyProtection="0"/>
  </cellStyleXfs>
  <cellXfs count="461">
    <xf numFmtId="0" fontId="0" fillId="0" borderId="0" xfId="0"/>
    <xf numFmtId="0" fontId="3" fillId="0" borderId="0" xfId="0" applyFont="1"/>
    <xf numFmtId="15" fontId="0" fillId="0" borderId="0" xfId="0" applyNumberFormat="1"/>
    <xf numFmtId="0" fontId="0" fillId="0" borderId="0" xfId="0" applyAlignment="1">
      <alignment horizontal="left" indent="2"/>
    </xf>
    <xf numFmtId="0" fontId="0" fillId="7" borderId="0" xfId="0" applyFill="1"/>
    <xf numFmtId="0" fontId="0" fillId="5" borderId="0" xfId="0" applyFill="1"/>
    <xf numFmtId="0" fontId="0" fillId="0" borderId="1" xfId="0" applyBorder="1"/>
    <xf numFmtId="0" fontId="0" fillId="0" borderId="2" xfId="0" applyBorder="1"/>
    <xf numFmtId="0" fontId="0" fillId="4" borderId="0" xfId="0" applyFill="1"/>
    <xf numFmtId="0" fontId="0" fillId="3" borderId="0" xfId="0" applyFill="1"/>
    <xf numFmtId="0" fontId="7" fillId="0" borderId="0" xfId="0" applyFont="1" applyProtection="1"/>
    <xf numFmtId="0" fontId="10" fillId="0" borderId="0" xfId="0" applyFont="1" applyAlignment="1" applyProtection="1">
      <alignment horizontal="left" vertical="center" indent="4"/>
    </xf>
    <xf numFmtId="0" fontId="10" fillId="0" borderId="0" xfId="0" applyFont="1" applyAlignment="1" applyProtection="1">
      <alignment horizontal="left" vertical="top" wrapText="1" indent="4"/>
    </xf>
    <xf numFmtId="166" fontId="0" fillId="0" borderId="0" xfId="0" applyNumberFormat="1"/>
    <xf numFmtId="0" fontId="9" fillId="14" borderId="0" xfId="0" applyFont="1" applyFill="1" applyAlignment="1" applyProtection="1">
      <alignment vertical="center" wrapText="1"/>
    </xf>
    <xf numFmtId="0" fontId="0" fillId="0" borderId="0" xfId="0" applyAlignment="1">
      <alignment wrapText="1"/>
    </xf>
    <xf numFmtId="0" fontId="17" fillId="0" borderId="0" xfId="0" applyFont="1"/>
    <xf numFmtId="0" fontId="17" fillId="3" borderId="0" xfId="0" applyFont="1" applyFill="1" applyAlignment="1"/>
    <xf numFmtId="0" fontId="17" fillId="0" borderId="0" xfId="0" applyFont="1" applyAlignment="1">
      <alignment horizontal="center"/>
    </xf>
    <xf numFmtId="0" fontId="13" fillId="5" borderId="0" xfId="0" applyFont="1" applyFill="1" applyAlignment="1">
      <alignment wrapText="1"/>
    </xf>
    <xf numFmtId="0" fontId="0" fillId="6" borderId="0" xfId="0" applyFill="1"/>
    <xf numFmtId="0" fontId="0" fillId="19" borderId="0" xfId="0" applyFill="1"/>
    <xf numFmtId="0" fontId="0" fillId="17" borderId="0" xfId="0" applyFill="1"/>
    <xf numFmtId="0" fontId="0" fillId="20" borderId="0" xfId="0" applyFill="1"/>
    <xf numFmtId="0" fontId="0" fillId="19" borderId="0" xfId="0" applyFill="1" applyAlignment="1">
      <alignment wrapText="1"/>
    </xf>
    <xf numFmtId="0" fontId="0" fillId="20" borderId="0" xfId="0" applyFill="1" applyAlignment="1"/>
    <xf numFmtId="0" fontId="0" fillId="0" borderId="0" xfId="0" applyAlignment="1"/>
    <xf numFmtId="0" fontId="17" fillId="18" borderId="0" xfId="0" applyFont="1" applyFill="1" applyAlignment="1">
      <alignment horizontal="left"/>
    </xf>
    <xf numFmtId="0" fontId="17" fillId="18" borderId="0" xfId="0" applyFont="1" applyFill="1" applyAlignment="1">
      <alignment horizontal="left" wrapText="1"/>
    </xf>
    <xf numFmtId="0" fontId="17" fillId="18" borderId="0" xfId="0" applyFont="1" applyFill="1" applyAlignment="1">
      <alignment wrapText="1"/>
    </xf>
    <xf numFmtId="0" fontId="0" fillId="3" borderId="0" xfId="0" applyFill="1" applyAlignment="1">
      <alignment horizontal="right"/>
    </xf>
    <xf numFmtId="0" fontId="0" fillId="0" borderId="0" xfId="0" applyAlignment="1">
      <alignment horizontal="right"/>
    </xf>
    <xf numFmtId="0" fontId="0" fillId="0" borderId="0" xfId="0" applyAlignment="1">
      <alignment horizontal="left" indent="1"/>
    </xf>
    <xf numFmtId="0" fontId="17" fillId="6" borderId="0" xfId="0" applyFont="1" applyFill="1" applyAlignment="1">
      <alignment horizontal="center" wrapText="1"/>
    </xf>
    <xf numFmtId="0" fontId="17" fillId="6" borderId="0" xfId="0" applyFont="1" applyFill="1" applyAlignment="1">
      <alignment wrapText="1"/>
    </xf>
    <xf numFmtId="0" fontId="4" fillId="0" borderId="0" xfId="0" applyFont="1"/>
    <xf numFmtId="0" fontId="17" fillId="21" borderId="0" xfId="0" applyFont="1" applyFill="1" applyAlignment="1">
      <alignment horizontal="center"/>
    </xf>
    <xf numFmtId="0" fontId="16" fillId="3" borderId="0" xfId="0" applyFont="1" applyFill="1" applyAlignment="1">
      <alignment horizontal="left" wrapText="1"/>
    </xf>
    <xf numFmtId="0" fontId="0" fillId="0" borderId="0" xfId="0" applyAlignment="1">
      <alignment horizontal="center"/>
    </xf>
    <xf numFmtId="0" fontId="16" fillId="3" borderId="0" xfId="0" applyFont="1" applyFill="1" applyAlignment="1">
      <alignment wrapText="1"/>
    </xf>
    <xf numFmtId="0" fontId="17" fillId="0" borderId="0" xfId="0" applyFont="1" applyAlignment="1">
      <alignment horizontal="center"/>
    </xf>
    <xf numFmtId="0" fontId="0" fillId="0" borderId="0" xfId="0" applyFill="1" applyBorder="1" applyAlignment="1">
      <alignment horizontal="left" indent="2"/>
    </xf>
    <xf numFmtId="1" fontId="0" fillId="0" borderId="0" xfId="0" applyNumberFormat="1"/>
    <xf numFmtId="0" fontId="0" fillId="21" borderId="0" xfId="0" applyFill="1" applyAlignment="1">
      <alignment wrapText="1"/>
    </xf>
    <xf numFmtId="0" fontId="0" fillId="21" borderId="0" xfId="0" applyFill="1"/>
    <xf numFmtId="0" fontId="0" fillId="18" borderId="0" xfId="0" applyFill="1"/>
    <xf numFmtId="0" fontId="0" fillId="7" borderId="0" xfId="0" applyFill="1" applyAlignment="1">
      <alignment wrapText="1"/>
    </xf>
    <xf numFmtId="0" fontId="13" fillId="18" borderId="0" xfId="0" applyFont="1" applyFill="1"/>
    <xf numFmtId="166" fontId="0" fillId="12" borderId="0" xfId="0" applyNumberFormat="1" applyFill="1"/>
    <xf numFmtId="0" fontId="17" fillId="3" borderId="0" xfId="0" applyFont="1" applyFill="1" applyAlignment="1">
      <alignment horizontal="center"/>
    </xf>
    <xf numFmtId="0" fontId="17" fillId="3" borderId="0" xfId="0" applyFont="1" applyFill="1"/>
    <xf numFmtId="1" fontId="0" fillId="0" borderId="0" xfId="0" applyNumberFormat="1" applyAlignment="1"/>
    <xf numFmtId="0" fontId="0" fillId="13" borderId="0" xfId="0" applyFont="1" applyFill="1" applyAlignment="1">
      <alignment horizontal="right"/>
    </xf>
    <xf numFmtId="0" fontId="0" fillId="13" borderId="0" xfId="0" applyFill="1" applyAlignment="1">
      <alignment horizontal="right"/>
    </xf>
    <xf numFmtId="0" fontId="1" fillId="13" borderId="0" xfId="2" applyNumberFormat="1" applyFont="1" applyFill="1"/>
    <xf numFmtId="0" fontId="18" fillId="13" borderId="0" xfId="0" applyFont="1" applyFill="1" applyAlignment="1">
      <alignment horizontal="right"/>
    </xf>
    <xf numFmtId="0" fontId="0" fillId="13" borderId="0" xfId="0" applyFill="1" applyAlignment="1">
      <alignment horizontal="right" wrapText="1"/>
    </xf>
    <xf numFmtId="0" fontId="14" fillId="13" borderId="0" xfId="0" applyFont="1" applyFill="1" applyAlignment="1">
      <alignment horizontal="right"/>
    </xf>
    <xf numFmtId="0" fontId="0" fillId="21" borderId="0" xfId="0" applyFont="1" applyFill="1" applyAlignment="1">
      <alignment horizontal="left" indent="2"/>
    </xf>
    <xf numFmtId="0" fontId="0" fillId="21" borderId="0" xfId="0" applyFont="1" applyFill="1"/>
    <xf numFmtId="0" fontId="22" fillId="0" borderId="0" xfId="0" applyFont="1"/>
    <xf numFmtId="0" fontId="24" fillId="3" borderId="0" xfId="0" applyFont="1" applyFill="1"/>
    <xf numFmtId="0" fontId="27" fillId="3" borderId="0" xfId="0" applyFont="1" applyFill="1"/>
    <xf numFmtId="0" fontId="28" fillId="3" borderId="0" xfId="0" applyFont="1" applyFill="1"/>
    <xf numFmtId="0" fontId="29" fillId="3" borderId="0" xfId="0" applyFont="1" applyFill="1"/>
    <xf numFmtId="0" fontId="17" fillId="22" borderId="0" xfId="0" applyFont="1" applyFill="1" applyAlignment="1">
      <alignment horizontal="center"/>
    </xf>
    <xf numFmtId="0" fontId="0" fillId="4" borderId="0" xfId="0" applyFill="1" applyAlignment="1">
      <alignment wrapText="1"/>
    </xf>
    <xf numFmtId="1" fontId="0" fillId="18" borderId="0" xfId="0" applyNumberFormat="1" applyFill="1"/>
    <xf numFmtId="0" fontId="0" fillId="23" borderId="0" xfId="0" applyFont="1" applyFill="1" applyAlignment="1">
      <alignment horizontal="right"/>
    </xf>
    <xf numFmtId="2" fontId="0" fillId="23" borderId="0" xfId="0" applyNumberFormat="1" applyFont="1" applyFill="1" applyAlignment="1">
      <alignment horizontal="right"/>
    </xf>
    <xf numFmtId="9" fontId="0" fillId="23" borderId="0" xfId="2" applyFont="1" applyFill="1"/>
    <xf numFmtId="0" fontId="0" fillId="23" borderId="0" xfId="0" applyFill="1" applyAlignment="1">
      <alignment horizontal="right" indent="1"/>
    </xf>
    <xf numFmtId="0" fontId="0" fillId="23" borderId="0" xfId="0" applyFill="1" applyAlignment="1">
      <alignment horizontal="right"/>
    </xf>
    <xf numFmtId="0" fontId="0" fillId="23" borderId="0" xfId="0" applyFill="1" applyAlignment="1">
      <alignment horizontal="left" indent="2"/>
    </xf>
    <xf numFmtId="0" fontId="0" fillId="23" borderId="0" xfId="0" applyFill="1"/>
    <xf numFmtId="0" fontId="0" fillId="23" borderId="0" xfId="0" applyFill="1" applyAlignment="1">
      <alignment horizontal="left" indent="1"/>
    </xf>
    <xf numFmtId="2" fontId="0" fillId="23" borderId="0" xfId="0" applyNumberFormat="1" applyFill="1" applyAlignment="1">
      <alignment horizontal="left" indent="1"/>
    </xf>
    <xf numFmtId="2" fontId="0" fillId="23" borderId="0" xfId="0" applyNumberFormat="1" applyFill="1" applyAlignment="1"/>
    <xf numFmtId="0" fontId="0" fillId="7" borderId="0" xfId="0" applyFill="1" applyAlignment="1">
      <alignment horizontal="center"/>
    </xf>
    <xf numFmtId="0" fontId="0" fillId="27" borderId="0" xfId="0" applyFill="1" applyAlignment="1">
      <alignment horizontal="center"/>
    </xf>
    <xf numFmtId="0" fontId="0" fillId="6" borderId="0" xfId="0" applyFill="1" applyAlignment="1">
      <alignment horizontal="center"/>
    </xf>
    <xf numFmtId="0" fontId="0" fillId="28" borderId="0" xfId="0" applyFill="1" applyAlignment="1">
      <alignment horizontal="center"/>
    </xf>
    <xf numFmtId="0" fontId="0" fillId="24" borderId="0" xfId="0" applyFill="1" applyAlignment="1">
      <alignment wrapText="1"/>
    </xf>
    <xf numFmtId="0" fontId="0" fillId="5" borderId="0" xfId="0" applyFill="1" applyAlignment="1">
      <alignment wrapText="1"/>
    </xf>
    <xf numFmtId="0" fontId="13" fillId="5" borderId="0" xfId="0" applyFont="1" applyFill="1"/>
    <xf numFmtId="0" fontId="26" fillId="5" borderId="0" xfId="0" applyFont="1" applyFill="1" applyAlignment="1">
      <alignment horizontal="left" vertical="center" wrapText="1"/>
    </xf>
    <xf numFmtId="0" fontId="30" fillId="5" borderId="0" xfId="0" applyFont="1" applyFill="1" applyAlignment="1">
      <alignment horizontal="left" vertical="center" wrapText="1"/>
    </xf>
    <xf numFmtId="0" fontId="26" fillId="5" borderId="0" xfId="0" applyFont="1" applyFill="1" applyAlignment="1">
      <alignment wrapText="1"/>
    </xf>
    <xf numFmtId="0" fontId="22" fillId="5" borderId="0" xfId="0" applyFont="1" applyFill="1"/>
    <xf numFmtId="0" fontId="30" fillId="5" borderId="0" xfId="0" applyFont="1" applyFill="1" applyAlignment="1">
      <alignment wrapText="1"/>
    </xf>
    <xf numFmtId="0" fontId="0" fillId="22" borderId="0" xfId="0" applyFill="1" applyAlignment="1">
      <alignment wrapText="1"/>
    </xf>
    <xf numFmtId="0" fontId="0" fillId="13" borderId="0" xfId="0" applyFill="1"/>
    <xf numFmtId="0" fontId="0" fillId="13" borderId="0" xfId="0" applyFill="1" applyAlignment="1">
      <alignment wrapText="1"/>
    </xf>
    <xf numFmtId="0" fontId="13" fillId="13" borderId="0" xfId="0" applyFont="1" applyFill="1"/>
    <xf numFmtId="0" fontId="26" fillId="13" borderId="0" xfId="0" applyFont="1" applyFill="1" applyAlignment="1">
      <alignment horizontal="left" vertical="center" wrapText="1"/>
    </xf>
    <xf numFmtId="0" fontId="25" fillId="13" borderId="0" xfId="0" applyFont="1" applyFill="1" applyAlignment="1">
      <alignment horizontal="left" vertical="center" wrapText="1"/>
    </xf>
    <xf numFmtId="0" fontId="25" fillId="13" borderId="0" xfId="0" applyFont="1" applyFill="1" applyAlignment="1">
      <alignment wrapText="1"/>
    </xf>
    <xf numFmtId="0" fontId="22" fillId="13" borderId="0" xfId="0" applyFont="1" applyFill="1"/>
    <xf numFmtId="0" fontId="26" fillId="13" borderId="0" xfId="0" applyFont="1" applyFill="1" applyAlignment="1">
      <alignment wrapText="1"/>
    </xf>
    <xf numFmtId="0" fontId="0" fillId="16" borderId="0" xfId="0" applyFill="1"/>
    <xf numFmtId="0" fontId="22" fillId="16" borderId="0" xfId="0" applyFont="1" applyFill="1"/>
    <xf numFmtId="0" fontId="26" fillId="16" borderId="0" xfId="0" applyFont="1" applyFill="1" applyAlignment="1">
      <alignment wrapText="1"/>
    </xf>
    <xf numFmtId="0" fontId="22" fillId="21" borderId="0" xfId="0" applyFont="1" applyFill="1"/>
    <xf numFmtId="0" fontId="26" fillId="21" borderId="0" xfId="0" applyFont="1" applyFill="1" applyAlignment="1">
      <alignment wrapText="1"/>
    </xf>
    <xf numFmtId="0" fontId="17" fillId="25" borderId="0" xfId="0" applyFont="1" applyFill="1"/>
    <xf numFmtId="0" fontId="17" fillId="25" borderId="0" xfId="0" applyFont="1" applyFill="1" applyAlignment="1">
      <alignment horizontal="center"/>
    </xf>
    <xf numFmtId="0" fontId="17" fillId="22" borderId="0" xfId="0" applyFont="1" applyFill="1"/>
    <xf numFmtId="0" fontId="0" fillId="28" borderId="0" xfId="0" applyFill="1" applyAlignment="1">
      <alignment horizontal="center" wrapText="1"/>
    </xf>
    <xf numFmtId="0" fontId="0" fillId="6" borderId="0" xfId="0" applyFill="1" applyAlignment="1">
      <alignment horizontal="left" wrapText="1"/>
    </xf>
    <xf numFmtId="0" fontId="0" fillId="7" borderId="0" xfId="0" applyFill="1" applyAlignment="1">
      <alignment horizontal="left" wrapText="1"/>
    </xf>
    <xf numFmtId="0" fontId="0" fillId="27" borderId="0" xfId="0" applyFill="1" applyAlignment="1">
      <alignment horizontal="left" wrapText="1"/>
    </xf>
    <xf numFmtId="0" fontId="0" fillId="18" borderId="0" xfId="0" applyFill="1" applyAlignment="1">
      <alignment horizontal="left" wrapText="1" indent="2"/>
    </xf>
    <xf numFmtId="0" fontId="0" fillId="7" borderId="0" xfId="0" applyFill="1" applyAlignment="1">
      <alignment horizontal="left"/>
    </xf>
    <xf numFmtId="0" fontId="0" fillId="6" borderId="0" xfId="0" applyFill="1" applyAlignment="1">
      <alignment wrapText="1"/>
    </xf>
    <xf numFmtId="0" fontId="0" fillId="22" borderId="0" xfId="0" applyFill="1" applyAlignment="1">
      <alignment horizontal="left" wrapText="1"/>
    </xf>
    <xf numFmtId="0" fontId="0" fillId="10" borderId="0" xfId="0" applyFill="1" applyAlignment="1">
      <alignment wrapText="1"/>
    </xf>
    <xf numFmtId="0" fontId="0" fillId="10" borderId="0" xfId="0" applyFill="1" applyAlignment="1">
      <alignment horizontal="left" wrapText="1"/>
    </xf>
    <xf numFmtId="0" fontId="0" fillId="0" borderId="0" xfId="0" applyAlignment="1">
      <alignment horizontal="left" vertical="center" wrapText="1"/>
    </xf>
    <xf numFmtId="0" fontId="0" fillId="0" borderId="0" xfId="0" applyAlignment="1">
      <alignment horizontal="left" vertical="top" wrapText="1"/>
    </xf>
    <xf numFmtId="0" fontId="0" fillId="0" borderId="0" xfId="0" applyAlignment="1">
      <alignment vertical="top"/>
    </xf>
    <xf numFmtId="0" fontId="0" fillId="0" borderId="0" xfId="0" applyAlignment="1">
      <alignment horizontal="left" wrapText="1" indent="1"/>
    </xf>
    <xf numFmtId="0" fontId="13" fillId="0" borderId="0" xfId="0" applyFont="1" applyAlignment="1">
      <alignment wrapText="1"/>
    </xf>
    <xf numFmtId="0" fontId="0" fillId="0" borderId="0" xfId="0" applyAlignment="1">
      <alignment horizontal="left" wrapText="1" indent="2"/>
    </xf>
    <xf numFmtId="0" fontId="0" fillId="9" borderId="0" xfId="0" applyFill="1"/>
    <xf numFmtId="0" fontId="13" fillId="12" borderId="0" xfId="0" applyFont="1" applyFill="1" applyAlignment="1">
      <alignment horizontal="left" wrapText="1" indent="1"/>
    </xf>
    <xf numFmtId="0" fontId="33" fillId="12" borderId="0" xfId="0" applyFont="1" applyFill="1" applyAlignment="1">
      <alignment horizontal="left" wrapText="1" indent="1"/>
    </xf>
    <xf numFmtId="0" fontId="33" fillId="12" borderId="0" xfId="0" applyFont="1" applyFill="1" applyAlignment="1">
      <alignment wrapText="1"/>
    </xf>
    <xf numFmtId="0" fontId="33" fillId="12" borderId="0" xfId="0" applyFont="1" applyFill="1" applyAlignment="1">
      <alignment horizontal="left" wrapText="1"/>
    </xf>
    <xf numFmtId="0" fontId="34" fillId="12" borderId="0" xfId="0" applyFont="1" applyFill="1"/>
    <xf numFmtId="0" fontId="34" fillId="12" borderId="0" xfId="0" applyFont="1" applyFill="1" applyAlignment="1">
      <alignment wrapText="1"/>
    </xf>
    <xf numFmtId="0" fontId="34" fillId="0" borderId="0" xfId="0" applyFont="1" applyAlignment="1">
      <alignment wrapText="1"/>
    </xf>
    <xf numFmtId="0" fontId="17" fillId="19" borderId="0" xfId="0" applyFont="1" applyFill="1"/>
    <xf numFmtId="0" fontId="17" fillId="19" borderId="0" xfId="0" applyFont="1" applyFill="1" applyAlignment="1"/>
    <xf numFmtId="0" fontId="17" fillId="18" borderId="0" xfId="0" applyFont="1" applyFill="1" applyAlignment="1">
      <alignment horizontal="center"/>
    </xf>
    <xf numFmtId="0" fontId="0" fillId="11" borderId="0" xfId="0" applyFill="1"/>
    <xf numFmtId="0" fontId="17" fillId="11" borderId="0" xfId="0" applyFont="1" applyFill="1"/>
    <xf numFmtId="0" fontId="17" fillId="11" borderId="0" xfId="0" applyFont="1" applyFill="1" applyAlignment="1">
      <alignment wrapText="1"/>
    </xf>
    <xf numFmtId="0" fontId="0" fillId="14" borderId="0" xfId="0" applyFill="1"/>
    <xf numFmtId="0" fontId="0" fillId="12" borderId="0" xfId="0" applyFill="1"/>
    <xf numFmtId="1" fontId="0" fillId="12" borderId="0" xfId="0" applyNumberFormat="1" applyFill="1"/>
    <xf numFmtId="0" fontId="17" fillId="12" borderId="0" xfId="0" applyFont="1" applyFill="1" applyAlignment="1">
      <alignment horizontal="left" indent="1"/>
    </xf>
    <xf numFmtId="0" fontId="32" fillId="3" borderId="0" xfId="0" applyFont="1" applyFill="1" applyAlignment="1">
      <alignment wrapText="1"/>
    </xf>
    <xf numFmtId="0" fontId="0" fillId="3" borderId="0" xfId="0" applyFill="1" applyAlignment="1">
      <alignment wrapText="1"/>
    </xf>
    <xf numFmtId="0" fontId="0" fillId="9" borderId="0" xfId="0" applyFill="1" applyAlignment="1">
      <alignment wrapText="1"/>
    </xf>
    <xf numFmtId="1" fontId="0" fillId="12" borderId="0" xfId="0" applyNumberFormat="1" applyFill="1" applyAlignment="1"/>
    <xf numFmtId="0" fontId="0" fillId="12" borderId="0" xfId="0" applyFill="1" applyAlignment="1">
      <alignment horizontal="left" indent="2"/>
    </xf>
    <xf numFmtId="9" fontId="0" fillId="12" borderId="0" xfId="2" applyFont="1" applyFill="1"/>
    <xf numFmtId="9" fontId="14" fillId="12" borderId="0" xfId="2" applyFont="1" applyFill="1"/>
    <xf numFmtId="0" fontId="32" fillId="12" borderId="0" xfId="0" applyFont="1" applyFill="1" applyAlignment="1">
      <alignment wrapText="1"/>
    </xf>
    <xf numFmtId="0" fontId="0" fillId="20" borderId="0" xfId="0" applyFill="1" applyAlignment="1">
      <alignment horizontal="right"/>
    </xf>
    <xf numFmtId="0" fontId="0" fillId="14" borderId="0" xfId="0" applyFill="1" applyAlignment="1">
      <alignment horizontal="right"/>
    </xf>
    <xf numFmtId="0" fontId="0" fillId="20" borderId="0" xfId="0" applyFill="1" applyAlignment="1">
      <alignment horizontal="right" wrapText="1"/>
    </xf>
    <xf numFmtId="0" fontId="17" fillId="3" borderId="0" xfId="0" applyFont="1" applyFill="1" applyAlignment="1">
      <alignment wrapText="1"/>
    </xf>
    <xf numFmtId="0" fontId="0" fillId="28" borderId="0" xfId="0" applyFill="1"/>
    <xf numFmtId="0" fontId="0" fillId="28" borderId="0" xfId="0" applyFill="1" applyAlignment="1">
      <alignment wrapText="1"/>
    </xf>
    <xf numFmtId="0" fontId="0" fillId="28" borderId="0" xfId="0" applyFill="1" applyAlignment="1"/>
    <xf numFmtId="0" fontId="17" fillId="7" borderId="0" xfId="0" applyFont="1" applyFill="1" applyAlignment="1"/>
    <xf numFmtId="0" fontId="17" fillId="7" borderId="0" xfId="0" applyFont="1" applyFill="1" applyAlignment="1">
      <alignment wrapText="1"/>
    </xf>
    <xf numFmtId="1" fontId="17" fillId="7" borderId="0" xfId="0" applyNumberFormat="1" applyFont="1" applyFill="1"/>
    <xf numFmtId="0" fontId="17" fillId="21" borderId="0" xfId="0" applyFont="1" applyFill="1" applyAlignment="1">
      <alignment horizontal="center" wrapText="1"/>
    </xf>
    <xf numFmtId="0" fontId="0" fillId="32" borderId="0" xfId="0" applyFill="1"/>
    <xf numFmtId="1" fontId="0" fillId="20" borderId="0" xfId="0" applyNumberFormat="1" applyFill="1"/>
    <xf numFmtId="1" fontId="0" fillId="32" borderId="0" xfId="0" applyNumberFormat="1" applyFill="1"/>
    <xf numFmtId="1" fontId="0" fillId="5" borderId="0" xfId="0" applyNumberFormat="1" applyFill="1"/>
    <xf numFmtId="1" fontId="0" fillId="4" borderId="0" xfId="0" applyNumberFormat="1" applyFill="1"/>
    <xf numFmtId="0" fontId="0" fillId="32" borderId="0" xfId="0" applyFill="1" applyAlignment="1">
      <alignment horizontal="left" wrapText="1" indent="2"/>
    </xf>
    <xf numFmtId="0" fontId="0" fillId="0" borderId="0" xfId="0" applyAlignment="1">
      <alignment horizontal="left" indent="5"/>
    </xf>
    <xf numFmtId="0" fontId="4" fillId="0" borderId="2" xfId="0" applyFont="1" applyBorder="1" applyAlignment="1">
      <alignment horizontal="left" wrapText="1" indent="3"/>
    </xf>
    <xf numFmtId="0" fontId="0" fillId="0" borderId="2" xfId="0" applyBorder="1" applyAlignment="1">
      <alignment wrapText="1"/>
    </xf>
    <xf numFmtId="0" fontId="0" fillId="0" borderId="2" xfId="0" applyBorder="1" applyAlignment="1">
      <alignment horizontal="center" wrapText="1"/>
    </xf>
    <xf numFmtId="166" fontId="0" fillId="5" borderId="0" xfId="0" applyNumberFormat="1" applyFill="1"/>
    <xf numFmtId="166" fontId="13" fillId="9" borderId="0" xfId="0" applyNumberFormat="1" applyFont="1" applyFill="1"/>
    <xf numFmtId="0" fontId="9" fillId="14" borderId="0" xfId="0" applyFont="1" applyFill="1" applyAlignment="1" applyProtection="1">
      <alignment wrapText="1"/>
    </xf>
    <xf numFmtId="166" fontId="0" fillId="14" borderId="0" xfId="0" applyNumberFormat="1" applyFill="1"/>
    <xf numFmtId="0" fontId="9" fillId="14" borderId="0" xfId="0" applyFont="1" applyFill="1" applyAlignment="1" applyProtection="1">
      <alignment horizontal="center" vertical="center" wrapText="1"/>
    </xf>
    <xf numFmtId="0" fontId="38" fillId="0" borderId="0" xfId="0" applyFont="1" applyAlignment="1" applyProtection="1">
      <alignment horizontal="left" indent="2"/>
    </xf>
    <xf numFmtId="0" fontId="24" fillId="0" borderId="0" xfId="0" applyFont="1" applyAlignment="1">
      <alignment horizontal="right"/>
    </xf>
    <xf numFmtId="167" fontId="0" fillId="0" borderId="0" xfId="0" applyNumberFormat="1"/>
    <xf numFmtId="0" fontId="24" fillId="0" borderId="0" xfId="0" applyFont="1" applyAlignment="1">
      <alignment horizontal="left" wrapText="1" indent="2"/>
    </xf>
    <xf numFmtId="0" fontId="10" fillId="3" borderId="0" xfId="0" applyFont="1" applyFill="1" applyAlignment="1" applyProtection="1">
      <alignment horizontal="left" vertical="center" indent="4"/>
    </xf>
    <xf numFmtId="166" fontId="0" fillId="20" borderId="0" xfId="1" applyNumberFormat="1" applyFont="1" applyFill="1"/>
    <xf numFmtId="0" fontId="33" fillId="0" borderId="0" xfId="0" applyFont="1"/>
    <xf numFmtId="0" fontId="39" fillId="0" borderId="0" xfId="0" applyFont="1" applyAlignment="1" applyProtection="1">
      <alignment horizontal="left" vertical="center" wrapText="1" indent="4"/>
    </xf>
    <xf numFmtId="167" fontId="0" fillId="29" borderId="0" xfId="0" applyNumberFormat="1" applyFill="1" applyAlignment="1">
      <alignment horizontal="right"/>
    </xf>
    <xf numFmtId="166" fontId="0" fillId="29" borderId="0" xfId="0" applyNumberFormat="1" applyFill="1" applyAlignment="1">
      <alignment horizontal="right"/>
    </xf>
    <xf numFmtId="167" fontId="24" fillId="29" borderId="0" xfId="0" applyNumberFormat="1" applyFont="1" applyFill="1" applyAlignment="1">
      <alignment horizontal="right"/>
    </xf>
    <xf numFmtId="0" fontId="0" fillId="33" borderId="0" xfId="0" applyFill="1"/>
    <xf numFmtId="43" fontId="0" fillId="20" borderId="0" xfId="0" applyNumberFormat="1" applyFill="1"/>
    <xf numFmtId="166" fontId="0" fillId="20" borderId="0" xfId="0" applyNumberFormat="1" applyFill="1"/>
    <xf numFmtId="0" fontId="10" fillId="33" borderId="0" xfId="0" applyFont="1" applyFill="1" applyAlignment="1" applyProtection="1">
      <alignment horizontal="left" vertical="center" wrapText="1" indent="4"/>
    </xf>
    <xf numFmtId="43" fontId="0" fillId="33" borderId="0" xfId="1" applyFont="1" applyFill="1"/>
    <xf numFmtId="0" fontId="10" fillId="33" borderId="0" xfId="0" applyFont="1" applyFill="1" applyAlignment="1" applyProtection="1">
      <alignment horizontal="left" vertical="top" wrapText="1" indent="4"/>
    </xf>
    <xf numFmtId="166" fontId="0" fillId="33" borderId="0" xfId="1" applyNumberFormat="1" applyFont="1" applyFill="1"/>
    <xf numFmtId="0" fontId="7" fillId="5" borderId="0" xfId="0" applyFont="1" applyFill="1" applyProtection="1"/>
    <xf numFmtId="0" fontId="9" fillId="5" borderId="0" xfId="0" applyFont="1" applyFill="1" applyAlignment="1" applyProtection="1">
      <alignment vertical="center" wrapText="1"/>
    </xf>
    <xf numFmtId="0" fontId="9" fillId="18" borderId="0" xfId="0" applyFont="1" applyFill="1" applyAlignment="1" applyProtection="1">
      <alignment horizontal="center" vertical="center"/>
    </xf>
    <xf numFmtId="0" fontId="13" fillId="18" borderId="0" xfId="0" applyFont="1" applyFill="1" applyAlignment="1">
      <alignment wrapText="1"/>
    </xf>
    <xf numFmtId="0" fontId="9" fillId="18" borderId="0" xfId="0" applyFont="1" applyFill="1" applyAlignment="1" applyProtection="1">
      <alignment vertical="center" wrapText="1"/>
    </xf>
    <xf numFmtId="166" fontId="13" fillId="10" borderId="0" xfId="0" applyNumberFormat="1" applyFont="1" applyFill="1"/>
    <xf numFmtId="167" fontId="13" fillId="10" borderId="0" xfId="0" applyNumberFormat="1" applyFont="1" applyFill="1"/>
    <xf numFmtId="9" fontId="13" fillId="10" borderId="0" xfId="2" applyFont="1" applyFill="1"/>
    <xf numFmtId="0" fontId="15" fillId="0" borderId="0" xfId="0" applyFont="1" applyAlignment="1" applyProtection="1">
      <alignment vertical="center"/>
    </xf>
    <xf numFmtId="0" fontId="18" fillId="23" borderId="0" xfId="0" applyFont="1" applyFill="1"/>
    <xf numFmtId="0" fontId="0" fillId="10" borderId="0" xfId="0" applyFill="1"/>
    <xf numFmtId="43" fontId="13" fillId="10" borderId="0" xfId="0" applyNumberFormat="1" applyFont="1" applyFill="1"/>
    <xf numFmtId="9" fontId="13" fillId="10" borderId="0" xfId="2" applyFont="1" applyFill="1" applyAlignment="1"/>
    <xf numFmtId="166" fontId="13" fillId="10" borderId="0" xfId="0" applyNumberFormat="1" applyFont="1" applyFill="1" applyAlignment="1">
      <alignment horizontal="center"/>
    </xf>
    <xf numFmtId="9" fontId="13" fillId="33" borderId="0" xfId="2" applyFont="1" applyFill="1"/>
    <xf numFmtId="0" fontId="8" fillId="34" borderId="0" xfId="0" applyFont="1" applyFill="1" applyBorder="1" applyProtection="1"/>
    <xf numFmtId="0" fontId="8" fillId="35" borderId="0" xfId="0" applyFont="1" applyFill="1" applyBorder="1" applyProtection="1"/>
    <xf numFmtId="0" fontId="7" fillId="2" borderId="0" xfId="0" applyFont="1" applyFill="1" applyAlignment="1" applyProtection="1">
      <alignment vertical="top"/>
    </xf>
    <xf numFmtId="0" fontId="7" fillId="2" borderId="0" xfId="0" applyFont="1" applyFill="1" applyProtection="1"/>
    <xf numFmtId="167" fontId="0" fillId="14" borderId="0" xfId="3" applyNumberFormat="1" applyFont="1" applyFill="1"/>
    <xf numFmtId="165" fontId="0" fillId="14" borderId="0" xfId="2" applyNumberFormat="1" applyFont="1" applyFill="1"/>
    <xf numFmtId="167" fontId="0" fillId="14" borderId="0" xfId="0" applyNumberFormat="1" applyFill="1"/>
    <xf numFmtId="166" fontId="0" fillId="14" borderId="0" xfId="2" applyNumberFormat="1" applyFont="1" applyFill="1"/>
    <xf numFmtId="167" fontId="0" fillId="5" borderId="0" xfId="0" applyNumberFormat="1" applyFill="1"/>
    <xf numFmtId="167" fontId="0" fillId="20" borderId="0" xfId="0" applyNumberFormat="1" applyFill="1"/>
    <xf numFmtId="165" fontId="0" fillId="20" borderId="0" xfId="2" applyNumberFormat="1" applyFont="1" applyFill="1"/>
    <xf numFmtId="167" fontId="0" fillId="3" borderId="0" xfId="3" applyNumberFormat="1" applyFont="1" applyFill="1"/>
    <xf numFmtId="165" fontId="0" fillId="3" borderId="0" xfId="2" applyNumberFormat="1" applyFont="1" applyFill="1"/>
    <xf numFmtId="167" fontId="0" fillId="3" borderId="0" xfId="0" applyNumberFormat="1" applyFill="1"/>
    <xf numFmtId="0" fontId="2" fillId="0" borderId="0" xfId="0" applyFont="1" applyAlignment="1">
      <alignment horizontal="left" indent="2"/>
    </xf>
    <xf numFmtId="166" fontId="0" fillId="4" borderId="0" xfId="0" applyNumberFormat="1" applyFill="1"/>
    <xf numFmtId="166" fontId="0" fillId="3" borderId="0" xfId="0" applyNumberFormat="1" applyFill="1"/>
    <xf numFmtId="0" fontId="2" fillId="4" borderId="1" xfId="0" applyFont="1" applyFill="1" applyBorder="1"/>
    <xf numFmtId="0" fontId="0" fillId="4" borderId="1" xfId="0" applyFill="1" applyBorder="1"/>
    <xf numFmtId="0" fontId="6" fillId="4" borderId="0" xfId="0" applyFont="1" applyFill="1" applyBorder="1" applyAlignment="1" applyProtection="1">
      <alignment vertical="top"/>
    </xf>
    <xf numFmtId="9" fontId="0" fillId="0" borderId="0" xfId="0" applyNumberFormat="1"/>
    <xf numFmtId="0" fontId="13" fillId="4" borderId="0" xfId="0" applyFont="1" applyFill="1"/>
    <xf numFmtId="0" fontId="11" fillId="0" borderId="0" xfId="0" applyFont="1" applyFill="1" applyBorder="1" applyAlignment="1" applyProtection="1">
      <alignment horizontal="left" vertical="top" indent="1"/>
    </xf>
    <xf numFmtId="0" fontId="0" fillId="0" borderId="2" xfId="0" applyBorder="1" applyAlignment="1">
      <alignment horizontal="left" indent="6"/>
    </xf>
    <xf numFmtId="0" fontId="0" fillId="0" borderId="0" xfId="0" applyAlignment="1">
      <alignment horizontal="left" indent="6"/>
    </xf>
    <xf numFmtId="0" fontId="0" fillId="0" borderId="0" xfId="0" applyAlignment="1">
      <alignment horizontal="left" indent="3"/>
    </xf>
    <xf numFmtId="0" fontId="11" fillId="0" borderId="0" xfId="0" applyFont="1" applyFill="1" applyBorder="1" applyAlignment="1" applyProtection="1">
      <alignment horizontal="left" vertical="top" indent="2"/>
    </xf>
    <xf numFmtId="1" fontId="0" fillId="28" borderId="0" xfId="0" applyNumberFormat="1" applyFill="1"/>
    <xf numFmtId="2" fontId="18" fillId="9" borderId="0" xfId="0" applyNumberFormat="1" applyFont="1" applyFill="1" applyAlignment="1">
      <alignment horizontal="left" wrapText="1"/>
    </xf>
    <xf numFmtId="9" fontId="18" fillId="14" borderId="0" xfId="2" applyFont="1" applyFill="1" applyAlignment="1"/>
    <xf numFmtId="1" fontId="18" fillId="14" borderId="0" xfId="0" applyNumberFormat="1" applyFont="1" applyFill="1" applyAlignment="1"/>
    <xf numFmtId="0" fontId="32" fillId="14" borderId="0" xfId="0" applyFont="1" applyFill="1" applyAlignment="1">
      <alignment wrapText="1"/>
    </xf>
    <xf numFmtId="2" fontId="14" fillId="16" borderId="0" xfId="0" applyNumberFormat="1" applyFont="1" applyFill="1" applyAlignment="1">
      <alignment horizontal="left"/>
    </xf>
    <xf numFmtId="1" fontId="14" fillId="16" borderId="0" xfId="0" applyNumberFormat="1" applyFont="1" applyFill="1" applyAlignment="1"/>
    <xf numFmtId="1" fontId="14" fillId="16" borderId="0" xfId="2" applyNumberFormat="1" applyFont="1" applyFill="1"/>
    <xf numFmtId="9" fontId="14" fillId="16" borderId="0" xfId="2" applyFont="1" applyFill="1"/>
    <xf numFmtId="0" fontId="0" fillId="0" borderId="0" xfId="0" applyAlignment="1">
      <alignment vertical="center" wrapText="1"/>
    </xf>
    <xf numFmtId="0" fontId="41" fillId="0" borderId="0" xfId="4" applyAlignment="1">
      <alignment wrapText="1"/>
    </xf>
    <xf numFmtId="0" fontId="41" fillId="0" borderId="0" xfId="4" quotePrefix="1" applyAlignment="1">
      <alignment wrapText="1"/>
    </xf>
    <xf numFmtId="49" fontId="0" fillId="0" borderId="0" xfId="0" applyNumberFormat="1" applyAlignment="1">
      <alignment horizontal="right"/>
    </xf>
    <xf numFmtId="0" fontId="27" fillId="0" borderId="0" xfId="0" applyFont="1"/>
    <xf numFmtId="0" fontId="43" fillId="0" borderId="0" xfId="0" applyFont="1"/>
    <xf numFmtId="0" fontId="31" fillId="0" borderId="0" xfId="0" applyFont="1"/>
    <xf numFmtId="0" fontId="44" fillId="0" borderId="0" xfId="0" applyFont="1"/>
    <xf numFmtId="0" fontId="45" fillId="0" borderId="0" xfId="0" applyFont="1"/>
    <xf numFmtId="0" fontId="11" fillId="0" borderId="0" xfId="0" applyFont="1" applyBorder="1" applyAlignment="1" applyProtection="1">
      <alignment horizontal="left" vertical="top" indent="2"/>
    </xf>
    <xf numFmtId="0" fontId="12" fillId="0" borderId="0" xfId="0" applyFont="1" applyBorder="1" applyAlignment="1" applyProtection="1">
      <alignment horizontal="left" vertical="top"/>
    </xf>
    <xf numFmtId="0" fontId="0" fillId="4" borderId="0" xfId="0" applyFill="1" applyAlignment="1"/>
    <xf numFmtId="1" fontId="0" fillId="21" borderId="0" xfId="0" applyNumberFormat="1" applyFill="1"/>
    <xf numFmtId="166" fontId="46" fillId="36" borderId="0" xfId="5" applyNumberFormat="1"/>
    <xf numFmtId="43" fontId="46" fillId="36" borderId="0" xfId="5" applyNumberFormat="1"/>
    <xf numFmtId="0" fontId="13" fillId="24" borderId="0" xfId="0" applyFont="1" applyFill="1"/>
    <xf numFmtId="166" fontId="0" fillId="6" borderId="0" xfId="0" applyNumberFormat="1" applyFill="1"/>
    <xf numFmtId="166" fontId="13" fillId="37" borderId="0" xfId="0" applyNumberFormat="1" applyFont="1" applyFill="1"/>
    <xf numFmtId="9" fontId="0" fillId="20" borderId="0" xfId="0" applyNumberFormat="1" applyFill="1"/>
    <xf numFmtId="165" fontId="0" fillId="20" borderId="0" xfId="0" applyNumberFormat="1" applyFill="1"/>
    <xf numFmtId="0" fontId="47" fillId="2" borderId="0" xfId="0" applyFont="1" applyFill="1"/>
    <xf numFmtId="166" fontId="17" fillId="0" borderId="0" xfId="0" applyNumberFormat="1" applyFont="1"/>
    <xf numFmtId="166" fontId="0" fillId="22" borderId="0" xfId="1" applyNumberFormat="1" applyFont="1" applyFill="1"/>
    <xf numFmtId="43" fontId="0" fillId="22" borderId="0" xfId="0" applyNumberFormat="1" applyFill="1"/>
    <xf numFmtId="166" fontId="0" fillId="22" borderId="0" xfId="0" applyNumberFormat="1" applyFill="1"/>
    <xf numFmtId="0" fontId="13" fillId="38" borderId="3" xfId="0" applyFont="1" applyFill="1" applyBorder="1"/>
    <xf numFmtId="0" fontId="13" fillId="0" borderId="3" xfId="0" applyFont="1" applyBorder="1" applyAlignment="1">
      <alignment horizontal="left"/>
    </xf>
    <xf numFmtId="166" fontId="13" fillId="0" borderId="3" xfId="0" applyNumberFormat="1" applyFont="1" applyBorder="1"/>
    <xf numFmtId="0" fontId="13" fillId="0" borderId="0" xfId="0" applyFont="1"/>
    <xf numFmtId="0" fontId="13" fillId="39" borderId="4" xfId="0" applyFont="1" applyFill="1" applyBorder="1" applyAlignment="1">
      <alignment horizontal="left"/>
    </xf>
    <xf numFmtId="166" fontId="13" fillId="39" borderId="4" xfId="0" applyNumberFormat="1" applyFont="1" applyFill="1" applyBorder="1"/>
    <xf numFmtId="0" fontId="0" fillId="27" borderId="0" xfId="0" applyFill="1"/>
    <xf numFmtId="0" fontId="13" fillId="40" borderId="0" xfId="0" applyFont="1" applyFill="1" applyAlignment="1">
      <alignment horizontal="left"/>
    </xf>
    <xf numFmtId="0" fontId="13" fillId="40" borderId="0" xfId="0" applyFont="1" applyFill="1"/>
    <xf numFmtId="166" fontId="0" fillId="9" borderId="0" xfId="0" applyNumberFormat="1" applyFill="1"/>
    <xf numFmtId="9" fontId="0" fillId="9" borderId="0" xfId="2" applyFont="1" applyFill="1"/>
    <xf numFmtId="0" fontId="0" fillId="0" borderId="8" xfId="0" applyBorder="1"/>
    <xf numFmtId="0" fontId="0" fillId="0" borderId="0" xfId="0" applyBorder="1"/>
    <xf numFmtId="2" fontId="0" fillId="0" borderId="0" xfId="0" applyNumberFormat="1" applyBorder="1"/>
    <xf numFmtId="1" fontId="0" fillId="0" borderId="0" xfId="0" applyNumberFormat="1" applyBorder="1"/>
    <xf numFmtId="1" fontId="0" fillId="0" borderId="9" xfId="0" applyNumberFormat="1" applyBorder="1"/>
    <xf numFmtId="0" fontId="13" fillId="5" borderId="8" xfId="0" applyFont="1" applyFill="1" applyBorder="1" applyAlignment="1">
      <alignment wrapText="1"/>
    </xf>
    <xf numFmtId="0" fontId="13" fillId="5" borderId="0" xfId="0" applyFont="1" applyFill="1" applyBorder="1" applyAlignment="1">
      <alignment wrapText="1"/>
    </xf>
    <xf numFmtId="0" fontId="13" fillId="5" borderId="9" xfId="0" applyFont="1" applyFill="1" applyBorder="1" applyAlignment="1">
      <alignment wrapText="1"/>
    </xf>
    <xf numFmtId="0" fontId="0" fillId="0" borderId="9" xfId="0" applyBorder="1"/>
    <xf numFmtId="0" fontId="17" fillId="7" borderId="10" xfId="0" applyFont="1" applyFill="1" applyBorder="1" applyAlignment="1">
      <alignment wrapText="1"/>
    </xf>
    <xf numFmtId="0" fontId="17" fillId="7" borderId="11" xfId="0" applyFont="1" applyFill="1" applyBorder="1" applyAlignment="1">
      <alignment wrapText="1"/>
    </xf>
    <xf numFmtId="1" fontId="17" fillId="7" borderId="11" xfId="0" applyNumberFormat="1" applyFont="1" applyFill="1" applyBorder="1"/>
    <xf numFmtId="1" fontId="13" fillId="7" borderId="12" xfId="0" applyNumberFormat="1" applyFont="1" applyFill="1" applyBorder="1"/>
    <xf numFmtId="0" fontId="0" fillId="6" borderId="0" xfId="0" applyFill="1" applyBorder="1"/>
    <xf numFmtId="0" fontId="0" fillId="0" borderId="8" xfId="0" applyBorder="1" applyAlignment="1">
      <alignment horizontal="left" wrapText="1" indent="1"/>
    </xf>
    <xf numFmtId="0" fontId="0" fillId="16" borderId="0" xfId="0" applyFill="1" applyBorder="1"/>
    <xf numFmtId="0" fontId="13" fillId="31" borderId="8" xfId="0" applyFont="1" applyFill="1" applyBorder="1" applyAlignment="1">
      <alignment horizontal="left" wrapText="1" indent="1"/>
    </xf>
    <xf numFmtId="0" fontId="0" fillId="9" borderId="0" xfId="0" applyFill="1" applyBorder="1"/>
    <xf numFmtId="1" fontId="0" fillId="9" borderId="0" xfId="0" applyNumberFormat="1" applyFill="1" applyBorder="1"/>
    <xf numFmtId="0" fontId="13" fillId="31" borderId="10" xfId="0" applyFont="1" applyFill="1" applyBorder="1" applyAlignment="1">
      <alignment horizontal="left" wrapText="1" indent="1"/>
    </xf>
    <xf numFmtId="1" fontId="0" fillId="9" borderId="11" xfId="0" applyNumberFormat="1" applyFill="1" applyBorder="1"/>
    <xf numFmtId="0" fontId="13" fillId="9" borderId="8" xfId="0" applyFont="1" applyFill="1" applyBorder="1"/>
    <xf numFmtId="0" fontId="13" fillId="9" borderId="0" xfId="0" applyFont="1" applyFill="1" applyBorder="1" applyAlignment="1">
      <alignment wrapText="1"/>
    </xf>
    <xf numFmtId="0" fontId="13" fillId="9" borderId="9" xfId="0" applyFont="1" applyFill="1" applyBorder="1" applyAlignment="1">
      <alignment wrapText="1"/>
    </xf>
    <xf numFmtId="0" fontId="17" fillId="9" borderId="10" xfId="0" applyFont="1" applyFill="1" applyBorder="1" applyAlignment="1">
      <alignment wrapText="1"/>
    </xf>
    <xf numFmtId="0" fontId="17" fillId="9" borderId="11" xfId="0" applyFont="1" applyFill="1" applyBorder="1" applyAlignment="1"/>
    <xf numFmtId="1" fontId="17" fillId="9" borderId="11" xfId="0" applyNumberFormat="1" applyFont="1" applyFill="1" applyBorder="1"/>
    <xf numFmtId="1" fontId="13" fillId="9" borderId="11" xfId="0" applyNumberFormat="1" applyFont="1" applyFill="1" applyBorder="1"/>
    <xf numFmtId="1" fontId="13" fillId="9" borderId="12" xfId="0" applyNumberFormat="1" applyFont="1" applyFill="1" applyBorder="1"/>
    <xf numFmtId="0" fontId="13" fillId="9" borderId="0" xfId="0" applyFont="1" applyFill="1"/>
    <xf numFmtId="0" fontId="13" fillId="9" borderId="0" xfId="0" applyFont="1" applyFill="1" applyAlignment="1">
      <alignment wrapText="1"/>
    </xf>
    <xf numFmtId="0" fontId="17" fillId="9" borderId="0" xfId="0" applyFont="1" applyFill="1" applyAlignment="1"/>
    <xf numFmtId="1" fontId="17" fillId="9" borderId="0" xfId="0" applyNumberFormat="1" applyFont="1" applyFill="1"/>
    <xf numFmtId="1" fontId="13" fillId="9" borderId="0" xfId="0" applyNumberFormat="1" applyFont="1" applyFill="1"/>
    <xf numFmtId="1" fontId="0" fillId="11" borderId="0" xfId="0" applyNumberFormat="1" applyFill="1"/>
    <xf numFmtId="0" fontId="0" fillId="0" borderId="0" xfId="0" applyAlignment="1">
      <alignment horizontal="center" wrapText="1"/>
    </xf>
    <xf numFmtId="0" fontId="0" fillId="11" borderId="0" xfId="0" applyFill="1" applyAlignment="1">
      <alignment horizontal="left" wrapText="1" indent="2"/>
    </xf>
    <xf numFmtId="0" fontId="11" fillId="0" borderId="0" xfId="0" applyFont="1" applyBorder="1" applyAlignment="1" applyProtection="1">
      <alignment horizontal="left" vertical="top" wrapText="1" indent="2"/>
    </xf>
    <xf numFmtId="0" fontId="10" fillId="0" borderId="0" xfId="0" applyFont="1" applyAlignment="1" applyProtection="1">
      <alignment horizontal="left" vertical="top" wrapText="1" indent="2"/>
    </xf>
    <xf numFmtId="0" fontId="0" fillId="29" borderId="0" xfId="0" applyFill="1" applyAlignment="1">
      <alignment wrapText="1"/>
    </xf>
    <xf numFmtId="0" fontId="6" fillId="15" borderId="0" xfId="0" applyFont="1" applyFill="1" applyBorder="1" applyAlignment="1" applyProtection="1">
      <alignment horizontal="center" wrapText="1"/>
    </xf>
    <xf numFmtId="0" fontId="6" fillId="26" borderId="0" xfId="0" applyFont="1" applyFill="1" applyAlignment="1">
      <alignment horizontal="center" wrapText="1"/>
    </xf>
    <xf numFmtId="166" fontId="13" fillId="10" borderId="0" xfId="0" applyNumberFormat="1" applyFont="1" applyFill="1" applyAlignment="1">
      <alignment horizontal="center"/>
    </xf>
    <xf numFmtId="0" fontId="9" fillId="5" borderId="0" xfId="0" applyFont="1" applyFill="1" applyAlignment="1" applyProtection="1">
      <alignment vertical="center"/>
    </xf>
    <xf numFmtId="166" fontId="46" fillId="22" borderId="0" xfId="0" applyNumberFormat="1" applyFont="1" applyFill="1"/>
    <xf numFmtId="167" fontId="13" fillId="27" borderId="0" xfId="0" applyNumberFormat="1" applyFont="1" applyFill="1"/>
    <xf numFmtId="43" fontId="13" fillId="27" borderId="0" xfId="0" applyNumberFormat="1" applyFont="1" applyFill="1"/>
    <xf numFmtId="166" fontId="13" fillId="27" borderId="0" xfId="0" applyNumberFormat="1" applyFont="1" applyFill="1"/>
    <xf numFmtId="166" fontId="13" fillId="33" borderId="0" xfId="0" applyNumberFormat="1" applyFont="1" applyFill="1" applyAlignment="1"/>
    <xf numFmtId="166" fontId="13" fillId="33" borderId="0" xfId="0" applyNumberFormat="1" applyFont="1" applyFill="1" applyAlignment="1">
      <alignment horizontal="center"/>
    </xf>
    <xf numFmtId="9" fontId="13" fillId="33" borderId="0" xfId="2" applyFont="1" applyFill="1" applyAlignment="1"/>
    <xf numFmtId="9" fontId="13" fillId="16" borderId="0" xfId="2" applyFont="1" applyFill="1"/>
    <xf numFmtId="9" fontId="13" fillId="16" borderId="0" xfId="2" applyFont="1" applyFill="1" applyAlignment="1"/>
    <xf numFmtId="166" fontId="13" fillId="18" borderId="0" xfId="2" applyNumberFormat="1" applyFont="1" applyFill="1" applyAlignment="1"/>
    <xf numFmtId="166" fontId="13" fillId="18" borderId="0" xfId="2" applyNumberFormat="1" applyFont="1" applyFill="1"/>
    <xf numFmtId="0" fontId="7" fillId="0" borderId="0" xfId="0" applyFont="1" applyAlignment="1" applyProtection="1">
      <alignment horizontal="center" vertical="center" wrapText="1"/>
    </xf>
    <xf numFmtId="0" fontId="15" fillId="3" borderId="0" xfId="0" applyFont="1" applyFill="1" applyAlignment="1" applyProtection="1">
      <alignment horizontal="center" vertical="center" wrapText="1"/>
    </xf>
    <xf numFmtId="0" fontId="2" fillId="30" borderId="0" xfId="0" applyFont="1" applyFill="1" applyAlignment="1">
      <alignment horizontal="center"/>
    </xf>
    <xf numFmtId="0" fontId="15" fillId="3" borderId="0" xfId="0" applyFont="1" applyFill="1" applyAlignment="1" applyProtection="1">
      <alignment vertical="center"/>
    </xf>
    <xf numFmtId="166" fontId="13" fillId="3" borderId="0" xfId="0" applyNumberFormat="1" applyFont="1" applyFill="1" applyAlignment="1">
      <alignment horizontal="center"/>
    </xf>
    <xf numFmtId="9" fontId="13" fillId="3" borderId="0" xfId="2" applyFont="1" applyFill="1" applyAlignment="1"/>
    <xf numFmtId="166" fontId="13" fillId="3" borderId="0" xfId="2" applyNumberFormat="1" applyFont="1" applyFill="1" applyAlignment="1"/>
    <xf numFmtId="166" fontId="13" fillId="3" borderId="0" xfId="2" applyNumberFormat="1" applyFont="1" applyFill="1"/>
    <xf numFmtId="9" fontId="13" fillId="3" borderId="0" xfId="2" applyFont="1" applyFill="1"/>
    <xf numFmtId="166" fontId="13" fillId="3" borderId="0" xfId="0" applyNumberFormat="1" applyFont="1" applyFill="1" applyAlignment="1">
      <alignment horizontal="center" wrapText="1"/>
    </xf>
    <xf numFmtId="166" fontId="13" fillId="3" borderId="0" xfId="0" applyNumberFormat="1" applyFont="1" applyFill="1"/>
    <xf numFmtId="166" fontId="13" fillId="33" borderId="0" xfId="0" applyNumberFormat="1" applyFont="1" applyFill="1" applyAlignment="1">
      <alignment wrapText="1"/>
    </xf>
    <xf numFmtId="166" fontId="32" fillId="33" borderId="0" xfId="0" applyNumberFormat="1" applyFont="1" applyFill="1" applyAlignment="1">
      <alignment wrapText="1"/>
    </xf>
    <xf numFmtId="9" fontId="32" fillId="33" borderId="0" xfId="2" applyFont="1" applyFill="1" applyAlignment="1">
      <alignment wrapText="1"/>
    </xf>
    <xf numFmtId="9" fontId="13" fillId="37" borderId="0" xfId="2" applyFont="1" applyFill="1"/>
    <xf numFmtId="0" fontId="27" fillId="33" borderId="0" xfId="0" applyFont="1" applyFill="1"/>
    <xf numFmtId="0" fontId="31" fillId="33" borderId="0" xfId="0" applyFont="1" applyFill="1"/>
    <xf numFmtId="0" fontId="29" fillId="33" borderId="0" xfId="0" applyFont="1" applyFill="1"/>
    <xf numFmtId="0" fontId="42" fillId="0" borderId="0" xfId="0" quotePrefix="1" applyFont="1" applyAlignment="1">
      <alignment horizontal="center"/>
    </xf>
    <xf numFmtId="0" fontId="5" fillId="2" borderId="0" xfId="0" applyFont="1" applyFill="1" applyBorder="1" applyAlignment="1" applyProtection="1">
      <alignment horizontal="center" vertical="top"/>
    </xf>
    <xf numFmtId="0" fontId="6" fillId="15" borderId="0" xfId="0" applyFont="1" applyFill="1" applyBorder="1" applyAlignment="1" applyProtection="1">
      <alignment horizontal="center" wrapText="1"/>
    </xf>
    <xf numFmtId="0" fontId="6" fillId="26" borderId="0" xfId="0" applyFont="1" applyFill="1" applyAlignment="1">
      <alignment horizontal="center" wrapText="1"/>
    </xf>
    <xf numFmtId="0" fontId="6" fillId="8" borderId="0" xfId="0" applyFont="1" applyFill="1" applyAlignment="1">
      <alignment horizontal="center" wrapText="1"/>
    </xf>
    <xf numFmtId="166" fontId="13" fillId="10" borderId="0" xfId="0" applyNumberFormat="1" applyFont="1" applyFill="1" applyAlignment="1">
      <alignment horizontal="center"/>
    </xf>
    <xf numFmtId="0" fontId="40" fillId="5" borderId="0" xfId="0" applyFont="1" applyFill="1" applyAlignment="1" applyProtection="1">
      <alignment horizontal="center" vertical="center" wrapText="1"/>
    </xf>
    <xf numFmtId="166" fontId="13" fillId="6" borderId="0" xfId="0" applyNumberFormat="1" applyFont="1" applyFill="1" applyAlignment="1">
      <alignment horizontal="center"/>
    </xf>
    <xf numFmtId="167" fontId="13" fillId="6" borderId="0" xfId="0" applyNumberFormat="1" applyFont="1" applyFill="1" applyAlignment="1">
      <alignment horizontal="center"/>
    </xf>
    <xf numFmtId="43" fontId="13" fillId="6" borderId="0" xfId="2" applyNumberFormat="1" applyFont="1" applyFill="1" applyAlignment="1">
      <alignment horizontal="center"/>
    </xf>
    <xf numFmtId="9" fontId="13" fillId="6" borderId="0" xfId="2" applyFont="1" applyFill="1" applyAlignment="1">
      <alignment horizontal="center"/>
    </xf>
    <xf numFmtId="166" fontId="13" fillId="33" borderId="0" xfId="0" applyNumberFormat="1" applyFont="1" applyFill="1" applyAlignment="1">
      <alignment horizontal="center" wrapText="1"/>
    </xf>
    <xf numFmtId="0" fontId="2" fillId="30" borderId="0" xfId="0" applyFont="1" applyFill="1" applyAlignment="1">
      <alignment horizontal="center"/>
    </xf>
    <xf numFmtId="166" fontId="13" fillId="37" borderId="0" xfId="0" applyNumberFormat="1" applyFont="1" applyFill="1" applyAlignment="1">
      <alignment horizontal="center"/>
    </xf>
    <xf numFmtId="0" fontId="6" fillId="9" borderId="0" xfId="0" applyFont="1" applyFill="1" applyAlignment="1">
      <alignment horizontal="center"/>
    </xf>
    <xf numFmtId="0" fontId="17" fillId="18" borderId="0" xfId="0" applyFont="1" applyFill="1" applyAlignment="1">
      <alignment horizontal="center"/>
    </xf>
    <xf numFmtId="0" fontId="4" fillId="0" borderId="0" xfId="0" applyFont="1" applyAlignment="1">
      <alignment horizontal="left" wrapText="1"/>
    </xf>
    <xf numFmtId="0" fontId="13" fillId="24" borderId="6" xfId="0" applyFont="1" applyFill="1" applyBorder="1" applyAlignment="1">
      <alignment horizontal="center"/>
    </xf>
    <xf numFmtId="0" fontId="13" fillId="25" borderId="6" xfId="0" applyFont="1" applyFill="1" applyBorder="1" applyAlignment="1">
      <alignment horizontal="center"/>
    </xf>
    <xf numFmtId="0" fontId="13" fillId="25" borderId="7" xfId="0" applyFont="1" applyFill="1" applyBorder="1" applyAlignment="1">
      <alignment horizontal="center"/>
    </xf>
    <xf numFmtId="0" fontId="17" fillId="28" borderId="13" xfId="0" applyFont="1" applyFill="1" applyBorder="1" applyAlignment="1">
      <alignment horizontal="center" wrapText="1"/>
    </xf>
    <xf numFmtId="0" fontId="17" fillId="28" borderId="14" xfId="0" applyFont="1" applyFill="1" applyBorder="1" applyAlignment="1">
      <alignment horizontal="center" wrapText="1"/>
    </xf>
    <xf numFmtId="0" fontId="17" fillId="28" borderId="15" xfId="0" applyFont="1" applyFill="1" applyBorder="1" applyAlignment="1">
      <alignment horizontal="center" wrapText="1"/>
    </xf>
    <xf numFmtId="0" fontId="17" fillId="8" borderId="5" xfId="0" applyFont="1" applyFill="1" applyBorder="1" applyAlignment="1">
      <alignment horizontal="center"/>
    </xf>
    <xf numFmtId="0" fontId="17" fillId="8" borderId="6" xfId="0" applyFont="1" applyFill="1" applyBorder="1" applyAlignment="1">
      <alignment horizontal="center"/>
    </xf>
    <xf numFmtId="0" fontId="17" fillId="8" borderId="7" xfId="0" applyFont="1" applyFill="1" applyBorder="1" applyAlignment="1">
      <alignment horizontal="center"/>
    </xf>
    <xf numFmtId="0" fontId="17" fillId="8" borderId="8" xfId="0" applyFont="1" applyFill="1" applyBorder="1" applyAlignment="1">
      <alignment horizontal="center"/>
    </xf>
    <xf numFmtId="0" fontId="17" fillId="8" borderId="0" xfId="0" applyFont="1" applyFill="1" applyBorder="1" applyAlignment="1">
      <alignment horizontal="center"/>
    </xf>
    <xf numFmtId="0" fontId="17" fillId="8" borderId="9" xfId="0" applyFont="1" applyFill="1" applyBorder="1" applyAlignment="1">
      <alignment horizontal="center"/>
    </xf>
    <xf numFmtId="0" fontId="0" fillId="0" borderId="0" xfId="0" applyAlignment="1">
      <alignment horizontal="center" wrapText="1"/>
    </xf>
    <xf numFmtId="0" fontId="0" fillId="3" borderId="0" xfId="0" applyFill="1" applyAlignment="1">
      <alignment horizontal="left" wrapText="1"/>
    </xf>
    <xf numFmtId="0" fontId="37" fillId="16" borderId="0" xfId="0" applyFont="1" applyFill="1" applyAlignment="1">
      <alignment horizontal="left" wrapText="1"/>
    </xf>
    <xf numFmtId="0" fontId="37" fillId="5" borderId="0" xfId="0" applyFont="1" applyFill="1" applyAlignment="1">
      <alignment horizontal="left" wrapText="1"/>
    </xf>
    <xf numFmtId="0" fontId="17" fillId="8" borderId="0" xfId="0" applyFont="1" applyFill="1" applyAlignment="1">
      <alignment horizontal="center"/>
    </xf>
    <xf numFmtId="0" fontId="37" fillId="16" borderId="0" xfId="0" applyFont="1" applyFill="1" applyAlignment="1">
      <alignment horizontal="center" wrapText="1"/>
    </xf>
    <xf numFmtId="0" fontId="17" fillId="31" borderId="0" xfId="0" applyFont="1" applyFill="1" applyAlignment="1">
      <alignment horizontal="center"/>
    </xf>
    <xf numFmtId="0" fontId="0" fillId="8" borderId="0" xfId="0" applyFill="1" applyBorder="1" applyAlignment="1">
      <alignment horizontal="center"/>
    </xf>
    <xf numFmtId="0" fontId="0" fillId="8" borderId="9" xfId="0" applyFill="1" applyBorder="1" applyAlignment="1">
      <alignment horizontal="center"/>
    </xf>
    <xf numFmtId="1" fontId="0" fillId="9" borderId="11" xfId="0" applyNumberFormat="1" applyFill="1" applyBorder="1" applyAlignment="1">
      <alignment horizontal="center"/>
    </xf>
    <xf numFmtId="1" fontId="0" fillId="9" borderId="12" xfId="0" applyNumberFormat="1" applyFill="1" applyBorder="1" applyAlignment="1">
      <alignment horizontal="center"/>
    </xf>
    <xf numFmtId="1" fontId="0" fillId="9" borderId="0" xfId="0" applyNumberFormat="1" applyFill="1" applyBorder="1" applyAlignment="1">
      <alignment horizontal="center"/>
    </xf>
    <xf numFmtId="1" fontId="0" fillId="9" borderId="9" xfId="0" applyNumberFormat="1" applyFill="1" applyBorder="1" applyAlignment="1">
      <alignment horizontal="center"/>
    </xf>
    <xf numFmtId="0" fontId="0" fillId="9" borderId="0" xfId="0" applyFill="1" applyBorder="1" applyAlignment="1">
      <alignment horizontal="center"/>
    </xf>
    <xf numFmtId="0" fontId="0" fillId="9" borderId="9" xfId="0" applyFill="1" applyBorder="1" applyAlignment="1">
      <alignment horizontal="center"/>
    </xf>
    <xf numFmtId="0" fontId="0" fillId="5" borderId="0" xfId="0" applyFill="1" applyBorder="1" applyAlignment="1">
      <alignment horizontal="center"/>
    </xf>
    <xf numFmtId="0" fontId="0" fillId="5" borderId="9" xfId="0" applyFill="1" applyBorder="1" applyAlignment="1">
      <alignment horizontal="center"/>
    </xf>
    <xf numFmtId="0" fontId="0" fillId="5" borderId="0" xfId="0" applyFill="1" applyBorder="1" applyAlignment="1">
      <alignment horizontal="center" wrapText="1"/>
    </xf>
    <xf numFmtId="0" fontId="0" fillId="5" borderId="9" xfId="0" applyFill="1" applyBorder="1" applyAlignment="1">
      <alignment horizontal="center" wrapText="1"/>
    </xf>
    <xf numFmtId="0" fontId="13" fillId="24" borderId="5" xfId="0" applyFont="1" applyFill="1" applyBorder="1" applyAlignment="1">
      <alignment horizontal="center"/>
    </xf>
    <xf numFmtId="0" fontId="13" fillId="24" borderId="8" xfId="0" applyFont="1" applyFill="1" applyBorder="1" applyAlignment="1">
      <alignment horizontal="center"/>
    </xf>
    <xf numFmtId="0" fontId="17" fillId="31" borderId="5" xfId="0" applyFont="1" applyFill="1" applyBorder="1" applyAlignment="1">
      <alignment horizontal="center"/>
    </xf>
    <xf numFmtId="0" fontId="17" fillId="31" borderId="6" xfId="0" applyFont="1" applyFill="1" applyBorder="1" applyAlignment="1">
      <alignment horizontal="center"/>
    </xf>
    <xf numFmtId="0" fontId="17" fillId="31" borderId="7" xfId="0" applyFont="1" applyFill="1" applyBorder="1" applyAlignment="1">
      <alignment horizontal="center"/>
    </xf>
    <xf numFmtId="0" fontId="17" fillId="31" borderId="8" xfId="0" applyFont="1" applyFill="1" applyBorder="1" applyAlignment="1">
      <alignment horizontal="center"/>
    </xf>
    <xf numFmtId="0" fontId="17" fillId="31" borderId="0" xfId="0" applyFont="1" applyFill="1" applyBorder="1" applyAlignment="1">
      <alignment horizontal="center"/>
    </xf>
    <xf numFmtId="0" fontId="17" fillId="31" borderId="9" xfId="0" applyFont="1" applyFill="1" applyBorder="1" applyAlignment="1">
      <alignment horizontal="center"/>
    </xf>
    <xf numFmtId="1" fontId="0" fillId="0" borderId="0" xfId="0" applyNumberFormat="1" applyAlignment="1">
      <alignment horizontal="center"/>
    </xf>
    <xf numFmtId="0" fontId="0" fillId="0" borderId="0" xfId="0" applyAlignment="1">
      <alignment horizontal="center"/>
    </xf>
    <xf numFmtId="0" fontId="0" fillId="20" borderId="0" xfId="0" applyFill="1" applyAlignment="1">
      <alignment horizontal="center" wrapText="1"/>
    </xf>
    <xf numFmtId="1" fontId="13" fillId="6" borderId="0" xfId="0" applyNumberFormat="1" applyFont="1" applyFill="1" applyAlignment="1">
      <alignment horizontal="center"/>
    </xf>
    <xf numFmtId="0" fontId="17" fillId="9" borderId="0" xfId="0" applyFont="1" applyFill="1" applyAlignment="1">
      <alignment horizontal="center" wrapText="1"/>
    </xf>
    <xf numFmtId="1" fontId="17" fillId="9" borderId="0" xfId="0" applyNumberFormat="1" applyFont="1" applyFill="1" applyAlignment="1">
      <alignment horizontal="center"/>
    </xf>
    <xf numFmtId="0" fontId="2" fillId="2" borderId="0" xfId="0" applyFont="1" applyFill="1" applyAlignment="1">
      <alignment horizontal="center"/>
    </xf>
    <xf numFmtId="0" fontId="17" fillId="19" borderId="0" xfId="0" applyFont="1" applyFill="1" applyAlignment="1">
      <alignment horizontal="center"/>
    </xf>
    <xf numFmtId="1" fontId="0" fillId="12" borderId="0" xfId="0" applyNumberFormat="1" applyFont="1" applyFill="1" applyAlignment="1">
      <alignment horizontal="center"/>
    </xf>
    <xf numFmtId="0" fontId="17" fillId="26" borderId="0" xfId="0" applyFont="1" applyFill="1" applyAlignment="1">
      <alignment horizontal="center"/>
    </xf>
    <xf numFmtId="0" fontId="32" fillId="3" borderId="0" xfId="0" applyFont="1" applyFill="1" applyAlignment="1">
      <alignment horizontal="center" wrapText="1"/>
    </xf>
    <xf numFmtId="0" fontId="17" fillId="25" borderId="0" xfId="0" applyFont="1" applyFill="1" applyAlignment="1">
      <alignment horizontal="center"/>
    </xf>
    <xf numFmtId="0" fontId="17" fillId="6" borderId="0" xfId="0" applyFont="1" applyFill="1" applyAlignment="1">
      <alignment horizontal="center"/>
    </xf>
    <xf numFmtId="0" fontId="0" fillId="0" borderId="0" xfId="0" applyAlignment="1">
      <alignment horizontal="left" wrapText="1"/>
    </xf>
    <xf numFmtId="0" fontId="13" fillId="18" borderId="0" xfId="0" applyFont="1" applyFill="1" applyAlignment="1">
      <alignment horizontal="center"/>
    </xf>
    <xf numFmtId="0" fontId="17" fillId="25" borderId="0" xfId="0" applyFont="1" applyFill="1" applyAlignment="1">
      <alignment horizontal="center" wrapText="1"/>
    </xf>
    <xf numFmtId="0" fontId="17" fillId="24" borderId="0" xfId="0" applyFont="1" applyFill="1" applyAlignment="1">
      <alignment horizontal="center" wrapText="1"/>
    </xf>
    <xf numFmtId="0" fontId="21" fillId="4" borderId="0" xfId="0" applyFont="1" applyFill="1" applyBorder="1" applyAlignment="1">
      <alignment horizontal="center" vertical="center" wrapText="1"/>
    </xf>
    <xf numFmtId="0" fontId="0" fillId="16" borderId="0" xfId="0" applyFill="1" applyAlignment="1">
      <alignment horizontal="left" vertical="top" wrapText="1"/>
    </xf>
    <xf numFmtId="0" fontId="0" fillId="3" borderId="0" xfId="0" applyFill="1" applyAlignment="1">
      <alignment horizontal="left" vertical="top"/>
    </xf>
    <xf numFmtId="0" fontId="0" fillId="0" borderId="0" xfId="0" applyAlignment="1">
      <alignment horizontal="left" vertical="top" wrapText="1" indent="3"/>
    </xf>
    <xf numFmtId="0" fontId="0" fillId="13" borderId="0" xfId="0" applyFill="1" applyAlignment="1">
      <alignment horizontal="left" vertical="top" wrapText="1"/>
    </xf>
    <xf numFmtId="0" fontId="0" fillId="3" borderId="0" xfId="0" applyFill="1" applyAlignment="1">
      <alignment horizontal="left" vertical="top" wrapText="1"/>
    </xf>
    <xf numFmtId="0" fontId="4" fillId="6" borderId="0" xfId="0" applyFont="1" applyFill="1" applyAlignment="1">
      <alignment horizontal="center" wrapText="1"/>
    </xf>
    <xf numFmtId="0" fontId="17" fillId="4" borderId="0" xfId="0" applyFont="1" applyFill="1" applyAlignment="1">
      <alignment horizontal="center"/>
    </xf>
    <xf numFmtId="0" fontId="0" fillId="0" borderId="0" xfId="0" applyAlignment="1">
      <alignment horizontal="left" vertical="top" wrapText="1"/>
    </xf>
    <xf numFmtId="0" fontId="21" fillId="18" borderId="0" xfId="0" applyFont="1" applyFill="1" applyBorder="1" applyAlignment="1">
      <alignment horizontal="center" vertical="center" wrapText="1"/>
    </xf>
    <xf numFmtId="0" fontId="17" fillId="28" borderId="0" xfId="0" applyFont="1" applyFill="1" applyAlignment="1">
      <alignment horizontal="center"/>
    </xf>
    <xf numFmtId="0" fontId="0" fillId="0" borderId="0" xfId="0" applyAlignment="1">
      <alignment horizontal="center" vertical="top" wrapText="1"/>
    </xf>
    <xf numFmtId="0" fontId="7" fillId="0" borderId="0" xfId="0" applyFont="1" applyAlignment="1">
      <alignment horizontal="left" vertical="top" wrapText="1"/>
    </xf>
    <xf numFmtId="0" fontId="0" fillId="16" borderId="0" xfId="0" applyFill="1" applyAlignment="1">
      <alignment horizontal="left" vertical="center" wrapText="1"/>
    </xf>
    <xf numFmtId="0" fontId="6" fillId="4" borderId="0" xfId="0" applyFont="1" applyFill="1" applyAlignment="1">
      <alignment horizontal="center" vertical="center" wrapText="1"/>
    </xf>
    <xf numFmtId="0" fontId="25" fillId="16" borderId="0" xfId="0" applyFont="1" applyFill="1" applyAlignment="1">
      <alignment horizontal="center" vertical="center" wrapText="1"/>
    </xf>
    <xf numFmtId="0" fontId="25" fillId="21" borderId="0" xfId="0" applyFont="1" applyFill="1" applyAlignment="1">
      <alignment horizontal="center" vertical="center" wrapText="1"/>
    </xf>
    <xf numFmtId="0" fontId="25" fillId="21" borderId="0" xfId="0" applyFont="1" applyFill="1" applyAlignment="1">
      <alignment horizontal="center" wrapText="1"/>
    </xf>
    <xf numFmtId="0" fontId="25" fillId="16" borderId="0" xfId="0" applyFont="1" applyFill="1" applyAlignment="1">
      <alignment horizontal="center" wrapText="1"/>
    </xf>
    <xf numFmtId="0" fontId="0" fillId="28" borderId="0" xfId="0" applyFill="1" applyAlignment="1">
      <alignment horizontal="center"/>
    </xf>
    <xf numFmtId="0" fontId="23" fillId="16" borderId="0" xfId="0" applyFont="1" applyFill="1" applyAlignment="1">
      <alignment horizontal="center" wrapText="1"/>
    </xf>
    <xf numFmtId="0" fontId="13" fillId="16" borderId="0" xfId="0" applyFont="1" applyFill="1" applyAlignment="1">
      <alignment horizontal="left"/>
    </xf>
    <xf numFmtId="0" fontId="17" fillId="22" borderId="0" xfId="0" applyFont="1" applyFill="1" applyAlignment="1">
      <alignment horizontal="center"/>
    </xf>
    <xf numFmtId="0" fontId="23" fillId="21" borderId="0" xfId="0" applyFont="1" applyFill="1" applyAlignment="1">
      <alignment horizontal="center" wrapText="1"/>
    </xf>
    <xf numFmtId="0" fontId="13" fillId="21" borderId="0" xfId="0" applyFont="1" applyFill="1" applyAlignment="1">
      <alignment horizontal="left"/>
    </xf>
    <xf numFmtId="0" fontId="0" fillId="22" borderId="0" xfId="0" applyFill="1" applyAlignment="1">
      <alignment horizontal="center"/>
    </xf>
    <xf numFmtId="0" fontId="17" fillId="9" borderId="0" xfId="0" applyFont="1" applyFill="1" applyAlignment="1">
      <alignment horizontal="center"/>
    </xf>
    <xf numFmtId="49" fontId="0" fillId="0" borderId="0" xfId="0" applyNumberFormat="1" applyAlignment="1">
      <alignment horizontal="center" textRotation="255" wrapText="1"/>
    </xf>
    <xf numFmtId="0" fontId="0" fillId="24" borderId="0" xfId="0" applyFill="1" applyAlignment="1">
      <alignment horizontal="center"/>
    </xf>
    <xf numFmtId="0" fontId="17" fillId="24" borderId="0" xfId="0" applyFont="1" applyFill="1" applyAlignment="1">
      <alignment horizontal="center"/>
    </xf>
    <xf numFmtId="0" fontId="0" fillId="11" borderId="0" xfId="0" applyFill="1" applyAlignment="1">
      <alignment horizontal="center"/>
    </xf>
    <xf numFmtId="0" fontId="0" fillId="25" borderId="0" xfId="0" applyFill="1" applyAlignment="1">
      <alignment horizontal="center"/>
    </xf>
    <xf numFmtId="0" fontId="0" fillId="7" borderId="0" xfId="0" applyFill="1" applyAlignment="1">
      <alignment horizontal="center"/>
    </xf>
    <xf numFmtId="0" fontId="0" fillId="26" borderId="0" xfId="0" applyFill="1" applyAlignment="1">
      <alignment horizontal="center"/>
    </xf>
    <xf numFmtId="0" fontId="0" fillId="27" borderId="0" xfId="0" applyFill="1" applyAlignment="1">
      <alignment horizontal="center"/>
    </xf>
  </cellXfs>
  <cellStyles count="6">
    <cellStyle name="Accent1" xfId="5" builtinId="29"/>
    <cellStyle name="Comma" xfId="1" builtinId="3"/>
    <cellStyle name="Currency [0]" xfId="3" builtinId="7"/>
    <cellStyle name="Hyperlink" xfId="4"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BAS Support Calls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Graphs!$A$5</c:f>
              <c:strCache>
                <c:ptCount val="1"/>
                <c:pt idx="0">
                  <c:v>Total calls</c:v>
                </c:pt>
              </c:strCache>
            </c:strRef>
          </c:tx>
          <c:spPr>
            <a:solidFill>
              <a:schemeClr val="accent1"/>
            </a:solidFill>
            <a:ln>
              <a:noFill/>
            </a:ln>
            <a:effectLst/>
          </c:spPr>
          <c:invertIfNegative val="0"/>
          <c:cat>
            <c:strRef>
              <c:f>Graphs!$B$4:$D$4</c:f>
              <c:strCache>
                <c:ptCount val="3"/>
                <c:pt idx="0">
                  <c:v>2016/17</c:v>
                </c:pt>
                <c:pt idx="1">
                  <c:v>2017/18</c:v>
                </c:pt>
                <c:pt idx="2">
                  <c:v>2018/19</c:v>
                </c:pt>
              </c:strCache>
            </c:strRef>
          </c:cat>
          <c:val>
            <c:numRef>
              <c:f>Graphs!$B$5:$D$5</c:f>
              <c:numCache>
                <c:formatCode>General</c:formatCode>
                <c:ptCount val="3"/>
                <c:pt idx="0">
                  <c:v>1649</c:v>
                </c:pt>
                <c:pt idx="1">
                  <c:v>1609</c:v>
                </c:pt>
                <c:pt idx="2">
                  <c:v>625</c:v>
                </c:pt>
              </c:numCache>
            </c:numRef>
          </c:val>
          <c:extLst>
            <c:ext xmlns:c16="http://schemas.microsoft.com/office/drawing/2014/chart" uri="{C3380CC4-5D6E-409C-BE32-E72D297353CC}">
              <c16:uniqueId val="{00000000-6F80-493C-85B9-96F2B2A8E085}"/>
            </c:ext>
          </c:extLst>
        </c:ser>
        <c:ser>
          <c:idx val="1"/>
          <c:order val="1"/>
          <c:tx>
            <c:strRef>
              <c:f>Graphs!$A$6</c:f>
              <c:strCache>
                <c:ptCount val="1"/>
                <c:pt idx="0">
                  <c:v>Resets</c:v>
                </c:pt>
              </c:strCache>
            </c:strRef>
          </c:tx>
          <c:spPr>
            <a:solidFill>
              <a:schemeClr val="accent2"/>
            </a:solidFill>
            <a:ln>
              <a:noFill/>
            </a:ln>
            <a:effectLst/>
          </c:spPr>
          <c:invertIfNegative val="0"/>
          <c:cat>
            <c:strRef>
              <c:f>Graphs!$B$4:$D$4</c:f>
              <c:strCache>
                <c:ptCount val="3"/>
                <c:pt idx="0">
                  <c:v>2016/17</c:v>
                </c:pt>
                <c:pt idx="1">
                  <c:v>2017/18</c:v>
                </c:pt>
                <c:pt idx="2">
                  <c:v>2018/19</c:v>
                </c:pt>
              </c:strCache>
            </c:strRef>
          </c:cat>
          <c:val>
            <c:numRef>
              <c:f>Graphs!$B$6:$D$6</c:f>
              <c:numCache>
                <c:formatCode>General</c:formatCode>
                <c:ptCount val="3"/>
                <c:pt idx="0">
                  <c:v>895</c:v>
                </c:pt>
                <c:pt idx="1">
                  <c:v>815</c:v>
                </c:pt>
                <c:pt idx="2">
                  <c:v>103</c:v>
                </c:pt>
              </c:numCache>
            </c:numRef>
          </c:val>
          <c:extLst>
            <c:ext xmlns:c16="http://schemas.microsoft.com/office/drawing/2014/chart" uri="{C3380CC4-5D6E-409C-BE32-E72D297353CC}">
              <c16:uniqueId val="{00000001-6F80-493C-85B9-96F2B2A8E085}"/>
            </c:ext>
          </c:extLst>
        </c:ser>
        <c:dLbls>
          <c:showLegendKey val="0"/>
          <c:showVal val="0"/>
          <c:showCatName val="0"/>
          <c:showSerName val="0"/>
          <c:showPercent val="0"/>
          <c:showBubbleSize val="0"/>
        </c:dLbls>
        <c:gapWidth val="219"/>
        <c:overlap val="-27"/>
        <c:axId val="247608224"/>
        <c:axId val="247607896"/>
      </c:barChart>
      <c:catAx>
        <c:axId val="2476082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607896"/>
        <c:crosses val="autoZero"/>
        <c:auto val="1"/>
        <c:lblAlgn val="ctr"/>
        <c:lblOffset val="100"/>
        <c:noMultiLvlLbl val="0"/>
      </c:catAx>
      <c:valAx>
        <c:axId val="24760789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4760822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LOGIS</a:t>
            </a:r>
            <a:r>
              <a:rPr lang="en-GB" baseline="0"/>
              <a:t> Support Calls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Graphs!$A$22</c:f>
              <c:strCache>
                <c:ptCount val="1"/>
                <c:pt idx="0">
                  <c:v>Total calls</c:v>
                </c:pt>
              </c:strCache>
            </c:strRef>
          </c:tx>
          <c:spPr>
            <a:solidFill>
              <a:schemeClr val="accent1"/>
            </a:solidFill>
            <a:ln>
              <a:noFill/>
            </a:ln>
            <a:effectLst/>
          </c:spPr>
          <c:invertIfNegative val="0"/>
          <c:cat>
            <c:strRef>
              <c:f>Graphs!$B$21:$D$21</c:f>
              <c:strCache>
                <c:ptCount val="3"/>
                <c:pt idx="0">
                  <c:v>2016/17</c:v>
                </c:pt>
                <c:pt idx="1">
                  <c:v>2017/18</c:v>
                </c:pt>
                <c:pt idx="2">
                  <c:v>2018/19</c:v>
                </c:pt>
              </c:strCache>
            </c:strRef>
          </c:cat>
          <c:val>
            <c:numRef>
              <c:f>Graphs!$B$22:$D$22</c:f>
              <c:numCache>
                <c:formatCode>General</c:formatCode>
                <c:ptCount val="3"/>
                <c:pt idx="0">
                  <c:v>4560</c:v>
                </c:pt>
                <c:pt idx="1">
                  <c:v>1288</c:v>
                </c:pt>
                <c:pt idx="2">
                  <c:v>303</c:v>
                </c:pt>
              </c:numCache>
            </c:numRef>
          </c:val>
          <c:extLst>
            <c:ext xmlns:c16="http://schemas.microsoft.com/office/drawing/2014/chart" uri="{C3380CC4-5D6E-409C-BE32-E72D297353CC}">
              <c16:uniqueId val="{00000000-EEBA-4C5A-87BE-897569D7EA1F}"/>
            </c:ext>
          </c:extLst>
        </c:ser>
        <c:ser>
          <c:idx val="1"/>
          <c:order val="1"/>
          <c:tx>
            <c:strRef>
              <c:f>Graphs!$A$23</c:f>
              <c:strCache>
                <c:ptCount val="1"/>
                <c:pt idx="0">
                  <c:v>New ICN's</c:v>
                </c:pt>
              </c:strCache>
            </c:strRef>
          </c:tx>
          <c:spPr>
            <a:solidFill>
              <a:schemeClr val="accent2"/>
            </a:solidFill>
            <a:ln>
              <a:noFill/>
            </a:ln>
            <a:effectLst/>
          </c:spPr>
          <c:invertIfNegative val="0"/>
          <c:cat>
            <c:strRef>
              <c:f>Graphs!$B$21:$D$21</c:f>
              <c:strCache>
                <c:ptCount val="3"/>
                <c:pt idx="0">
                  <c:v>2016/17</c:v>
                </c:pt>
                <c:pt idx="1">
                  <c:v>2017/18</c:v>
                </c:pt>
                <c:pt idx="2">
                  <c:v>2018/19</c:v>
                </c:pt>
              </c:strCache>
            </c:strRef>
          </c:cat>
          <c:val>
            <c:numRef>
              <c:f>Graphs!$B$23:$D$23</c:f>
              <c:numCache>
                <c:formatCode>General</c:formatCode>
                <c:ptCount val="3"/>
                <c:pt idx="0">
                  <c:v>1054</c:v>
                </c:pt>
                <c:pt idx="1">
                  <c:v>711</c:v>
                </c:pt>
                <c:pt idx="2">
                  <c:v>277</c:v>
                </c:pt>
              </c:numCache>
            </c:numRef>
          </c:val>
          <c:extLst>
            <c:ext xmlns:c16="http://schemas.microsoft.com/office/drawing/2014/chart" uri="{C3380CC4-5D6E-409C-BE32-E72D297353CC}">
              <c16:uniqueId val="{00000001-EEBA-4C5A-87BE-897569D7EA1F}"/>
            </c:ext>
          </c:extLst>
        </c:ser>
        <c:ser>
          <c:idx val="2"/>
          <c:order val="2"/>
          <c:tx>
            <c:strRef>
              <c:f>Graphs!$A$24</c:f>
              <c:strCache>
                <c:ptCount val="1"/>
                <c:pt idx="0">
                  <c:v>Supplier Admin</c:v>
                </c:pt>
              </c:strCache>
            </c:strRef>
          </c:tx>
          <c:spPr>
            <a:solidFill>
              <a:schemeClr val="accent3"/>
            </a:solidFill>
            <a:ln>
              <a:noFill/>
            </a:ln>
            <a:effectLst/>
          </c:spPr>
          <c:invertIfNegative val="0"/>
          <c:cat>
            <c:strRef>
              <c:f>Graphs!$B$21:$D$21</c:f>
              <c:strCache>
                <c:ptCount val="3"/>
                <c:pt idx="0">
                  <c:v>2016/17</c:v>
                </c:pt>
                <c:pt idx="1">
                  <c:v>2017/18</c:v>
                </c:pt>
                <c:pt idx="2">
                  <c:v>2018/19</c:v>
                </c:pt>
              </c:strCache>
            </c:strRef>
          </c:cat>
          <c:val>
            <c:numRef>
              <c:f>Graphs!$B$24:$D$24</c:f>
              <c:numCache>
                <c:formatCode>General</c:formatCode>
                <c:ptCount val="3"/>
                <c:pt idx="0">
                  <c:v>1350</c:v>
                </c:pt>
                <c:pt idx="1">
                  <c:v>84</c:v>
                </c:pt>
                <c:pt idx="2">
                  <c:v>12</c:v>
                </c:pt>
              </c:numCache>
            </c:numRef>
          </c:val>
          <c:extLst>
            <c:ext xmlns:c16="http://schemas.microsoft.com/office/drawing/2014/chart" uri="{C3380CC4-5D6E-409C-BE32-E72D297353CC}">
              <c16:uniqueId val="{00000002-EEBA-4C5A-87BE-897569D7EA1F}"/>
            </c:ext>
          </c:extLst>
        </c:ser>
        <c:dLbls>
          <c:showLegendKey val="0"/>
          <c:showVal val="0"/>
          <c:showCatName val="0"/>
          <c:showSerName val="0"/>
          <c:showPercent val="0"/>
          <c:showBubbleSize val="0"/>
        </c:dLbls>
        <c:gapWidth val="219"/>
        <c:overlap val="-27"/>
        <c:axId val="406390080"/>
        <c:axId val="406391064"/>
      </c:barChart>
      <c:catAx>
        <c:axId val="4063900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391064"/>
        <c:crosses val="autoZero"/>
        <c:auto val="1"/>
        <c:lblAlgn val="ctr"/>
        <c:lblOffset val="100"/>
        <c:noMultiLvlLbl val="0"/>
      </c:catAx>
      <c:valAx>
        <c:axId val="40639106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63900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Expenditure Analysis for BAS</a:t>
            </a:r>
            <a:r>
              <a:rPr lang="en-GB" baseline="0"/>
              <a:t> and LOGIS </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Graphs!$B$38</c:f>
              <c:strCache>
                <c:ptCount val="1"/>
                <c:pt idx="0">
                  <c:v>2015/2016</c:v>
                </c:pt>
              </c:strCache>
            </c:strRef>
          </c:tx>
          <c:spPr>
            <a:solidFill>
              <a:schemeClr val="accent1"/>
            </a:solidFill>
            <a:ln>
              <a:noFill/>
            </a:ln>
            <a:effectLst/>
          </c:spPr>
          <c:invertIfNegative val="0"/>
          <c:cat>
            <c:strRef>
              <c:f>Graphs!$A$39:$A$53</c:f>
              <c:strCache>
                <c:ptCount val="15"/>
                <c:pt idx="0">
                  <c:v>BAS Support</c:v>
                </c:pt>
                <c:pt idx="1">
                  <c:v>Basic Salary</c:v>
                </c:pt>
                <c:pt idx="2">
                  <c:v>Housing Allowances</c:v>
                </c:pt>
                <c:pt idx="3">
                  <c:v>NON PENSINABLE ALLOWANCES</c:v>
                </c:pt>
                <c:pt idx="4">
                  <c:v>PERFOMANCE BONUS</c:v>
                </c:pt>
                <c:pt idx="5">
                  <c:v>SERV BASED</c:v>
                </c:pt>
                <c:pt idx="6">
                  <c:v>SERVICE BONUS</c:v>
                </c:pt>
                <c:pt idx="7">
                  <c:v>LOGIS Support</c:v>
                </c:pt>
                <c:pt idx="8">
                  <c:v>Basic Salary</c:v>
                </c:pt>
                <c:pt idx="9">
                  <c:v>Housing Allowances</c:v>
                </c:pt>
                <c:pt idx="10">
                  <c:v>NON PENSONABLE ALLOWANCES</c:v>
                </c:pt>
                <c:pt idx="11">
                  <c:v>PERFOMANCE BONUS</c:v>
                </c:pt>
                <c:pt idx="12">
                  <c:v>SERV BASED</c:v>
                </c:pt>
                <c:pt idx="13">
                  <c:v>SERVICE BONUS</c:v>
                </c:pt>
                <c:pt idx="14">
                  <c:v>Grand Total</c:v>
                </c:pt>
              </c:strCache>
            </c:strRef>
          </c:cat>
          <c:val>
            <c:numRef>
              <c:f>Graphs!$B$39:$B$53</c:f>
              <c:numCache>
                <c:formatCode>_ [$R-1C09]\ * #\ ##0.00_ ;_ [$R-1C09]\ * \-#\ ##0.00_ ;_ [$R-1C09]\ * "-"??_ ;_ @_ </c:formatCode>
                <c:ptCount val="15"/>
                <c:pt idx="0">
                  <c:v>2125164.87</c:v>
                </c:pt>
                <c:pt idx="1">
                  <c:v>1856190.65</c:v>
                </c:pt>
                <c:pt idx="2">
                  <c:v>50808</c:v>
                </c:pt>
                <c:pt idx="3">
                  <c:v>96258.72</c:v>
                </c:pt>
                <c:pt idx="4">
                  <c:v>0</c:v>
                </c:pt>
                <c:pt idx="6">
                  <c:v>121907.5</c:v>
                </c:pt>
                <c:pt idx="7">
                  <c:v>3023860.12</c:v>
                </c:pt>
                <c:pt idx="8">
                  <c:v>2657931.77</c:v>
                </c:pt>
                <c:pt idx="9">
                  <c:v>74400</c:v>
                </c:pt>
                <c:pt idx="10">
                  <c:v>84268.23</c:v>
                </c:pt>
                <c:pt idx="11">
                  <c:v>27183.119999999999</c:v>
                </c:pt>
                <c:pt idx="12">
                  <c:v>0</c:v>
                </c:pt>
                <c:pt idx="13">
                  <c:v>180077</c:v>
                </c:pt>
                <c:pt idx="14">
                  <c:v>5149024.9900000012</c:v>
                </c:pt>
              </c:numCache>
            </c:numRef>
          </c:val>
          <c:extLst>
            <c:ext xmlns:c16="http://schemas.microsoft.com/office/drawing/2014/chart" uri="{C3380CC4-5D6E-409C-BE32-E72D297353CC}">
              <c16:uniqueId val="{00000000-4A98-4396-8DEB-374F62C867A3}"/>
            </c:ext>
          </c:extLst>
        </c:ser>
        <c:ser>
          <c:idx val="1"/>
          <c:order val="1"/>
          <c:tx>
            <c:strRef>
              <c:f>Graphs!$C$38</c:f>
              <c:strCache>
                <c:ptCount val="1"/>
                <c:pt idx="0">
                  <c:v>2016/2017</c:v>
                </c:pt>
              </c:strCache>
            </c:strRef>
          </c:tx>
          <c:spPr>
            <a:solidFill>
              <a:schemeClr val="accent2"/>
            </a:solidFill>
            <a:ln>
              <a:noFill/>
            </a:ln>
            <a:effectLst/>
          </c:spPr>
          <c:invertIfNegative val="0"/>
          <c:cat>
            <c:strRef>
              <c:f>Graphs!$A$39:$A$53</c:f>
              <c:strCache>
                <c:ptCount val="15"/>
                <c:pt idx="0">
                  <c:v>BAS Support</c:v>
                </c:pt>
                <c:pt idx="1">
                  <c:v>Basic Salary</c:v>
                </c:pt>
                <c:pt idx="2">
                  <c:v>Housing Allowances</c:v>
                </c:pt>
                <c:pt idx="3">
                  <c:v>NON PENSINABLE ALLOWANCES</c:v>
                </c:pt>
                <c:pt idx="4">
                  <c:v>PERFOMANCE BONUS</c:v>
                </c:pt>
                <c:pt idx="5">
                  <c:v>SERV BASED</c:v>
                </c:pt>
                <c:pt idx="6">
                  <c:v>SERVICE BONUS</c:v>
                </c:pt>
                <c:pt idx="7">
                  <c:v>LOGIS Support</c:v>
                </c:pt>
                <c:pt idx="8">
                  <c:v>Basic Salary</c:v>
                </c:pt>
                <c:pt idx="9">
                  <c:v>Housing Allowances</c:v>
                </c:pt>
                <c:pt idx="10">
                  <c:v>NON PENSONABLE ALLOWANCES</c:v>
                </c:pt>
                <c:pt idx="11">
                  <c:v>PERFOMANCE BONUS</c:v>
                </c:pt>
                <c:pt idx="12">
                  <c:v>SERV BASED</c:v>
                </c:pt>
                <c:pt idx="13">
                  <c:v>SERVICE BONUS</c:v>
                </c:pt>
                <c:pt idx="14">
                  <c:v>Grand Total</c:v>
                </c:pt>
              </c:strCache>
            </c:strRef>
          </c:cat>
          <c:val>
            <c:numRef>
              <c:f>Graphs!$C$39:$C$53</c:f>
              <c:numCache>
                <c:formatCode>_ [$R-1C09]\ * #\ ##0.00_ ;_ [$R-1C09]\ * \-#\ ##0.00_ ;_ [$R-1C09]\ * "-"??_ ;_ @_ </c:formatCode>
                <c:ptCount val="15"/>
                <c:pt idx="0">
                  <c:v>2149398.96</c:v>
                </c:pt>
                <c:pt idx="1">
                  <c:v>1848458.91</c:v>
                </c:pt>
                <c:pt idx="2">
                  <c:v>48108</c:v>
                </c:pt>
                <c:pt idx="3">
                  <c:v>104790.84</c:v>
                </c:pt>
                <c:pt idx="4">
                  <c:v>0</c:v>
                </c:pt>
                <c:pt idx="5">
                  <c:v>18582</c:v>
                </c:pt>
                <c:pt idx="6">
                  <c:v>100226.25</c:v>
                </c:pt>
                <c:pt idx="7">
                  <c:v>3264281.27</c:v>
                </c:pt>
                <c:pt idx="8">
                  <c:v>2884453.32</c:v>
                </c:pt>
                <c:pt idx="9">
                  <c:v>82800</c:v>
                </c:pt>
                <c:pt idx="10">
                  <c:v>93835.17</c:v>
                </c:pt>
                <c:pt idx="11">
                  <c:v>18082.95</c:v>
                </c:pt>
                <c:pt idx="12">
                  <c:v>0</c:v>
                </c:pt>
                <c:pt idx="13">
                  <c:v>185109.83</c:v>
                </c:pt>
                <c:pt idx="14">
                  <c:v>5413680.2299999995</c:v>
                </c:pt>
              </c:numCache>
            </c:numRef>
          </c:val>
          <c:extLst>
            <c:ext xmlns:c16="http://schemas.microsoft.com/office/drawing/2014/chart" uri="{C3380CC4-5D6E-409C-BE32-E72D297353CC}">
              <c16:uniqueId val="{00000001-4A98-4396-8DEB-374F62C867A3}"/>
            </c:ext>
          </c:extLst>
        </c:ser>
        <c:ser>
          <c:idx val="2"/>
          <c:order val="2"/>
          <c:tx>
            <c:strRef>
              <c:f>Graphs!$D$38</c:f>
              <c:strCache>
                <c:ptCount val="1"/>
                <c:pt idx="0">
                  <c:v>2017/2018</c:v>
                </c:pt>
              </c:strCache>
            </c:strRef>
          </c:tx>
          <c:spPr>
            <a:solidFill>
              <a:schemeClr val="accent3"/>
            </a:solidFill>
            <a:ln>
              <a:noFill/>
            </a:ln>
            <a:effectLst/>
          </c:spPr>
          <c:invertIfNegative val="0"/>
          <c:cat>
            <c:strRef>
              <c:f>Graphs!$A$39:$A$53</c:f>
              <c:strCache>
                <c:ptCount val="15"/>
                <c:pt idx="0">
                  <c:v>BAS Support</c:v>
                </c:pt>
                <c:pt idx="1">
                  <c:v>Basic Salary</c:v>
                </c:pt>
                <c:pt idx="2">
                  <c:v>Housing Allowances</c:v>
                </c:pt>
                <c:pt idx="3">
                  <c:v>NON PENSINABLE ALLOWANCES</c:v>
                </c:pt>
                <c:pt idx="4">
                  <c:v>PERFOMANCE BONUS</c:v>
                </c:pt>
                <c:pt idx="5">
                  <c:v>SERV BASED</c:v>
                </c:pt>
                <c:pt idx="6">
                  <c:v>SERVICE BONUS</c:v>
                </c:pt>
                <c:pt idx="7">
                  <c:v>LOGIS Support</c:v>
                </c:pt>
                <c:pt idx="8">
                  <c:v>Basic Salary</c:v>
                </c:pt>
                <c:pt idx="9">
                  <c:v>Housing Allowances</c:v>
                </c:pt>
                <c:pt idx="10">
                  <c:v>NON PENSONABLE ALLOWANCES</c:v>
                </c:pt>
                <c:pt idx="11">
                  <c:v>PERFOMANCE BONUS</c:v>
                </c:pt>
                <c:pt idx="12">
                  <c:v>SERV BASED</c:v>
                </c:pt>
                <c:pt idx="13">
                  <c:v>SERVICE BONUS</c:v>
                </c:pt>
                <c:pt idx="14">
                  <c:v>Grand Total</c:v>
                </c:pt>
              </c:strCache>
            </c:strRef>
          </c:cat>
          <c:val>
            <c:numRef>
              <c:f>Graphs!$D$39:$D$53</c:f>
              <c:numCache>
                <c:formatCode>_ [$R-1C09]\ * #\ ##0.00_ ;_ [$R-1C09]\ * \-#\ ##0.00_ ;_ [$R-1C09]\ * "-"??_ ;_ @_ </c:formatCode>
                <c:ptCount val="15"/>
                <c:pt idx="0">
                  <c:v>2305267.6800000002</c:v>
                </c:pt>
                <c:pt idx="1">
                  <c:v>2002679.7</c:v>
                </c:pt>
                <c:pt idx="2">
                  <c:v>60060</c:v>
                </c:pt>
                <c:pt idx="3">
                  <c:v>113609.28</c:v>
                </c:pt>
                <c:pt idx="5">
                  <c:v>0</c:v>
                </c:pt>
                <c:pt idx="6">
                  <c:v>109155</c:v>
                </c:pt>
                <c:pt idx="7">
                  <c:v>3540885.9499999997</c:v>
                </c:pt>
                <c:pt idx="8">
                  <c:v>3134762.19</c:v>
                </c:pt>
                <c:pt idx="9">
                  <c:v>96804</c:v>
                </c:pt>
                <c:pt idx="10">
                  <c:v>103937.01</c:v>
                </c:pt>
                <c:pt idx="11">
                  <c:v>0</c:v>
                </c:pt>
                <c:pt idx="13">
                  <c:v>205382.75</c:v>
                </c:pt>
                <c:pt idx="14">
                  <c:v>5846153.6299999999</c:v>
                </c:pt>
              </c:numCache>
            </c:numRef>
          </c:val>
          <c:extLst>
            <c:ext xmlns:c16="http://schemas.microsoft.com/office/drawing/2014/chart" uri="{C3380CC4-5D6E-409C-BE32-E72D297353CC}">
              <c16:uniqueId val="{00000002-4A98-4396-8DEB-374F62C867A3}"/>
            </c:ext>
          </c:extLst>
        </c:ser>
        <c:ser>
          <c:idx val="3"/>
          <c:order val="3"/>
          <c:tx>
            <c:strRef>
              <c:f>Graphs!$E$38</c:f>
              <c:strCache>
                <c:ptCount val="1"/>
                <c:pt idx="0">
                  <c:v>2018/2019</c:v>
                </c:pt>
              </c:strCache>
            </c:strRef>
          </c:tx>
          <c:spPr>
            <a:solidFill>
              <a:schemeClr val="accent4"/>
            </a:solidFill>
            <a:ln>
              <a:noFill/>
            </a:ln>
            <a:effectLst/>
          </c:spPr>
          <c:invertIfNegative val="0"/>
          <c:cat>
            <c:strRef>
              <c:f>Graphs!$A$39:$A$53</c:f>
              <c:strCache>
                <c:ptCount val="15"/>
                <c:pt idx="0">
                  <c:v>BAS Support</c:v>
                </c:pt>
                <c:pt idx="1">
                  <c:v>Basic Salary</c:v>
                </c:pt>
                <c:pt idx="2">
                  <c:v>Housing Allowances</c:v>
                </c:pt>
                <c:pt idx="3">
                  <c:v>NON PENSINABLE ALLOWANCES</c:v>
                </c:pt>
                <c:pt idx="4">
                  <c:v>PERFOMANCE BONUS</c:v>
                </c:pt>
                <c:pt idx="5">
                  <c:v>SERV BASED</c:v>
                </c:pt>
                <c:pt idx="6">
                  <c:v>SERVICE BONUS</c:v>
                </c:pt>
                <c:pt idx="7">
                  <c:v>LOGIS Support</c:v>
                </c:pt>
                <c:pt idx="8">
                  <c:v>Basic Salary</c:v>
                </c:pt>
                <c:pt idx="9">
                  <c:v>Housing Allowances</c:v>
                </c:pt>
                <c:pt idx="10">
                  <c:v>NON PENSONABLE ALLOWANCES</c:v>
                </c:pt>
                <c:pt idx="11">
                  <c:v>PERFOMANCE BONUS</c:v>
                </c:pt>
                <c:pt idx="12">
                  <c:v>SERV BASED</c:v>
                </c:pt>
                <c:pt idx="13">
                  <c:v>SERVICE BONUS</c:v>
                </c:pt>
                <c:pt idx="14">
                  <c:v>Grand Total</c:v>
                </c:pt>
              </c:strCache>
            </c:strRef>
          </c:cat>
          <c:val>
            <c:numRef>
              <c:f>Graphs!$E$39:$E$53</c:f>
              <c:numCache>
                <c:formatCode>_ [$R-1C09]\ * #\ ##0.00_ ;_ [$R-1C09]\ * \-#\ ##0.00_ ;_ [$R-1C09]\ * "-"??_ ;_ @_ </c:formatCode>
                <c:ptCount val="15"/>
                <c:pt idx="0">
                  <c:v>2445651.9000000004</c:v>
                </c:pt>
                <c:pt idx="1">
                  <c:v>2150202.7200000002</c:v>
                </c:pt>
                <c:pt idx="2">
                  <c:v>56069.94</c:v>
                </c:pt>
                <c:pt idx="3">
                  <c:v>121386.24000000001</c:v>
                </c:pt>
                <c:pt idx="6">
                  <c:v>117993</c:v>
                </c:pt>
                <c:pt idx="7">
                  <c:v>3186111.12</c:v>
                </c:pt>
                <c:pt idx="8">
                  <c:v>2836642.43</c:v>
                </c:pt>
                <c:pt idx="9">
                  <c:v>69795.92</c:v>
                </c:pt>
                <c:pt idx="10">
                  <c:v>113310.72</c:v>
                </c:pt>
                <c:pt idx="11">
                  <c:v>0</c:v>
                </c:pt>
                <c:pt idx="13">
                  <c:v>166362.04999999999</c:v>
                </c:pt>
                <c:pt idx="14">
                  <c:v>5631763.0199999996</c:v>
                </c:pt>
              </c:numCache>
            </c:numRef>
          </c:val>
          <c:extLst>
            <c:ext xmlns:c16="http://schemas.microsoft.com/office/drawing/2014/chart" uri="{C3380CC4-5D6E-409C-BE32-E72D297353CC}">
              <c16:uniqueId val="{00000003-4A98-4396-8DEB-374F62C867A3}"/>
            </c:ext>
          </c:extLst>
        </c:ser>
        <c:dLbls>
          <c:showLegendKey val="0"/>
          <c:showVal val="0"/>
          <c:showCatName val="0"/>
          <c:showSerName val="0"/>
          <c:showPercent val="0"/>
          <c:showBubbleSize val="0"/>
        </c:dLbls>
        <c:gapWidth val="219"/>
        <c:overlap val="-27"/>
        <c:axId val="404337952"/>
        <c:axId val="404332048"/>
      </c:barChart>
      <c:catAx>
        <c:axId val="4043379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4332048"/>
        <c:crosses val="autoZero"/>
        <c:auto val="1"/>
        <c:lblAlgn val="ctr"/>
        <c:lblOffset val="100"/>
        <c:noMultiLvlLbl val="0"/>
      </c:catAx>
      <c:valAx>
        <c:axId val="404332048"/>
        <c:scaling>
          <c:orientation val="minMax"/>
        </c:scaling>
        <c:delete val="0"/>
        <c:axPos val="l"/>
        <c:majorGridlines>
          <c:spPr>
            <a:ln w="9525" cap="flat" cmpd="sng" algn="ctr">
              <a:solidFill>
                <a:schemeClr val="tx1">
                  <a:lumMod val="15000"/>
                  <a:lumOff val="85000"/>
                </a:schemeClr>
              </a:solidFill>
              <a:round/>
            </a:ln>
            <a:effectLst/>
          </c:spPr>
        </c:majorGridlines>
        <c:numFmt formatCode="_ [$R-1C09]\ * #\ ##0.00_ ;_ [$R-1C09]\ * \-#\ ##0.00_ ;_ [$R-1C09]\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43379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Expenditure Analysis</a:t>
            </a:r>
            <a:r>
              <a:rPr lang="en-GB" baseline="0"/>
              <a:t>: BAS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Graphs!$A$39</c:f>
              <c:strCache>
                <c:ptCount val="1"/>
                <c:pt idx="0">
                  <c:v>BAS Support</c:v>
                </c:pt>
              </c:strCache>
            </c:strRef>
          </c:tx>
          <c:spPr>
            <a:solidFill>
              <a:schemeClr val="accent1"/>
            </a:solidFill>
            <a:ln>
              <a:noFill/>
            </a:ln>
            <a:effectLst/>
          </c:spPr>
          <c:invertIfNegative val="0"/>
          <c:cat>
            <c:strRef>
              <c:f>Graphs!$B$38:$E$38</c:f>
              <c:strCache>
                <c:ptCount val="4"/>
                <c:pt idx="0">
                  <c:v>2015/2016</c:v>
                </c:pt>
                <c:pt idx="1">
                  <c:v>2016/2017</c:v>
                </c:pt>
                <c:pt idx="2">
                  <c:v>2017/2018</c:v>
                </c:pt>
                <c:pt idx="3">
                  <c:v>2018/2019</c:v>
                </c:pt>
              </c:strCache>
            </c:strRef>
          </c:cat>
          <c:val>
            <c:numRef>
              <c:f>Graphs!$B$39:$E$39</c:f>
              <c:numCache>
                <c:formatCode>_ [$R-1C09]\ * #\ ##0.00_ ;_ [$R-1C09]\ * \-#\ ##0.00_ ;_ [$R-1C09]\ * "-"??_ ;_ @_ </c:formatCode>
                <c:ptCount val="4"/>
                <c:pt idx="0">
                  <c:v>2125164.87</c:v>
                </c:pt>
                <c:pt idx="1">
                  <c:v>2149398.96</c:v>
                </c:pt>
                <c:pt idx="2">
                  <c:v>2305267.6800000002</c:v>
                </c:pt>
                <c:pt idx="3">
                  <c:v>2445651.9000000004</c:v>
                </c:pt>
              </c:numCache>
            </c:numRef>
          </c:val>
          <c:extLst>
            <c:ext xmlns:c16="http://schemas.microsoft.com/office/drawing/2014/chart" uri="{C3380CC4-5D6E-409C-BE32-E72D297353CC}">
              <c16:uniqueId val="{00000000-D3C5-448E-9D6D-60284E50B024}"/>
            </c:ext>
          </c:extLst>
        </c:ser>
        <c:ser>
          <c:idx val="1"/>
          <c:order val="1"/>
          <c:tx>
            <c:strRef>
              <c:f>Graphs!$A$40</c:f>
              <c:strCache>
                <c:ptCount val="1"/>
                <c:pt idx="0">
                  <c:v>Basic Salary</c:v>
                </c:pt>
              </c:strCache>
            </c:strRef>
          </c:tx>
          <c:spPr>
            <a:solidFill>
              <a:schemeClr val="accent2"/>
            </a:solidFill>
            <a:ln>
              <a:noFill/>
            </a:ln>
            <a:effectLst/>
          </c:spPr>
          <c:invertIfNegative val="0"/>
          <c:cat>
            <c:strRef>
              <c:f>Graphs!$B$38:$E$38</c:f>
              <c:strCache>
                <c:ptCount val="4"/>
                <c:pt idx="0">
                  <c:v>2015/2016</c:v>
                </c:pt>
                <c:pt idx="1">
                  <c:v>2016/2017</c:v>
                </c:pt>
                <c:pt idx="2">
                  <c:v>2017/2018</c:v>
                </c:pt>
                <c:pt idx="3">
                  <c:v>2018/2019</c:v>
                </c:pt>
              </c:strCache>
            </c:strRef>
          </c:cat>
          <c:val>
            <c:numRef>
              <c:f>Graphs!$B$40:$E$40</c:f>
              <c:numCache>
                <c:formatCode>_ [$R-1C09]\ * #\ ##0.00_ ;_ [$R-1C09]\ * \-#\ ##0.00_ ;_ [$R-1C09]\ * "-"??_ ;_ @_ </c:formatCode>
                <c:ptCount val="4"/>
                <c:pt idx="0">
                  <c:v>1856190.65</c:v>
                </c:pt>
                <c:pt idx="1">
                  <c:v>1848458.91</c:v>
                </c:pt>
                <c:pt idx="2">
                  <c:v>2002679.7</c:v>
                </c:pt>
                <c:pt idx="3">
                  <c:v>2150202.7200000002</c:v>
                </c:pt>
              </c:numCache>
            </c:numRef>
          </c:val>
          <c:extLst>
            <c:ext xmlns:c16="http://schemas.microsoft.com/office/drawing/2014/chart" uri="{C3380CC4-5D6E-409C-BE32-E72D297353CC}">
              <c16:uniqueId val="{00000001-D3C5-448E-9D6D-60284E50B024}"/>
            </c:ext>
          </c:extLst>
        </c:ser>
        <c:dLbls>
          <c:showLegendKey val="0"/>
          <c:showVal val="0"/>
          <c:showCatName val="0"/>
          <c:showSerName val="0"/>
          <c:showPercent val="0"/>
          <c:showBubbleSize val="0"/>
        </c:dLbls>
        <c:gapWidth val="219"/>
        <c:overlap val="-27"/>
        <c:axId val="400635072"/>
        <c:axId val="400633104"/>
      </c:barChart>
      <c:catAx>
        <c:axId val="400635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633104"/>
        <c:crosses val="autoZero"/>
        <c:auto val="1"/>
        <c:lblAlgn val="ctr"/>
        <c:lblOffset val="100"/>
        <c:noMultiLvlLbl val="0"/>
      </c:catAx>
      <c:valAx>
        <c:axId val="400633104"/>
        <c:scaling>
          <c:orientation val="minMax"/>
        </c:scaling>
        <c:delete val="0"/>
        <c:axPos val="l"/>
        <c:majorGridlines>
          <c:spPr>
            <a:ln w="9525" cap="flat" cmpd="sng" algn="ctr">
              <a:solidFill>
                <a:schemeClr val="tx1">
                  <a:lumMod val="15000"/>
                  <a:lumOff val="85000"/>
                </a:schemeClr>
              </a:solidFill>
              <a:round/>
            </a:ln>
            <a:effectLst/>
          </c:spPr>
        </c:majorGridlines>
        <c:numFmt formatCode="_ [$R-1C09]\ * #\ ##0.00_ ;_ [$R-1C09]\ * \-#\ ##0.00_ ;_ [$R-1C09]\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6350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Expenditure Analysis</a:t>
            </a:r>
            <a:r>
              <a:rPr lang="en-GB" baseline="0"/>
              <a:t>: LOGIS</a:t>
            </a: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Graphs!$A$46</c:f>
              <c:strCache>
                <c:ptCount val="1"/>
                <c:pt idx="0">
                  <c:v>LOGIS Support</c:v>
                </c:pt>
              </c:strCache>
            </c:strRef>
          </c:tx>
          <c:spPr>
            <a:solidFill>
              <a:schemeClr val="accent1"/>
            </a:solidFill>
            <a:ln>
              <a:noFill/>
            </a:ln>
            <a:effectLst/>
          </c:spPr>
          <c:invertIfNegative val="0"/>
          <c:cat>
            <c:strRef>
              <c:f>(Graphs!$B$38,Graphs!$C$38,Graphs!$D$38,Graphs!$E$38)</c:f>
              <c:strCache>
                <c:ptCount val="4"/>
                <c:pt idx="0">
                  <c:v>2015/2016</c:v>
                </c:pt>
                <c:pt idx="1">
                  <c:v>2016/2017</c:v>
                </c:pt>
                <c:pt idx="2">
                  <c:v>2017/2018</c:v>
                </c:pt>
                <c:pt idx="3">
                  <c:v>2018/2019</c:v>
                </c:pt>
              </c:strCache>
            </c:strRef>
          </c:cat>
          <c:val>
            <c:numRef>
              <c:f>Graphs!$B$46:$E$46</c:f>
              <c:numCache>
                <c:formatCode>_ [$R-1C09]\ * #\ ##0.00_ ;_ [$R-1C09]\ * \-#\ ##0.00_ ;_ [$R-1C09]\ * "-"??_ ;_ @_ </c:formatCode>
                <c:ptCount val="4"/>
                <c:pt idx="0">
                  <c:v>3023860.12</c:v>
                </c:pt>
                <c:pt idx="1">
                  <c:v>3264281.27</c:v>
                </c:pt>
                <c:pt idx="2">
                  <c:v>3540885.9499999997</c:v>
                </c:pt>
                <c:pt idx="3">
                  <c:v>3186111.12</c:v>
                </c:pt>
              </c:numCache>
            </c:numRef>
          </c:val>
          <c:extLst>
            <c:ext xmlns:c16="http://schemas.microsoft.com/office/drawing/2014/chart" uri="{C3380CC4-5D6E-409C-BE32-E72D297353CC}">
              <c16:uniqueId val="{00000000-A720-4D60-883E-808024DB8C0D}"/>
            </c:ext>
          </c:extLst>
        </c:ser>
        <c:ser>
          <c:idx val="1"/>
          <c:order val="1"/>
          <c:tx>
            <c:strRef>
              <c:f>Graphs!$A$47</c:f>
              <c:strCache>
                <c:ptCount val="1"/>
                <c:pt idx="0">
                  <c:v>Basic Salary</c:v>
                </c:pt>
              </c:strCache>
            </c:strRef>
          </c:tx>
          <c:spPr>
            <a:solidFill>
              <a:schemeClr val="accent2"/>
            </a:solidFill>
            <a:ln>
              <a:noFill/>
            </a:ln>
            <a:effectLst/>
          </c:spPr>
          <c:invertIfNegative val="0"/>
          <c:cat>
            <c:strRef>
              <c:f>(Graphs!$B$38,Graphs!$C$38,Graphs!$D$38,Graphs!$E$38)</c:f>
              <c:strCache>
                <c:ptCount val="4"/>
                <c:pt idx="0">
                  <c:v>2015/2016</c:v>
                </c:pt>
                <c:pt idx="1">
                  <c:v>2016/2017</c:v>
                </c:pt>
                <c:pt idx="2">
                  <c:v>2017/2018</c:v>
                </c:pt>
                <c:pt idx="3">
                  <c:v>2018/2019</c:v>
                </c:pt>
              </c:strCache>
            </c:strRef>
          </c:cat>
          <c:val>
            <c:numRef>
              <c:f>Graphs!$B$47:$E$47</c:f>
              <c:numCache>
                <c:formatCode>_ [$R-1C09]\ * #\ ##0.00_ ;_ [$R-1C09]\ * \-#\ ##0.00_ ;_ [$R-1C09]\ * "-"??_ ;_ @_ </c:formatCode>
                <c:ptCount val="4"/>
                <c:pt idx="0">
                  <c:v>2657931.77</c:v>
                </c:pt>
                <c:pt idx="1">
                  <c:v>2884453.32</c:v>
                </c:pt>
                <c:pt idx="2">
                  <c:v>3134762.19</c:v>
                </c:pt>
                <c:pt idx="3">
                  <c:v>2836642.43</c:v>
                </c:pt>
              </c:numCache>
            </c:numRef>
          </c:val>
          <c:extLst>
            <c:ext xmlns:c16="http://schemas.microsoft.com/office/drawing/2014/chart" uri="{C3380CC4-5D6E-409C-BE32-E72D297353CC}">
              <c16:uniqueId val="{00000001-A720-4D60-883E-808024DB8C0D}"/>
            </c:ext>
          </c:extLst>
        </c:ser>
        <c:dLbls>
          <c:showLegendKey val="0"/>
          <c:showVal val="0"/>
          <c:showCatName val="0"/>
          <c:showSerName val="0"/>
          <c:showPercent val="0"/>
          <c:showBubbleSize val="0"/>
        </c:dLbls>
        <c:gapWidth val="219"/>
        <c:overlap val="-27"/>
        <c:axId val="400644912"/>
        <c:axId val="400645896"/>
      </c:barChart>
      <c:catAx>
        <c:axId val="4006449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645896"/>
        <c:crosses val="autoZero"/>
        <c:auto val="1"/>
        <c:lblAlgn val="ctr"/>
        <c:lblOffset val="100"/>
        <c:noMultiLvlLbl val="0"/>
      </c:catAx>
      <c:valAx>
        <c:axId val="400645896"/>
        <c:scaling>
          <c:orientation val="minMax"/>
        </c:scaling>
        <c:delete val="0"/>
        <c:axPos val="l"/>
        <c:majorGridlines>
          <c:spPr>
            <a:ln w="9525" cap="flat" cmpd="sng" algn="ctr">
              <a:solidFill>
                <a:schemeClr val="tx1">
                  <a:lumMod val="15000"/>
                  <a:lumOff val="85000"/>
                </a:schemeClr>
              </a:solidFill>
              <a:round/>
            </a:ln>
            <a:effectLst/>
          </c:spPr>
        </c:majorGridlines>
        <c:numFmt formatCode="_ [$R-1C09]\ * #\ ##0.00_ ;_ [$R-1C09]\ * \-#\ ##0.00_ ;_ [$R-1C09]\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0064491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LOGIS Support Calls</a:t>
            </a:r>
          </a:p>
        </c:rich>
      </c:tx>
      <c:overlay val="0"/>
      <c:spPr>
        <a:noFill/>
        <a:ln>
          <a:noFill/>
        </a:ln>
        <a:effectLst/>
      </c:spPr>
    </c:title>
    <c:autoTitleDeleted val="0"/>
    <c:plotArea>
      <c:layout/>
      <c:barChart>
        <c:barDir val="col"/>
        <c:grouping val="percentStacked"/>
        <c:varyColors val="0"/>
        <c:ser>
          <c:idx val="0"/>
          <c:order val="0"/>
          <c:tx>
            <c:strRef>
              <c:f>'Monitoring and Support'!$H$9</c:f>
              <c:strCache>
                <c:ptCount val="1"/>
                <c:pt idx="0">
                  <c:v>Total calls</c:v>
                </c:pt>
              </c:strCache>
            </c:strRef>
          </c:tx>
          <c:spPr>
            <a:ln w="28575" cap="rnd">
              <a:solidFill>
                <a:schemeClr val="accent1"/>
              </a:solidFill>
              <a:round/>
            </a:ln>
            <a:effectLst/>
          </c:spPr>
          <c:invertIfNegative val="0"/>
          <c:cat>
            <c:strRef>
              <c:f>'Monitoring and Support'!$I$8:$M$8</c:f>
              <c:strCache>
                <c:ptCount val="5"/>
                <c:pt idx="0">
                  <c:v>2016/17</c:v>
                </c:pt>
                <c:pt idx="1">
                  <c:v>2017/18</c:v>
                </c:pt>
                <c:pt idx="2">
                  <c:v>2018/19</c:v>
                </c:pt>
                <c:pt idx="3">
                  <c:v>2017/18</c:v>
                </c:pt>
                <c:pt idx="4">
                  <c:v>2018/19</c:v>
                </c:pt>
              </c:strCache>
            </c:strRef>
          </c:cat>
          <c:val>
            <c:numRef>
              <c:f>'Monitoring and Support'!$I$9:$M$9</c:f>
              <c:numCache>
                <c:formatCode>General</c:formatCode>
                <c:ptCount val="5"/>
                <c:pt idx="0">
                  <c:v>4560</c:v>
                </c:pt>
                <c:pt idx="1">
                  <c:v>1288</c:v>
                </c:pt>
                <c:pt idx="2">
                  <c:v>303</c:v>
                </c:pt>
                <c:pt idx="3" formatCode="0%">
                  <c:v>-0.71754385964912282</c:v>
                </c:pt>
                <c:pt idx="4" formatCode="0%">
                  <c:v>-0.76475155279503104</c:v>
                </c:pt>
              </c:numCache>
            </c:numRef>
          </c:val>
          <c:extLst>
            <c:ext xmlns:c16="http://schemas.microsoft.com/office/drawing/2014/chart" uri="{C3380CC4-5D6E-409C-BE32-E72D297353CC}">
              <c16:uniqueId val="{00000000-6DF5-41BC-9348-91E04C5800E2}"/>
            </c:ext>
          </c:extLst>
        </c:ser>
        <c:ser>
          <c:idx val="1"/>
          <c:order val="1"/>
          <c:tx>
            <c:strRef>
              <c:f>'Monitoring and Support'!$H$10</c:f>
              <c:strCache>
                <c:ptCount val="1"/>
                <c:pt idx="0">
                  <c:v>New ICN's</c:v>
                </c:pt>
              </c:strCache>
            </c:strRef>
          </c:tx>
          <c:spPr>
            <a:ln w="28575" cap="rnd">
              <a:solidFill>
                <a:schemeClr val="accent2"/>
              </a:solidFill>
              <a:round/>
            </a:ln>
            <a:effectLst/>
          </c:spPr>
          <c:invertIfNegative val="0"/>
          <c:cat>
            <c:strRef>
              <c:f>'Monitoring and Support'!$I$8:$M$8</c:f>
              <c:strCache>
                <c:ptCount val="5"/>
                <c:pt idx="0">
                  <c:v>2016/17</c:v>
                </c:pt>
                <c:pt idx="1">
                  <c:v>2017/18</c:v>
                </c:pt>
                <c:pt idx="2">
                  <c:v>2018/19</c:v>
                </c:pt>
                <c:pt idx="3">
                  <c:v>2017/18</c:v>
                </c:pt>
                <c:pt idx="4">
                  <c:v>2018/19</c:v>
                </c:pt>
              </c:strCache>
            </c:strRef>
          </c:cat>
          <c:val>
            <c:numRef>
              <c:f>'Monitoring and Support'!$I$10:$M$10</c:f>
              <c:numCache>
                <c:formatCode>General</c:formatCode>
                <c:ptCount val="5"/>
                <c:pt idx="0">
                  <c:v>1054</c:v>
                </c:pt>
                <c:pt idx="1">
                  <c:v>711</c:v>
                </c:pt>
                <c:pt idx="2">
                  <c:v>277</c:v>
                </c:pt>
                <c:pt idx="3" formatCode="0%">
                  <c:v>-0.32542694497153701</c:v>
                </c:pt>
                <c:pt idx="4" formatCode="0%">
                  <c:v>-0.61040787623066106</c:v>
                </c:pt>
              </c:numCache>
            </c:numRef>
          </c:val>
          <c:extLst>
            <c:ext xmlns:c16="http://schemas.microsoft.com/office/drawing/2014/chart" uri="{C3380CC4-5D6E-409C-BE32-E72D297353CC}">
              <c16:uniqueId val="{00000001-6DF5-41BC-9348-91E04C5800E2}"/>
            </c:ext>
          </c:extLst>
        </c:ser>
        <c:ser>
          <c:idx val="2"/>
          <c:order val="2"/>
          <c:tx>
            <c:strRef>
              <c:f>'Monitoring and Support'!$H$11</c:f>
              <c:strCache>
                <c:ptCount val="1"/>
                <c:pt idx="0">
                  <c:v>Supplier Admin</c:v>
                </c:pt>
              </c:strCache>
            </c:strRef>
          </c:tx>
          <c:spPr>
            <a:ln w="28575" cap="rnd">
              <a:solidFill>
                <a:schemeClr val="accent3"/>
              </a:solidFill>
              <a:round/>
            </a:ln>
            <a:effectLst/>
          </c:spPr>
          <c:invertIfNegative val="0"/>
          <c:cat>
            <c:strRef>
              <c:f>'Monitoring and Support'!$I$8:$M$8</c:f>
              <c:strCache>
                <c:ptCount val="5"/>
                <c:pt idx="0">
                  <c:v>2016/17</c:v>
                </c:pt>
                <c:pt idx="1">
                  <c:v>2017/18</c:v>
                </c:pt>
                <c:pt idx="2">
                  <c:v>2018/19</c:v>
                </c:pt>
                <c:pt idx="3">
                  <c:v>2017/18</c:v>
                </c:pt>
                <c:pt idx="4">
                  <c:v>2018/19</c:v>
                </c:pt>
              </c:strCache>
            </c:strRef>
          </c:cat>
          <c:val>
            <c:numRef>
              <c:f>'Monitoring and Support'!$I$11:$M$11</c:f>
              <c:numCache>
                <c:formatCode>General</c:formatCode>
                <c:ptCount val="5"/>
                <c:pt idx="0">
                  <c:v>1350</c:v>
                </c:pt>
                <c:pt idx="1">
                  <c:v>84</c:v>
                </c:pt>
                <c:pt idx="2">
                  <c:v>12</c:v>
                </c:pt>
                <c:pt idx="3" formatCode="0%">
                  <c:v>-0.93777777777777782</c:v>
                </c:pt>
                <c:pt idx="4" formatCode="0%">
                  <c:v>-0.85714285714285721</c:v>
                </c:pt>
              </c:numCache>
            </c:numRef>
          </c:val>
          <c:extLst>
            <c:ext xmlns:c16="http://schemas.microsoft.com/office/drawing/2014/chart" uri="{C3380CC4-5D6E-409C-BE32-E72D297353CC}">
              <c16:uniqueId val="{00000002-6DF5-41BC-9348-91E04C5800E2}"/>
            </c:ext>
          </c:extLst>
        </c:ser>
        <c:ser>
          <c:idx val="3"/>
          <c:order val="3"/>
          <c:tx>
            <c:strRef>
              <c:f>'Monitoring and Support'!$H$12</c:f>
              <c:strCache>
                <c:ptCount val="1"/>
                <c:pt idx="0">
                  <c:v>Average per quarter</c:v>
                </c:pt>
              </c:strCache>
            </c:strRef>
          </c:tx>
          <c:spPr>
            <a:ln w="28575" cap="rnd">
              <a:solidFill>
                <a:schemeClr val="accent4"/>
              </a:solidFill>
              <a:round/>
            </a:ln>
            <a:effectLst/>
          </c:spPr>
          <c:invertIfNegative val="0"/>
          <c:cat>
            <c:strRef>
              <c:f>'Monitoring and Support'!$I$8:$M$8</c:f>
              <c:strCache>
                <c:ptCount val="5"/>
                <c:pt idx="0">
                  <c:v>2016/17</c:v>
                </c:pt>
                <c:pt idx="1">
                  <c:v>2017/18</c:v>
                </c:pt>
                <c:pt idx="2">
                  <c:v>2018/19</c:v>
                </c:pt>
                <c:pt idx="3">
                  <c:v>2017/18</c:v>
                </c:pt>
                <c:pt idx="4">
                  <c:v>2018/19</c:v>
                </c:pt>
              </c:strCache>
            </c:strRef>
          </c:cat>
          <c:val>
            <c:numRef>
              <c:f>'Monitoring and Support'!$I$12:$M$12</c:f>
              <c:numCache>
                <c:formatCode>General</c:formatCode>
                <c:ptCount val="5"/>
                <c:pt idx="0">
                  <c:v>1140</c:v>
                </c:pt>
                <c:pt idx="1">
                  <c:v>322</c:v>
                </c:pt>
                <c:pt idx="2">
                  <c:v>75.75</c:v>
                </c:pt>
              </c:numCache>
            </c:numRef>
          </c:val>
          <c:extLst>
            <c:ext xmlns:c16="http://schemas.microsoft.com/office/drawing/2014/chart" uri="{C3380CC4-5D6E-409C-BE32-E72D297353CC}">
              <c16:uniqueId val="{00000003-6DF5-41BC-9348-91E04C5800E2}"/>
            </c:ext>
          </c:extLst>
        </c:ser>
        <c:dLbls>
          <c:showLegendKey val="0"/>
          <c:showVal val="0"/>
          <c:showCatName val="0"/>
          <c:showSerName val="0"/>
          <c:showPercent val="0"/>
          <c:showBubbleSize val="0"/>
        </c:dLbls>
        <c:gapWidth val="150"/>
        <c:overlap val="100"/>
        <c:axId val="602761352"/>
        <c:axId val="602764304"/>
      </c:barChart>
      <c:catAx>
        <c:axId val="60276135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2764304"/>
        <c:crosses val="autoZero"/>
        <c:auto val="1"/>
        <c:lblAlgn val="ctr"/>
        <c:lblOffset val="100"/>
        <c:noMultiLvlLbl val="0"/>
      </c:catAx>
      <c:valAx>
        <c:axId val="60276430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602761352"/>
        <c:crosses val="autoZero"/>
        <c:crossBetween val="between"/>
      </c:valAx>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0"/>
  </c:chart>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n-GB"/>
              <a:t>POTENTIAL</a:t>
            </a:r>
            <a:r>
              <a:rPr lang="en-GB" baseline="0"/>
              <a:t> SAVINGS BASED ON COSTED PLAN</a:t>
            </a:r>
            <a:endParaRPr lang="en-GB"/>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tx>
            <c:strRef>
              <c:f>Costing!$B$40</c:f>
              <c:strCache>
                <c:ptCount val="1"/>
                <c:pt idx="0">
                  <c:v>Proposed structure</c:v>
                </c:pt>
              </c:strCache>
            </c:strRef>
          </c:tx>
          <c:spPr>
            <a:solidFill>
              <a:schemeClr val="accent1"/>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Costing!$C$39:$G$39</c:f>
              <c:strCache>
                <c:ptCount val="4"/>
                <c:pt idx="0">
                  <c:v>Salaries</c:v>
                </c:pt>
                <c:pt idx="1">
                  <c:v>Potential Savings (R'000)</c:v>
                </c:pt>
                <c:pt idx="3">
                  <c:v>Potential savings (%)</c:v>
                </c:pt>
              </c:strCache>
            </c:strRef>
          </c:cat>
          <c:val>
            <c:numRef>
              <c:f>Costing!$C$40:$G$40</c:f>
              <c:numCache>
                <c:formatCode>General</c:formatCode>
                <c:ptCount val="4"/>
                <c:pt idx="0" formatCode="_ [$R-1C09]\ * #\ ##0.00_ ;_ [$R-1C09]\ * \-#\ ##0.00_ ;_ [$R-1C09]\ * &quot;-&quot;??_ ;_ @_ ">
                  <c:v>6466747.0707662506</c:v>
                </c:pt>
              </c:numCache>
            </c:numRef>
          </c:val>
          <c:extLst>
            <c:ext xmlns:c16="http://schemas.microsoft.com/office/drawing/2014/chart" uri="{C3380CC4-5D6E-409C-BE32-E72D297353CC}">
              <c16:uniqueId val="{00000000-24EB-4420-BEEF-68F06742C0AD}"/>
            </c:ext>
          </c:extLst>
        </c:ser>
        <c:ser>
          <c:idx val="1"/>
          <c:order val="1"/>
          <c:tx>
            <c:strRef>
              <c:f>Costing!$B$41</c:f>
              <c:strCache>
                <c:ptCount val="1"/>
                <c:pt idx="0">
                  <c:v>Scenario 1</c:v>
                </c:pt>
              </c:strCache>
            </c:strRef>
          </c:tx>
          <c:spPr>
            <a:solidFill>
              <a:schemeClr val="accent2"/>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Costing!$C$39:$G$39</c:f>
              <c:strCache>
                <c:ptCount val="4"/>
                <c:pt idx="0">
                  <c:v>Salaries</c:v>
                </c:pt>
                <c:pt idx="1">
                  <c:v>Potential Savings (R'000)</c:v>
                </c:pt>
                <c:pt idx="3">
                  <c:v>Potential savings (%)</c:v>
                </c:pt>
              </c:strCache>
            </c:strRef>
          </c:cat>
          <c:val>
            <c:numRef>
              <c:f>Costing!$C$41:$G$41</c:f>
              <c:numCache>
                <c:formatCode>_ [$R-1C09]\ * #\ ##0.00_ ;_ [$R-1C09]\ * \-#\ ##0.00_ ;_ [$R-1C09]\ * "-"??_ ;_ @_ </c:formatCode>
                <c:ptCount val="4"/>
                <c:pt idx="0">
                  <c:v>4674998.1181499995</c:v>
                </c:pt>
                <c:pt idx="1">
                  <c:v>1791748.9526162511</c:v>
                </c:pt>
                <c:pt idx="3" formatCode="0%">
                  <c:v>0.27707113530326233</c:v>
                </c:pt>
              </c:numCache>
            </c:numRef>
          </c:val>
          <c:extLst>
            <c:ext xmlns:c16="http://schemas.microsoft.com/office/drawing/2014/chart" uri="{C3380CC4-5D6E-409C-BE32-E72D297353CC}">
              <c16:uniqueId val="{00000001-24EB-4420-BEEF-68F06742C0AD}"/>
            </c:ext>
          </c:extLst>
        </c:ser>
        <c:ser>
          <c:idx val="2"/>
          <c:order val="2"/>
          <c:tx>
            <c:strRef>
              <c:f>Costing!$B$42</c:f>
              <c:strCache>
                <c:ptCount val="1"/>
                <c:pt idx="0">
                  <c:v>Scenario 2</c:v>
                </c:pt>
              </c:strCache>
            </c:strRef>
          </c:tx>
          <c:spPr>
            <a:solidFill>
              <a:schemeClr val="accent3"/>
            </a:solidFill>
            <a:ln>
              <a:noFill/>
            </a:ln>
            <a:effectLst/>
          </c:spPr>
          <c:invertIfNegative val="0"/>
          <c:dLbls>
            <c:spPr>
              <a:noFill/>
              <a:ln>
                <a:noFill/>
              </a:ln>
              <a:effectLst/>
            </c:spPr>
            <c:txPr>
              <a:bodyPr rot="-5400000" spcFirstLastPara="1" vertOverflow="clip" horzOverflow="clip" vert="horz" wrap="square" lIns="38100" tIns="19050" rIns="38100" bIns="19050" anchor="ctr" anchorCtr="1">
                <a:spAutoFit/>
              </a:bodyPr>
              <a:lstStyle/>
              <a:p>
                <a:pPr>
                  <a:defRPr sz="800" b="0" i="0" u="none" strike="noStrike" kern="1200" baseline="0">
                    <a:solidFill>
                      <a:schemeClr val="tx1">
                        <a:lumMod val="50000"/>
                        <a:lumOff val="50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Costing!$C$39:$G$39</c:f>
              <c:strCache>
                <c:ptCount val="4"/>
                <c:pt idx="0">
                  <c:v>Salaries</c:v>
                </c:pt>
                <c:pt idx="1">
                  <c:v>Potential Savings (R'000)</c:v>
                </c:pt>
                <c:pt idx="3">
                  <c:v>Potential savings (%)</c:v>
                </c:pt>
              </c:strCache>
            </c:strRef>
          </c:cat>
          <c:val>
            <c:numRef>
              <c:f>Costing!$C$42:$G$42</c:f>
              <c:numCache>
                <c:formatCode>_ [$R-1C09]\ * #\ ##0.00_ ;_ [$R-1C09]\ * \-#\ ##0.00_ ;_ [$R-1C09]\ * "-"??_ ;_ @_ </c:formatCode>
                <c:ptCount val="4"/>
                <c:pt idx="0">
                  <c:v>4081608.5695433333</c:v>
                </c:pt>
                <c:pt idx="1">
                  <c:v>2385138.5012229173</c:v>
                </c:pt>
                <c:pt idx="3" formatCode="0%">
                  <c:v>0.36883126479543915</c:v>
                </c:pt>
              </c:numCache>
            </c:numRef>
          </c:val>
          <c:extLst>
            <c:ext xmlns:c16="http://schemas.microsoft.com/office/drawing/2014/chart" uri="{C3380CC4-5D6E-409C-BE32-E72D297353CC}">
              <c16:uniqueId val="{00000002-24EB-4420-BEEF-68F06742C0AD}"/>
            </c:ext>
          </c:extLst>
        </c:ser>
        <c:dLbls>
          <c:dLblPos val="outEnd"/>
          <c:showLegendKey val="0"/>
          <c:showVal val="1"/>
          <c:showCatName val="0"/>
          <c:showSerName val="0"/>
          <c:showPercent val="0"/>
          <c:showBubbleSize val="0"/>
        </c:dLbls>
        <c:gapWidth val="444"/>
        <c:overlap val="-90"/>
        <c:axId val="593639120"/>
        <c:axId val="593628624"/>
      </c:barChart>
      <c:catAx>
        <c:axId val="59363912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n-US"/>
          </a:p>
        </c:txPr>
        <c:crossAx val="593628624"/>
        <c:crosses val="autoZero"/>
        <c:auto val="1"/>
        <c:lblAlgn val="ctr"/>
        <c:lblOffset val="100"/>
        <c:noMultiLvlLbl val="0"/>
      </c:catAx>
      <c:valAx>
        <c:axId val="593628624"/>
        <c:scaling>
          <c:orientation val="minMax"/>
        </c:scaling>
        <c:delete val="1"/>
        <c:axPos val="l"/>
        <c:numFmt formatCode="_ [$R-1C09]\ * #\ ##0.00_ ;_ [$R-1C09]\ * \-#\ ##0.00_ ;_ [$R-1C09]\ * &quot;-&quot;??_ ;_ @_ " sourceLinked="1"/>
        <c:majorTickMark val="none"/>
        <c:minorTickMark val="none"/>
        <c:tickLblPos val="nextTo"/>
        <c:crossAx val="593639120"/>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a:t>Projected Expenditure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1"/>
          <c:order val="1"/>
          <c:tx>
            <c:strRef>
              <c:f>Costing!$O$16:$O$17</c:f>
              <c:strCache>
                <c:ptCount val="2"/>
                <c:pt idx="0">
                  <c:v>Proposed Structure</c:v>
                </c:pt>
                <c:pt idx="1">
                  <c:v>2020/2021</c:v>
                </c:pt>
              </c:strCache>
            </c:strRef>
          </c:tx>
          <c:spPr>
            <a:ln w="28575" cap="rnd">
              <a:solidFill>
                <a:schemeClr val="accent2"/>
              </a:solidFill>
              <a:round/>
            </a:ln>
            <a:effectLst/>
          </c:spPr>
          <c:marker>
            <c:symbol val="none"/>
          </c:marker>
          <c:val>
            <c:numRef>
              <c:f>Costing!$O$18:$O$33</c:f>
              <c:numCache>
                <c:formatCode>_ [$R-1C09]\ * #\ ##0.00_ ;_ [$R-1C09]\ * \-#\ ##0.00_ ;_ [$R-1C09]\ * "-"??_ ;_ @_ </c:formatCode>
                <c:ptCount val="16"/>
                <c:pt idx="0">
                  <c:v>769918.35060000012</c:v>
                </c:pt>
                <c:pt idx="1">
                  <c:v>551127.40020000003</c:v>
                </c:pt>
                <c:pt idx="2">
                  <c:v>551127.40020000003</c:v>
                </c:pt>
                <c:pt idx="3">
                  <c:v>551127.40020000003</c:v>
                </c:pt>
                <c:pt idx="5">
                  <c:v>769918.35060000012</c:v>
                </c:pt>
                <c:pt idx="6">
                  <c:v>543227.56019999995</c:v>
                </c:pt>
                <c:pt idx="7">
                  <c:v>527791.85519999999</c:v>
                </c:pt>
                <c:pt idx="8">
                  <c:v>503320.45499999996</c:v>
                </c:pt>
                <c:pt idx="9">
                  <c:v>397310.33401499997</c:v>
                </c:pt>
                <c:pt idx="10">
                  <c:v>376966.94520000002</c:v>
                </c:pt>
                <c:pt idx="11">
                  <c:v>272958.95700000005</c:v>
                </c:pt>
                <c:pt idx="12">
                  <c:v>272958.95700000005</c:v>
                </c:pt>
                <c:pt idx="13">
                  <c:v>6087753.9654150009</c:v>
                </c:pt>
                <c:pt idx="14">
                  <c:v>6466747.0707662506</c:v>
                </c:pt>
                <c:pt idx="15">
                  <c:v>-134713.99176624883</c:v>
                </c:pt>
              </c:numCache>
            </c:numRef>
          </c:val>
          <c:smooth val="0"/>
          <c:extLst>
            <c:ext xmlns:c16="http://schemas.microsoft.com/office/drawing/2014/chart" uri="{C3380CC4-5D6E-409C-BE32-E72D297353CC}">
              <c16:uniqueId val="{00000001-283D-4488-9570-83CB684262A4}"/>
            </c:ext>
          </c:extLst>
        </c:ser>
        <c:ser>
          <c:idx val="2"/>
          <c:order val="2"/>
          <c:tx>
            <c:strRef>
              <c:f>Costing!$Q$16:$Q$17</c:f>
              <c:strCache>
                <c:ptCount val="2"/>
                <c:pt idx="0">
                  <c:v>Scenario 1</c:v>
                </c:pt>
                <c:pt idx="1">
                  <c:v>2020/2021</c:v>
                </c:pt>
              </c:strCache>
            </c:strRef>
          </c:tx>
          <c:spPr>
            <a:ln w="28575" cap="rnd">
              <a:solidFill>
                <a:schemeClr val="accent3"/>
              </a:solidFill>
              <a:round/>
            </a:ln>
            <a:effectLst/>
          </c:spPr>
          <c:marker>
            <c:symbol val="none"/>
          </c:marker>
          <c:val>
            <c:numRef>
              <c:f>Costing!$Q$18:$Q$33</c:f>
              <c:numCache>
                <c:formatCode>_ [$R-1C09]\ * #\ ##0.00_ ;_ [$R-1C09]\ * \-#\ ##0.00_ ;_ [$R-1C09]\ * "-"??_ ;_ @_ </c:formatCode>
                <c:ptCount val="16"/>
                <c:pt idx="0">
                  <c:v>0</c:v>
                </c:pt>
                <c:pt idx="1">
                  <c:v>0</c:v>
                </c:pt>
                <c:pt idx="2">
                  <c:v>0</c:v>
                </c:pt>
                <c:pt idx="3">
                  <c:v>0</c:v>
                </c:pt>
                <c:pt idx="5">
                  <c:v>769918.35060000012</c:v>
                </c:pt>
                <c:pt idx="6">
                  <c:v>551127.40020000003</c:v>
                </c:pt>
                <c:pt idx="7">
                  <c:v>551127.40020000003</c:v>
                </c:pt>
                <c:pt idx="8">
                  <c:v>551127.40020000003</c:v>
                </c:pt>
                <c:pt idx="9">
                  <c:v>543227.56019999995</c:v>
                </c:pt>
                <c:pt idx="10">
                  <c:v>527791.85519999999</c:v>
                </c:pt>
                <c:pt idx="11">
                  <c:v>503320.45499999996</c:v>
                </c:pt>
                <c:pt idx="12">
                  <c:v>376966.94520000002</c:v>
                </c:pt>
                <c:pt idx="13">
                  <c:v>4374607.3668</c:v>
                </c:pt>
                <c:pt idx="14">
                  <c:v>4674998.1181499995</c:v>
                </c:pt>
                <c:pt idx="15">
                  <c:v>1791748.9526162511</c:v>
                </c:pt>
              </c:numCache>
            </c:numRef>
          </c:val>
          <c:smooth val="0"/>
          <c:extLst>
            <c:ext xmlns:c16="http://schemas.microsoft.com/office/drawing/2014/chart" uri="{C3380CC4-5D6E-409C-BE32-E72D297353CC}">
              <c16:uniqueId val="{00000002-283D-4488-9570-83CB684262A4}"/>
            </c:ext>
          </c:extLst>
        </c:ser>
        <c:ser>
          <c:idx val="3"/>
          <c:order val="3"/>
          <c:tx>
            <c:strRef>
              <c:f>Costing!$S$16:$S$17</c:f>
              <c:strCache>
                <c:ptCount val="2"/>
                <c:pt idx="0">
                  <c:v>Scenario 2</c:v>
                </c:pt>
                <c:pt idx="1">
                  <c:v>2020/2021</c:v>
                </c:pt>
              </c:strCache>
            </c:strRef>
          </c:tx>
          <c:spPr>
            <a:ln w="28575" cap="rnd">
              <a:solidFill>
                <a:schemeClr val="accent4"/>
              </a:solidFill>
              <a:round/>
            </a:ln>
            <a:effectLst/>
          </c:spPr>
          <c:marker>
            <c:symbol val="none"/>
          </c:marker>
          <c:val>
            <c:numRef>
              <c:f>Costing!$S$18:$S$33</c:f>
              <c:numCache>
                <c:formatCode>_ [$R-1C09]\ * #\ ##0.00_ ;_ [$R-1C09]\ * \-#\ ##0.00_ ;_ [$R-1C09]\ * "-"??_ ;_ @_ </c:formatCode>
                <c:ptCount val="16"/>
                <c:pt idx="0">
                  <c:v>0</c:v>
                </c:pt>
                <c:pt idx="1">
                  <c:v>0</c:v>
                </c:pt>
                <c:pt idx="2">
                  <c:v>0</c:v>
                </c:pt>
                <c:pt idx="3">
                  <c:v>0</c:v>
                </c:pt>
                <c:pt idx="5">
                  <c:v>769918.35060000012</c:v>
                </c:pt>
                <c:pt idx="6">
                  <c:v>551127.40020000003</c:v>
                </c:pt>
                <c:pt idx="7">
                  <c:v>551127.40020000003</c:v>
                </c:pt>
                <c:pt idx="8">
                  <c:v>0</c:v>
                </c:pt>
                <c:pt idx="9">
                  <c:v>543227.56019999995</c:v>
                </c:pt>
                <c:pt idx="10">
                  <c:v>527791.85519999999</c:v>
                </c:pt>
                <c:pt idx="11">
                  <c:v>503319.39999999997</c:v>
                </c:pt>
                <c:pt idx="12">
                  <c:v>376966.94520000002</c:v>
                </c:pt>
                <c:pt idx="13">
                  <c:v>3827145.18946</c:v>
                </c:pt>
                <c:pt idx="14">
                  <c:v>4081608.5695433333</c:v>
                </c:pt>
                <c:pt idx="15">
                  <c:v>2385138.5012229173</c:v>
                </c:pt>
              </c:numCache>
            </c:numRef>
          </c:val>
          <c:smooth val="0"/>
          <c:extLst>
            <c:ext xmlns:c16="http://schemas.microsoft.com/office/drawing/2014/chart" uri="{C3380CC4-5D6E-409C-BE32-E72D297353CC}">
              <c16:uniqueId val="{00000003-283D-4488-9570-83CB684262A4}"/>
            </c:ext>
          </c:extLst>
        </c:ser>
        <c:dLbls>
          <c:showLegendKey val="0"/>
          <c:showVal val="0"/>
          <c:showCatName val="0"/>
          <c:showSerName val="0"/>
          <c:showPercent val="0"/>
          <c:showBubbleSize val="0"/>
        </c:dLbls>
        <c:smooth val="0"/>
        <c:axId val="510579544"/>
        <c:axId val="410477552"/>
        <c:extLst>
          <c:ext xmlns:c15="http://schemas.microsoft.com/office/drawing/2012/chart" uri="{02D57815-91ED-43cb-92C2-25804820EDAC}">
            <c15:filteredLineSeries>
              <c15:ser>
                <c:idx val="0"/>
                <c:order val="0"/>
                <c:tx>
                  <c:strRef>
                    <c:extLst>
                      <c:ext uri="{02D57815-91ED-43cb-92C2-25804820EDAC}">
                        <c15:formulaRef>
                          <c15:sqref>Costing!$M$16:$M$17</c15:sqref>
                        </c15:formulaRef>
                      </c:ext>
                    </c:extLst>
                    <c:strCache>
                      <c:ptCount val="2"/>
                      <c:pt idx="0">
                        <c:v>Current structure</c:v>
                      </c:pt>
                      <c:pt idx="1">
                        <c:v>2020/2021</c:v>
                      </c:pt>
                    </c:strCache>
                  </c:strRef>
                </c:tx>
                <c:spPr>
                  <a:ln w="28575" cap="rnd">
                    <a:solidFill>
                      <a:schemeClr val="accent1"/>
                    </a:solidFill>
                    <a:round/>
                  </a:ln>
                  <a:effectLst/>
                </c:spPr>
                <c:marker>
                  <c:symbol val="none"/>
                </c:marker>
                <c:val>
                  <c:numRef>
                    <c:extLst>
                      <c:ext uri="{02D57815-91ED-43cb-92C2-25804820EDAC}">
                        <c15:formulaRef>
                          <c15:sqref>Costing!$M$18:$M$33</c15:sqref>
                        </c15:formulaRef>
                      </c:ext>
                    </c:extLst>
                    <c:numCache>
                      <c:formatCode>_ [$R-1C09]\ * #\ ##0.00_ ;_ [$R-1C09]\ * \-#\ ##0.00_ ;_ [$R-1C09]\ * "-"??_ ;_ @_ </c:formatCode>
                      <c:ptCount val="16"/>
                      <c:pt idx="0">
                        <c:v>769918.35060000012</c:v>
                      </c:pt>
                      <c:pt idx="1">
                        <c:v>551127.40020000003</c:v>
                      </c:pt>
                      <c:pt idx="2">
                        <c:v>551127.40020000003</c:v>
                      </c:pt>
                      <c:pt idx="3">
                        <c:v>551127.40020000003</c:v>
                      </c:pt>
                      <c:pt idx="5">
                        <c:v>769918.35060000012</c:v>
                      </c:pt>
                      <c:pt idx="6">
                        <c:v>543227.56019999995</c:v>
                      </c:pt>
                      <c:pt idx="7">
                        <c:v>527791.85519999999</c:v>
                      </c:pt>
                      <c:pt idx="8">
                        <c:v>503320.45499999996</c:v>
                      </c:pt>
                      <c:pt idx="9">
                        <c:v>272958.95700000005</c:v>
                      </c:pt>
                      <c:pt idx="10">
                        <c:v>376966.94520000002</c:v>
                      </c:pt>
                      <c:pt idx="11">
                        <c:v>272958.95700000005</c:v>
                      </c:pt>
                      <c:pt idx="12">
                        <c:v>272958.95700000005</c:v>
                      </c:pt>
                      <c:pt idx="13">
                        <c:v>5963402.5884000016</c:v>
                      </c:pt>
                      <c:pt idx="14">
                        <c:v>6332033.0790000018</c:v>
                      </c:pt>
                    </c:numCache>
                  </c:numRef>
                </c:val>
                <c:smooth val="0"/>
                <c:extLst>
                  <c:ext xmlns:c16="http://schemas.microsoft.com/office/drawing/2014/chart" uri="{C3380CC4-5D6E-409C-BE32-E72D297353CC}">
                    <c16:uniqueId val="{00000000-283D-4488-9570-83CB684262A4}"/>
                  </c:ext>
                </c:extLst>
              </c15:ser>
            </c15:filteredLineSeries>
          </c:ext>
        </c:extLst>
      </c:lineChart>
      <c:catAx>
        <c:axId val="51057954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410477552"/>
        <c:crosses val="autoZero"/>
        <c:auto val="1"/>
        <c:lblAlgn val="ctr"/>
        <c:lblOffset val="100"/>
        <c:noMultiLvlLbl val="0"/>
      </c:catAx>
      <c:valAx>
        <c:axId val="410477552"/>
        <c:scaling>
          <c:orientation val="minMax"/>
        </c:scaling>
        <c:delete val="0"/>
        <c:axPos val="l"/>
        <c:majorGridlines>
          <c:spPr>
            <a:ln w="9525" cap="flat" cmpd="sng" algn="ctr">
              <a:solidFill>
                <a:schemeClr val="tx1">
                  <a:lumMod val="15000"/>
                  <a:lumOff val="85000"/>
                </a:schemeClr>
              </a:solidFill>
              <a:round/>
            </a:ln>
            <a:effectLst/>
          </c:spPr>
        </c:majorGridlines>
        <c:numFmt formatCode="_ [$R-1C09]\ * #\ ##0.00_ ;_ [$R-1C09]\ * \-#\ ##0.00_ ;_ [$R-1C09]\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057954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ZA"/>
              <a:t>BAS Support Calls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percentStacked"/>
        <c:varyColors val="0"/>
        <c:ser>
          <c:idx val="0"/>
          <c:order val="0"/>
          <c:tx>
            <c:strRef>
              <c:f>'Monitoring and Support'!$B$9</c:f>
              <c:strCache>
                <c:ptCount val="1"/>
                <c:pt idx="0">
                  <c:v>Total calls</c:v>
                </c:pt>
              </c:strCache>
            </c:strRef>
          </c:tx>
          <c:spPr>
            <a:solidFill>
              <a:schemeClr val="accent1"/>
            </a:solidFill>
            <a:ln>
              <a:noFill/>
            </a:ln>
            <a:effectLst/>
          </c:spPr>
          <c:invertIfNegative val="0"/>
          <c:cat>
            <c:strRef>
              <c:f>'Monitoring and Support'!$C$8:$G$8</c:f>
              <c:strCache>
                <c:ptCount val="5"/>
                <c:pt idx="0">
                  <c:v>2016/17</c:v>
                </c:pt>
                <c:pt idx="1">
                  <c:v>2017/18</c:v>
                </c:pt>
                <c:pt idx="2">
                  <c:v>2018/19</c:v>
                </c:pt>
                <c:pt idx="3">
                  <c:v>2017/18</c:v>
                </c:pt>
                <c:pt idx="4">
                  <c:v>2018/19</c:v>
                </c:pt>
              </c:strCache>
            </c:strRef>
          </c:cat>
          <c:val>
            <c:numRef>
              <c:f>'Monitoring and Support'!$C$9:$G$9</c:f>
              <c:numCache>
                <c:formatCode>General</c:formatCode>
                <c:ptCount val="5"/>
                <c:pt idx="0">
                  <c:v>1649</c:v>
                </c:pt>
                <c:pt idx="1">
                  <c:v>1609</c:v>
                </c:pt>
                <c:pt idx="2">
                  <c:v>625</c:v>
                </c:pt>
                <c:pt idx="3" formatCode="0%">
                  <c:v>-2.4257125530624646E-2</c:v>
                </c:pt>
                <c:pt idx="4" formatCode="0%">
                  <c:v>-0.6115599751398384</c:v>
                </c:pt>
              </c:numCache>
            </c:numRef>
          </c:val>
          <c:extLst>
            <c:ext xmlns:c16="http://schemas.microsoft.com/office/drawing/2014/chart" uri="{C3380CC4-5D6E-409C-BE32-E72D297353CC}">
              <c16:uniqueId val="{00000000-21B5-45DC-8AE1-E3179F39723F}"/>
            </c:ext>
          </c:extLst>
        </c:ser>
        <c:ser>
          <c:idx val="1"/>
          <c:order val="1"/>
          <c:tx>
            <c:strRef>
              <c:f>'Monitoring and Support'!$B$10</c:f>
              <c:strCache>
                <c:ptCount val="1"/>
                <c:pt idx="0">
                  <c:v>Resets</c:v>
                </c:pt>
              </c:strCache>
            </c:strRef>
          </c:tx>
          <c:spPr>
            <a:solidFill>
              <a:schemeClr val="accent2"/>
            </a:solidFill>
            <a:ln>
              <a:noFill/>
            </a:ln>
            <a:effectLst/>
          </c:spPr>
          <c:invertIfNegative val="0"/>
          <c:cat>
            <c:strRef>
              <c:f>'Monitoring and Support'!$C$8:$G$8</c:f>
              <c:strCache>
                <c:ptCount val="5"/>
                <c:pt idx="0">
                  <c:v>2016/17</c:v>
                </c:pt>
                <c:pt idx="1">
                  <c:v>2017/18</c:v>
                </c:pt>
                <c:pt idx="2">
                  <c:v>2018/19</c:v>
                </c:pt>
                <c:pt idx="3">
                  <c:v>2017/18</c:v>
                </c:pt>
                <c:pt idx="4">
                  <c:v>2018/19</c:v>
                </c:pt>
              </c:strCache>
            </c:strRef>
          </c:cat>
          <c:val>
            <c:numRef>
              <c:f>'Monitoring and Support'!$C$10:$G$10</c:f>
              <c:numCache>
                <c:formatCode>General</c:formatCode>
                <c:ptCount val="5"/>
                <c:pt idx="0">
                  <c:v>895</c:v>
                </c:pt>
                <c:pt idx="1">
                  <c:v>815</c:v>
                </c:pt>
                <c:pt idx="2">
                  <c:v>103</c:v>
                </c:pt>
                <c:pt idx="3" formatCode="0%">
                  <c:v>-8.9385474860335212E-2</c:v>
                </c:pt>
                <c:pt idx="4" formatCode="0%">
                  <c:v>-0.87361963190184055</c:v>
                </c:pt>
              </c:numCache>
            </c:numRef>
          </c:val>
          <c:extLst>
            <c:ext xmlns:c16="http://schemas.microsoft.com/office/drawing/2014/chart" uri="{C3380CC4-5D6E-409C-BE32-E72D297353CC}">
              <c16:uniqueId val="{00000001-21B5-45DC-8AE1-E3179F39723F}"/>
            </c:ext>
          </c:extLst>
        </c:ser>
        <c:dLbls>
          <c:showLegendKey val="0"/>
          <c:showVal val="0"/>
          <c:showCatName val="0"/>
          <c:showSerName val="0"/>
          <c:showPercent val="0"/>
          <c:showBubbleSize val="0"/>
        </c:dLbls>
        <c:gapWidth val="150"/>
        <c:overlap val="100"/>
        <c:axId val="344434264"/>
        <c:axId val="344433936"/>
      </c:barChart>
      <c:catAx>
        <c:axId val="344434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4433936"/>
        <c:crosses val="autoZero"/>
        <c:auto val="1"/>
        <c:lblAlgn val="ctr"/>
        <c:lblOffset val="100"/>
        <c:noMultiLvlLbl val="0"/>
      </c:catAx>
      <c:valAx>
        <c:axId val="34443393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443426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2">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800" b="0" i="0" u="none" strike="noStrike" kern="1200" baseline="0"/>
    <cs:bodyPr rot="-5400000" spcFirstLastPara="1" vertOverflow="clip" horzOverflow="clip" vert="horz" wrap="square" lIns="38100" tIns="19050" rIns="38100" bIns="19050" anchor="ctr" anchorCtr="1">
      <a:spAutoFit/>
    </cs:bodyPr>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5</xdr:col>
      <xdr:colOff>975359</xdr:colOff>
      <xdr:row>1</xdr:row>
      <xdr:rowOff>175260</xdr:rowOff>
    </xdr:from>
    <xdr:to>
      <xdr:col>13</xdr:col>
      <xdr:colOff>607694</xdr:colOff>
      <xdr:row>18</xdr:row>
      <xdr:rowOff>93345</xdr:rowOff>
    </xdr:to>
    <xdr:graphicFrame macro="">
      <xdr:nvGraphicFramePr>
        <xdr:cNvPr id="2" name="Chart 1">
          <a:extLst>
            <a:ext uri="{FF2B5EF4-FFF2-40B4-BE49-F238E27FC236}">
              <a16:creationId xmlns:a16="http://schemas.microsoft.com/office/drawing/2014/main" id="{00000000-0008-0000-09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15239</xdr:colOff>
      <xdr:row>20</xdr:row>
      <xdr:rowOff>36194</xdr:rowOff>
    </xdr:from>
    <xdr:to>
      <xdr:col>14</xdr:col>
      <xdr:colOff>6666</xdr:colOff>
      <xdr:row>35</xdr:row>
      <xdr:rowOff>182879</xdr:rowOff>
    </xdr:to>
    <xdr:graphicFrame macro="">
      <xdr:nvGraphicFramePr>
        <xdr:cNvPr id="3" name="Chart 2">
          <a:extLst>
            <a:ext uri="{FF2B5EF4-FFF2-40B4-BE49-F238E27FC236}">
              <a16:creationId xmlns:a16="http://schemas.microsoft.com/office/drawing/2014/main" id="{00000000-0008-0000-09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952499</xdr:colOff>
      <xdr:row>37</xdr:row>
      <xdr:rowOff>19050</xdr:rowOff>
    </xdr:from>
    <xdr:to>
      <xdr:col>13</xdr:col>
      <xdr:colOff>609599</xdr:colOff>
      <xdr:row>53</xdr:row>
      <xdr:rowOff>171450</xdr:rowOff>
    </xdr:to>
    <xdr:graphicFrame macro="">
      <xdr:nvGraphicFramePr>
        <xdr:cNvPr id="7" name="Chart 6">
          <a:extLst>
            <a:ext uri="{FF2B5EF4-FFF2-40B4-BE49-F238E27FC236}">
              <a16:creationId xmlns:a16="http://schemas.microsoft.com/office/drawing/2014/main" id="{00000000-0008-0000-09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25717</xdr:colOff>
      <xdr:row>55</xdr:row>
      <xdr:rowOff>7620</xdr:rowOff>
    </xdr:from>
    <xdr:to>
      <xdr:col>13</xdr:col>
      <xdr:colOff>586740</xdr:colOff>
      <xdr:row>72</xdr:row>
      <xdr:rowOff>0</xdr:rowOff>
    </xdr:to>
    <xdr:graphicFrame macro="">
      <xdr:nvGraphicFramePr>
        <xdr:cNvPr id="8" name="Chart 7">
          <a:extLst>
            <a:ext uri="{FF2B5EF4-FFF2-40B4-BE49-F238E27FC236}">
              <a16:creationId xmlns:a16="http://schemas.microsoft.com/office/drawing/2014/main" id="{00000000-0008-0000-09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7621</xdr:colOff>
      <xdr:row>55</xdr:row>
      <xdr:rowOff>28575</xdr:rowOff>
    </xdr:from>
    <xdr:to>
      <xdr:col>23</xdr:col>
      <xdr:colOff>7621</xdr:colOff>
      <xdr:row>72</xdr:row>
      <xdr:rowOff>7620</xdr:rowOff>
    </xdr:to>
    <xdr:graphicFrame macro="">
      <xdr:nvGraphicFramePr>
        <xdr:cNvPr id="9" name="Chart 8">
          <a:extLst>
            <a:ext uri="{FF2B5EF4-FFF2-40B4-BE49-F238E27FC236}">
              <a16:creationId xmlns:a16="http://schemas.microsoft.com/office/drawing/2014/main" id="{00000000-0008-0000-09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0</xdr:colOff>
      <xdr:row>20</xdr:row>
      <xdr:rowOff>0</xdr:rowOff>
    </xdr:from>
    <xdr:to>
      <xdr:col>23</xdr:col>
      <xdr:colOff>0</xdr:colOff>
      <xdr:row>36</xdr:row>
      <xdr:rowOff>0</xdr:rowOff>
    </xdr:to>
    <xdr:graphicFrame macro="">
      <xdr:nvGraphicFramePr>
        <xdr:cNvPr id="12" name="Chart 11">
          <a:extLst>
            <a:ext uri="{FF2B5EF4-FFF2-40B4-BE49-F238E27FC236}">
              <a16:creationId xmlns:a16="http://schemas.microsoft.com/office/drawing/2014/main" id="{00000000-0008-0000-09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6</xdr:col>
      <xdr:colOff>0</xdr:colOff>
      <xdr:row>74</xdr:row>
      <xdr:rowOff>0</xdr:rowOff>
    </xdr:from>
    <xdr:to>
      <xdr:col>14</xdr:col>
      <xdr:colOff>15240</xdr:colOff>
      <xdr:row>90</xdr:row>
      <xdr:rowOff>28575</xdr:rowOff>
    </xdr:to>
    <xdr:graphicFrame macro="">
      <xdr:nvGraphicFramePr>
        <xdr:cNvPr id="14" name="Chart 13">
          <a:extLst>
            <a:ext uri="{FF2B5EF4-FFF2-40B4-BE49-F238E27FC236}">
              <a16:creationId xmlns:a16="http://schemas.microsoft.com/office/drawing/2014/main" id="{00000000-0008-0000-09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14</xdr:col>
      <xdr:colOff>609599</xdr:colOff>
      <xdr:row>74</xdr:row>
      <xdr:rowOff>0</xdr:rowOff>
    </xdr:from>
    <xdr:to>
      <xdr:col>22</xdr:col>
      <xdr:colOff>600074</xdr:colOff>
      <xdr:row>90</xdr:row>
      <xdr:rowOff>0</xdr:rowOff>
    </xdr:to>
    <xdr:graphicFrame macro="">
      <xdr:nvGraphicFramePr>
        <xdr:cNvPr id="15" name="Chart 14">
          <a:extLst>
            <a:ext uri="{FF2B5EF4-FFF2-40B4-BE49-F238E27FC236}">
              <a16:creationId xmlns:a16="http://schemas.microsoft.com/office/drawing/2014/main" id="{00000000-0008-0000-09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15</xdr:col>
      <xdr:colOff>0</xdr:colOff>
      <xdr:row>2</xdr:row>
      <xdr:rowOff>0</xdr:rowOff>
    </xdr:from>
    <xdr:to>
      <xdr:col>22</xdr:col>
      <xdr:colOff>594360</xdr:colOff>
      <xdr:row>17</xdr:row>
      <xdr:rowOff>167640</xdr:rowOff>
    </xdr:to>
    <xdr:graphicFrame macro="">
      <xdr:nvGraphicFramePr>
        <xdr:cNvPr id="16" name="Chart 15">
          <a:extLst>
            <a:ext uri="{FF2B5EF4-FFF2-40B4-BE49-F238E27FC236}">
              <a16:creationId xmlns:a16="http://schemas.microsoft.com/office/drawing/2014/main" id="{00000000-0008-0000-09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E2:M16"/>
  <sheetViews>
    <sheetView showGridLines="0" tabSelected="1" topLeftCell="B1" workbookViewId="0">
      <pane ySplit="29" topLeftCell="A30" activePane="bottomLeft" state="frozen"/>
      <selection pane="bottomLeft" activeCell="I13" sqref="I13"/>
    </sheetView>
  </sheetViews>
  <sheetFormatPr defaultRowHeight="15" x14ac:dyDescent="0.25"/>
  <cols>
    <col min="6" max="6" width="33.7109375" customWidth="1"/>
    <col min="9" max="9" width="9.85546875" bestFit="1" customWidth="1"/>
  </cols>
  <sheetData>
    <row r="2" spans="5:13" ht="21" x14ac:dyDescent="0.35">
      <c r="F2" s="353" t="s">
        <v>393</v>
      </c>
      <c r="G2" s="353"/>
      <c r="H2" s="353"/>
      <c r="I2" s="353"/>
      <c r="J2" s="353"/>
      <c r="K2" s="353"/>
      <c r="L2" s="353"/>
      <c r="M2" s="353"/>
    </row>
    <row r="5" spans="5:13" ht="21" x14ac:dyDescent="0.35">
      <c r="E5" s="1" t="s">
        <v>409</v>
      </c>
    </row>
    <row r="7" spans="5:13" x14ac:dyDescent="0.25">
      <c r="G7" t="s">
        <v>344</v>
      </c>
    </row>
    <row r="8" spans="5:13" x14ac:dyDescent="0.25">
      <c r="G8" t="s">
        <v>479</v>
      </c>
    </row>
    <row r="9" spans="5:13" x14ac:dyDescent="0.25">
      <c r="G9" t="s">
        <v>483</v>
      </c>
    </row>
    <row r="13" spans="5:13" x14ac:dyDescent="0.25">
      <c r="I13" s="2">
        <v>43689</v>
      </c>
    </row>
    <row r="15" spans="5:13" x14ac:dyDescent="0.25">
      <c r="H15" t="s">
        <v>0</v>
      </c>
    </row>
    <row r="16" spans="5:13" x14ac:dyDescent="0.25">
      <c r="H16" t="s">
        <v>1</v>
      </c>
    </row>
  </sheetData>
  <mergeCells count="1">
    <mergeCell ref="F2:M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4:E53"/>
  <sheetViews>
    <sheetView topLeftCell="J66" zoomScaleNormal="100" workbookViewId="0">
      <selection activeCell="AB89" sqref="AB89"/>
    </sheetView>
  </sheetViews>
  <sheetFormatPr defaultRowHeight="15" x14ac:dyDescent="0.25"/>
  <cols>
    <col min="1" max="1" width="18.7109375" customWidth="1"/>
    <col min="2" max="6" width="14.28515625" bestFit="1" customWidth="1"/>
    <col min="7" max="8" width="8.85546875" customWidth="1"/>
  </cols>
  <sheetData>
    <row r="4" spans="1:4" ht="15.75" x14ac:dyDescent="0.25">
      <c r="A4" s="27" t="s">
        <v>48</v>
      </c>
      <c r="B4" s="28" t="s">
        <v>6</v>
      </c>
      <c r="C4" s="28" t="s">
        <v>7</v>
      </c>
      <c r="D4" s="27" t="s">
        <v>14</v>
      </c>
    </row>
    <row r="5" spans="1:4" x14ac:dyDescent="0.25">
      <c r="A5" s="58" t="s">
        <v>49</v>
      </c>
      <c r="B5" s="52">
        <v>1649</v>
      </c>
      <c r="C5" s="53">
        <v>1609</v>
      </c>
      <c r="D5" s="55">
        <v>625</v>
      </c>
    </row>
    <row r="6" spans="1:4" x14ac:dyDescent="0.25">
      <c r="A6" s="58" t="s">
        <v>50</v>
      </c>
      <c r="B6" s="52">
        <v>895</v>
      </c>
      <c r="C6" s="54">
        <v>815</v>
      </c>
      <c r="D6" s="55">
        <v>103</v>
      </c>
    </row>
    <row r="21" spans="1:4" ht="15.75" x14ac:dyDescent="0.25">
      <c r="A21" s="29" t="s">
        <v>51</v>
      </c>
      <c r="B21" s="28" t="s">
        <v>6</v>
      </c>
      <c r="C21" s="28" t="s">
        <v>7</v>
      </c>
      <c r="D21" s="27" t="s">
        <v>14</v>
      </c>
    </row>
    <row r="22" spans="1:4" x14ac:dyDescent="0.25">
      <c r="A22" s="58" t="s">
        <v>49</v>
      </c>
      <c r="B22" s="56">
        <v>4560</v>
      </c>
      <c r="C22" s="53">
        <v>1288</v>
      </c>
      <c r="D22" s="52">
        <v>303</v>
      </c>
    </row>
    <row r="23" spans="1:4" x14ac:dyDescent="0.25">
      <c r="A23" s="58" t="s">
        <v>52</v>
      </c>
      <c r="B23" s="56">
        <v>1054</v>
      </c>
      <c r="C23" s="53">
        <v>711</v>
      </c>
      <c r="D23" s="52">
        <v>277</v>
      </c>
    </row>
    <row r="24" spans="1:4" x14ac:dyDescent="0.25">
      <c r="A24" s="58" t="s">
        <v>53</v>
      </c>
      <c r="B24" s="52">
        <v>1350</v>
      </c>
      <c r="C24" s="52">
        <v>84</v>
      </c>
      <c r="D24" s="52">
        <v>12</v>
      </c>
    </row>
    <row r="38" spans="1:5" x14ac:dyDescent="0.25">
      <c r="A38" s="269" t="s">
        <v>413</v>
      </c>
      <c r="B38" s="269" t="s">
        <v>414</v>
      </c>
      <c r="C38" s="269" t="s">
        <v>93</v>
      </c>
      <c r="D38" s="269" t="s">
        <v>92</v>
      </c>
      <c r="E38" s="269" t="s">
        <v>246</v>
      </c>
    </row>
    <row r="39" spans="1:5" x14ac:dyDescent="0.25">
      <c r="A39" s="270" t="s">
        <v>416</v>
      </c>
      <c r="B39" s="271">
        <v>2125164.87</v>
      </c>
      <c r="C39" s="271">
        <v>2149398.96</v>
      </c>
      <c r="D39" s="271">
        <v>2305267.6800000002</v>
      </c>
      <c r="E39" s="271">
        <v>2445651.9000000004</v>
      </c>
    </row>
    <row r="40" spans="1:5" x14ac:dyDescent="0.25">
      <c r="A40" s="32" t="s">
        <v>417</v>
      </c>
      <c r="B40" s="13">
        <v>1856190.65</v>
      </c>
      <c r="C40" s="13">
        <v>1848458.91</v>
      </c>
      <c r="D40" s="13">
        <v>2002679.7</v>
      </c>
      <c r="E40" s="13">
        <v>2150202.7200000002</v>
      </c>
    </row>
    <row r="41" spans="1:5" x14ac:dyDescent="0.25">
      <c r="A41" s="32" t="s">
        <v>418</v>
      </c>
      <c r="B41" s="13">
        <v>50808</v>
      </c>
      <c r="C41" s="13">
        <v>48108</v>
      </c>
      <c r="D41" s="13">
        <v>60060</v>
      </c>
      <c r="E41" s="13">
        <v>56069.94</v>
      </c>
    </row>
    <row r="42" spans="1:5" x14ac:dyDescent="0.25">
      <c r="A42" s="32" t="s">
        <v>419</v>
      </c>
      <c r="B42" s="13">
        <v>96258.72</v>
      </c>
      <c r="C42" s="13">
        <v>104790.84</v>
      </c>
      <c r="D42" s="13">
        <v>113609.28</v>
      </c>
      <c r="E42" s="13">
        <v>121386.24000000001</v>
      </c>
    </row>
    <row r="43" spans="1:5" x14ac:dyDescent="0.25">
      <c r="A43" s="32" t="s">
        <v>420</v>
      </c>
      <c r="B43" s="13">
        <v>0</v>
      </c>
      <c r="C43" s="13">
        <v>0</v>
      </c>
      <c r="D43" s="13"/>
      <c r="E43" s="13"/>
    </row>
    <row r="44" spans="1:5" x14ac:dyDescent="0.25">
      <c r="A44" s="32" t="s">
        <v>421</v>
      </c>
      <c r="B44" s="13"/>
      <c r="C44" s="13">
        <v>18582</v>
      </c>
      <c r="D44" s="13">
        <v>0</v>
      </c>
      <c r="E44" s="13"/>
    </row>
    <row r="45" spans="1:5" x14ac:dyDescent="0.25">
      <c r="A45" s="32" t="s">
        <v>422</v>
      </c>
      <c r="B45" s="13">
        <v>121907.5</v>
      </c>
      <c r="C45" s="13">
        <v>100226.25</v>
      </c>
      <c r="D45" s="13">
        <v>109155</v>
      </c>
      <c r="E45" s="13">
        <v>117993</v>
      </c>
    </row>
    <row r="46" spans="1:5" x14ac:dyDescent="0.25">
      <c r="A46" s="270" t="s">
        <v>423</v>
      </c>
      <c r="B46" s="271">
        <v>3023860.12</v>
      </c>
      <c r="C46" s="271">
        <v>3264281.27</v>
      </c>
      <c r="D46" s="271">
        <v>3540885.9499999997</v>
      </c>
      <c r="E46" s="271">
        <v>3186111.12</v>
      </c>
    </row>
    <row r="47" spans="1:5" x14ac:dyDescent="0.25">
      <c r="A47" s="32" t="s">
        <v>417</v>
      </c>
      <c r="B47" s="13">
        <v>2657931.77</v>
      </c>
      <c r="C47" s="13">
        <v>2884453.32</v>
      </c>
      <c r="D47" s="13">
        <v>3134762.19</v>
      </c>
      <c r="E47" s="13">
        <v>2836642.43</v>
      </c>
    </row>
    <row r="48" spans="1:5" x14ac:dyDescent="0.25">
      <c r="A48" s="32" t="s">
        <v>418</v>
      </c>
      <c r="B48" s="13">
        <v>74400</v>
      </c>
      <c r="C48" s="13">
        <v>82800</v>
      </c>
      <c r="D48" s="13">
        <v>96804</v>
      </c>
      <c r="E48" s="13">
        <v>69795.92</v>
      </c>
    </row>
    <row r="49" spans="1:5" x14ac:dyDescent="0.25">
      <c r="A49" s="32" t="s">
        <v>424</v>
      </c>
      <c r="B49" s="13">
        <v>84268.23</v>
      </c>
      <c r="C49" s="13">
        <v>93835.17</v>
      </c>
      <c r="D49" s="13">
        <v>103937.01</v>
      </c>
      <c r="E49" s="13">
        <v>113310.72</v>
      </c>
    </row>
    <row r="50" spans="1:5" x14ac:dyDescent="0.25">
      <c r="A50" s="32" t="s">
        <v>420</v>
      </c>
      <c r="B50" s="13">
        <v>27183.119999999999</v>
      </c>
      <c r="C50" s="13">
        <v>18082.95</v>
      </c>
      <c r="D50" s="13">
        <v>0</v>
      </c>
      <c r="E50" s="13">
        <v>0</v>
      </c>
    </row>
    <row r="51" spans="1:5" x14ac:dyDescent="0.25">
      <c r="A51" s="32" t="s">
        <v>421</v>
      </c>
      <c r="B51" s="13">
        <v>0</v>
      </c>
      <c r="C51" s="13">
        <v>0</v>
      </c>
      <c r="D51" s="13"/>
      <c r="E51" s="13"/>
    </row>
    <row r="52" spans="1:5" x14ac:dyDescent="0.25">
      <c r="A52" s="32" t="s">
        <v>422</v>
      </c>
      <c r="B52" s="13">
        <v>180077</v>
      </c>
      <c r="C52" s="13">
        <v>185109.83</v>
      </c>
      <c r="D52" s="13">
        <v>205382.75</v>
      </c>
      <c r="E52" s="13">
        <v>166362.04999999999</v>
      </c>
    </row>
    <row r="53" spans="1:5" x14ac:dyDescent="0.25">
      <c r="A53" s="273" t="s">
        <v>415</v>
      </c>
      <c r="B53" s="274">
        <v>5149024.9900000012</v>
      </c>
      <c r="C53" s="274">
        <v>5413680.2299999995</v>
      </c>
      <c r="D53" s="274">
        <v>5846153.6299999999</v>
      </c>
      <c r="E53" s="274">
        <v>5631763.0199999996</v>
      </c>
    </row>
  </sheetData>
  <pageMargins left="0.70866141732283472" right="0.70866141732283472" top="0.74803149606299213" bottom="0.74803149606299213" header="0.31496062992125984" footer="0.31496062992125984"/>
  <pageSetup paperSize="9" scale="55"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B2:D19"/>
  <sheetViews>
    <sheetView workbookViewId="0">
      <selection activeCell="D17" sqref="D17"/>
    </sheetView>
  </sheetViews>
  <sheetFormatPr defaultRowHeight="15" x14ac:dyDescent="0.25"/>
  <cols>
    <col min="2" max="2" width="84.28515625" customWidth="1"/>
    <col min="4" max="4" width="20.28515625" bestFit="1" customWidth="1"/>
  </cols>
  <sheetData>
    <row r="2" spans="2:4" x14ac:dyDescent="0.25">
      <c r="B2" s="121" t="s">
        <v>392</v>
      </c>
    </row>
    <row r="3" spans="2:4" x14ac:dyDescent="0.25">
      <c r="B3" s="15"/>
    </row>
    <row r="4" spans="2:4" x14ac:dyDescent="0.25">
      <c r="B4" s="244"/>
      <c r="D4" s="245"/>
    </row>
    <row r="5" spans="2:4" ht="30" x14ac:dyDescent="0.25">
      <c r="B5" s="244" t="s">
        <v>412</v>
      </c>
      <c r="D5" s="246" t="s">
        <v>411</v>
      </c>
    </row>
    <row r="6" spans="2:4" x14ac:dyDescent="0.25">
      <c r="B6" s="244"/>
      <c r="D6" s="246"/>
    </row>
    <row r="7" spans="2:4" x14ac:dyDescent="0.25">
      <c r="B7" s="244" t="s">
        <v>478</v>
      </c>
      <c r="D7" s="246" t="s">
        <v>410</v>
      </c>
    </row>
    <row r="8" spans="2:4" x14ac:dyDescent="0.25">
      <c r="B8" s="244"/>
      <c r="D8" s="15"/>
    </row>
    <row r="9" spans="2:4" x14ac:dyDescent="0.25">
      <c r="B9" s="244" t="s">
        <v>345</v>
      </c>
      <c r="D9" s="246" t="s">
        <v>337</v>
      </c>
    </row>
    <row r="10" spans="2:4" x14ac:dyDescent="0.25">
      <c r="B10" s="244"/>
      <c r="D10" s="15"/>
    </row>
    <row r="11" spans="2:4" ht="30" x14ac:dyDescent="0.25">
      <c r="B11" s="244" t="s">
        <v>342</v>
      </c>
      <c r="D11" s="246" t="s">
        <v>338</v>
      </c>
    </row>
    <row r="12" spans="2:4" x14ac:dyDescent="0.25">
      <c r="B12" s="244"/>
      <c r="D12" s="246"/>
    </row>
    <row r="13" spans="2:4" ht="30" x14ac:dyDescent="0.25">
      <c r="B13" s="244" t="s">
        <v>342</v>
      </c>
      <c r="D13" s="246" t="s">
        <v>343</v>
      </c>
    </row>
    <row r="14" spans="2:4" x14ac:dyDescent="0.25">
      <c r="D14" s="15"/>
    </row>
    <row r="15" spans="2:4" ht="30" x14ac:dyDescent="0.25">
      <c r="B15" s="244" t="s">
        <v>341</v>
      </c>
      <c r="D15" s="246" t="s">
        <v>339</v>
      </c>
    </row>
    <row r="16" spans="2:4" x14ac:dyDescent="0.25">
      <c r="B16" s="244"/>
      <c r="D16" s="15"/>
    </row>
    <row r="17" spans="2:4" ht="30" x14ac:dyDescent="0.25">
      <c r="B17" s="244" t="s">
        <v>480</v>
      </c>
      <c r="D17" s="245" t="s">
        <v>340</v>
      </c>
    </row>
    <row r="18" spans="2:4" x14ac:dyDescent="0.25">
      <c r="D18" s="15"/>
    </row>
    <row r="19" spans="2:4" x14ac:dyDescent="0.25">
      <c r="D19" s="245"/>
    </row>
  </sheetData>
  <hyperlinks>
    <hyperlink ref="D9" location="'Gen Assumptions'!A1" display="'Gen Assumptions'!A1" xr:uid="{00000000-0004-0000-0100-000000000000}"/>
    <hyperlink ref="D15" location="'Process flows'!A1" display="'Process flows'!A1" xr:uid="{00000000-0004-0000-0100-000001000000}"/>
    <hyperlink ref="D17" location="Structure!A1" display="Structure!A1" xr:uid="{00000000-0004-0000-0100-000002000000}"/>
    <hyperlink ref="D13" location="'Monitoring and Support'!A1" display="'Monitoring and Support'!A1" xr:uid="{00000000-0004-0000-0100-000003000000}"/>
    <hyperlink ref="D7" location="Costing!A1" display="Costing!A1" xr:uid="{00000000-0004-0000-0100-000004000000}"/>
    <hyperlink ref="D5" location="'Expenditure Analysis'!A1" display="'Expenditure Analysis'!A1" xr:uid="{00000000-0004-0000-0100-000005000000}"/>
    <hyperlink ref="D11" location="'Capacity Building'!A1" display="'Capacity Building'!A1" xr:uid="{00000000-0004-0000-0100-000006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C3:P105"/>
  <sheetViews>
    <sheetView workbookViewId="0">
      <pane ySplit="3" topLeftCell="A72" activePane="bottomLeft" state="frozen"/>
      <selection pane="bottomLeft"/>
    </sheetView>
  </sheetViews>
  <sheetFormatPr defaultRowHeight="15" outlineLevelRow="1" x14ac:dyDescent="0.25"/>
  <cols>
    <col min="2" max="2" width="2.7109375" customWidth="1"/>
    <col min="3" max="3" width="91.28515625" bestFit="1" customWidth="1"/>
    <col min="4" max="4" width="9.7109375" customWidth="1"/>
    <col min="5" max="5" width="12.42578125" customWidth="1"/>
    <col min="6" max="6" width="25" bestFit="1" customWidth="1"/>
    <col min="7" max="7" width="21.28515625" customWidth="1"/>
    <col min="8" max="8" width="29" bestFit="1" customWidth="1"/>
    <col min="9" max="9" width="19.28515625" customWidth="1"/>
    <col min="10" max="10" width="22.28515625" customWidth="1"/>
    <col min="11" max="11" width="20.42578125" customWidth="1"/>
    <col min="12" max="12" width="24.28515625" bestFit="1" customWidth="1"/>
    <col min="13" max="13" width="46.5703125" hidden="1" customWidth="1"/>
    <col min="14" max="14" width="20" bestFit="1" customWidth="1"/>
    <col min="15" max="15" width="14" bestFit="1" customWidth="1"/>
    <col min="16" max="16" width="44.5703125" bestFit="1" customWidth="1"/>
    <col min="17" max="17" width="49.85546875" bestFit="1" customWidth="1"/>
    <col min="18" max="18" width="12.7109375" bestFit="1" customWidth="1"/>
    <col min="19" max="19" width="6.7109375" bestFit="1" customWidth="1"/>
    <col min="20" max="20" width="11.28515625" bestFit="1" customWidth="1"/>
  </cols>
  <sheetData>
    <row r="3" spans="3:11" ht="20.25" x14ac:dyDescent="0.25">
      <c r="C3" s="354" t="s">
        <v>5</v>
      </c>
      <c r="D3" s="354"/>
      <c r="E3" s="210"/>
      <c r="F3" s="210"/>
      <c r="G3" s="354"/>
      <c r="H3" s="354"/>
      <c r="I3" s="211"/>
      <c r="J3" s="211"/>
      <c r="K3" s="211"/>
    </row>
    <row r="8" spans="3:11" x14ac:dyDescent="0.25">
      <c r="C8" s="209" t="s">
        <v>8</v>
      </c>
      <c r="D8" s="8"/>
      <c r="E8" s="8"/>
      <c r="F8" s="209"/>
      <c r="G8" s="8"/>
      <c r="H8" s="8"/>
      <c r="I8" s="8"/>
      <c r="J8" s="8"/>
      <c r="K8" s="8"/>
    </row>
    <row r="9" spans="3:11" hidden="1" x14ac:dyDescent="0.25">
      <c r="C9" s="208"/>
      <c r="D9" s="15"/>
      <c r="E9" s="15"/>
      <c r="F9" s="208"/>
      <c r="H9" s="15" t="s">
        <v>302</v>
      </c>
      <c r="I9" s="15" t="s">
        <v>303</v>
      </c>
      <c r="J9" s="15" t="s">
        <v>304</v>
      </c>
      <c r="K9" s="15"/>
    </row>
    <row r="10" spans="3:11" hidden="1" x14ac:dyDescent="0.25">
      <c r="C10" s="32" t="s">
        <v>301</v>
      </c>
      <c r="D10" s="213"/>
      <c r="E10" s="212">
        <v>0</v>
      </c>
      <c r="F10" s="137"/>
      <c r="G10" s="137"/>
      <c r="H10" s="212">
        <v>242475</v>
      </c>
      <c r="I10" s="212">
        <v>356289</v>
      </c>
      <c r="J10" s="212">
        <v>697011</v>
      </c>
      <c r="K10" s="213"/>
    </row>
    <row r="11" spans="3:11" hidden="1" x14ac:dyDescent="0.25">
      <c r="C11" s="32" t="s">
        <v>300</v>
      </c>
      <c r="D11" s="214"/>
      <c r="E11" s="215">
        <v>522395.64</v>
      </c>
      <c r="F11" s="137"/>
      <c r="G11" s="137"/>
      <c r="H11" s="213">
        <v>6.2E-2</v>
      </c>
      <c r="I11" s="213">
        <v>5.7000000000000002E-2</v>
      </c>
      <c r="J11" s="213">
        <v>5.1999999999999998E-2</v>
      </c>
      <c r="K11" s="214"/>
    </row>
    <row r="12" spans="3:11" hidden="1" x14ac:dyDescent="0.25">
      <c r="C12" s="32" t="s">
        <v>305</v>
      </c>
      <c r="D12" s="137"/>
      <c r="E12" s="173">
        <v>514907.64</v>
      </c>
      <c r="F12" s="137"/>
      <c r="G12" s="137"/>
      <c r="H12" s="216">
        <f>H10*(1+H11)</f>
        <v>257508.45</v>
      </c>
      <c r="I12" s="216">
        <f t="shared" ref="I12:J12" si="0">I10*(1+I11)</f>
        <v>376597.473</v>
      </c>
      <c r="J12" s="216">
        <f t="shared" si="0"/>
        <v>733255.57200000004</v>
      </c>
      <c r="K12" s="5"/>
    </row>
    <row r="13" spans="3:11" hidden="1" x14ac:dyDescent="0.25">
      <c r="C13" s="32" t="s">
        <v>306</v>
      </c>
      <c r="D13" s="213"/>
      <c r="E13" s="173">
        <v>477080</v>
      </c>
      <c r="F13" s="137"/>
      <c r="G13" s="137"/>
      <c r="H13" s="214"/>
      <c r="I13" s="214"/>
      <c r="J13" s="214"/>
      <c r="K13" s="213">
        <v>1.4999999999999999E-2</v>
      </c>
    </row>
    <row r="14" spans="3:11" x14ac:dyDescent="0.25">
      <c r="D14" s="220"/>
      <c r="E14" s="224"/>
      <c r="F14" s="9"/>
      <c r="G14" s="9"/>
      <c r="H14" s="221"/>
      <c r="I14" s="221"/>
      <c r="J14" s="221"/>
      <c r="K14" s="220"/>
    </row>
    <row r="15" spans="3:11" x14ac:dyDescent="0.25">
      <c r="C15" s="209" t="s">
        <v>10</v>
      </c>
      <c r="D15" s="8"/>
      <c r="E15" s="223"/>
      <c r="F15" s="8"/>
      <c r="G15" s="8"/>
      <c r="H15" s="8"/>
      <c r="I15" s="8"/>
      <c r="J15" s="8"/>
      <c r="K15" s="8"/>
    </row>
    <row r="16" spans="3:11" ht="34.15" customHeight="1" x14ac:dyDescent="0.25">
      <c r="C16" s="355" t="s">
        <v>293</v>
      </c>
      <c r="D16" s="355"/>
      <c r="E16" s="355"/>
      <c r="F16" s="355"/>
      <c r="G16" s="356" t="s">
        <v>298</v>
      </c>
      <c r="H16" s="356"/>
      <c r="I16" s="356"/>
      <c r="J16" s="357" t="s">
        <v>299</v>
      </c>
      <c r="K16" s="357"/>
    </row>
    <row r="17" spans="3:13" ht="30" x14ac:dyDescent="0.25">
      <c r="C17" s="14" t="s">
        <v>2</v>
      </c>
      <c r="D17" s="174" t="s">
        <v>292</v>
      </c>
      <c r="E17" s="174"/>
      <c r="F17" s="14" t="s">
        <v>296</v>
      </c>
      <c r="G17" s="195" t="s">
        <v>19</v>
      </c>
      <c r="H17" s="196" t="s">
        <v>406</v>
      </c>
      <c r="I17" s="197" t="s">
        <v>21</v>
      </c>
      <c r="J17" s="194" t="s">
        <v>21</v>
      </c>
      <c r="K17" s="193"/>
    </row>
    <row r="18" spans="3:13" x14ac:dyDescent="0.25">
      <c r="C18" s="3" t="s">
        <v>3</v>
      </c>
      <c r="D18" s="31">
        <v>11</v>
      </c>
      <c r="E18" s="31"/>
      <c r="F18" s="183">
        <f>J12</f>
        <v>733255.57200000004</v>
      </c>
      <c r="G18" s="186"/>
      <c r="H18" s="189"/>
      <c r="I18" s="190"/>
      <c r="J18" s="186"/>
      <c r="K18" s="190"/>
    </row>
    <row r="19" spans="3:13" x14ac:dyDescent="0.25">
      <c r="C19" s="3" t="s">
        <v>17</v>
      </c>
      <c r="D19" s="31">
        <v>10</v>
      </c>
      <c r="E19" s="31"/>
      <c r="F19" s="184">
        <v>522395.64</v>
      </c>
      <c r="G19" s="186"/>
      <c r="H19" s="191"/>
      <c r="I19" s="192"/>
      <c r="J19" s="186"/>
      <c r="K19" s="186"/>
    </row>
    <row r="20" spans="3:13" x14ac:dyDescent="0.25">
      <c r="C20" s="3" t="s">
        <v>17</v>
      </c>
      <c r="D20" s="31">
        <v>10</v>
      </c>
      <c r="E20" s="31"/>
      <c r="F20" s="184">
        <v>522395.64</v>
      </c>
      <c r="G20" s="186"/>
      <c r="H20" s="191"/>
      <c r="I20" s="192"/>
      <c r="J20" s="186"/>
      <c r="K20" s="186"/>
    </row>
    <row r="21" spans="3:13" x14ac:dyDescent="0.25">
      <c r="C21" s="3" t="s">
        <v>17</v>
      </c>
      <c r="D21" s="31">
        <v>10</v>
      </c>
      <c r="E21" s="31"/>
      <c r="F21" s="184">
        <v>522395.64</v>
      </c>
      <c r="G21" s="186"/>
      <c r="H21" s="191"/>
      <c r="I21" s="192"/>
      <c r="J21" s="186"/>
      <c r="K21" s="186"/>
    </row>
    <row r="22" spans="3:13" ht="30" x14ac:dyDescent="0.25">
      <c r="C22" s="172" t="s">
        <v>15</v>
      </c>
      <c r="D22" s="150"/>
      <c r="E22" s="150"/>
      <c r="F22" s="150"/>
      <c r="G22" s="195" t="s">
        <v>19</v>
      </c>
      <c r="H22" s="196" t="s">
        <v>406</v>
      </c>
      <c r="I22" s="197" t="s">
        <v>294</v>
      </c>
      <c r="J22" s="194" t="s">
        <v>294</v>
      </c>
      <c r="K22" s="193"/>
    </row>
    <row r="23" spans="3:13" x14ac:dyDescent="0.25">
      <c r="C23" s="3" t="s">
        <v>3</v>
      </c>
      <c r="D23" s="31">
        <v>11</v>
      </c>
      <c r="E23" s="31"/>
      <c r="F23" s="183">
        <f>J12</f>
        <v>733255.57200000004</v>
      </c>
      <c r="G23" s="181">
        <v>11</v>
      </c>
      <c r="H23" s="182" t="s">
        <v>16</v>
      </c>
      <c r="I23" s="180">
        <f>F23</f>
        <v>733255.57200000004</v>
      </c>
      <c r="J23" s="266">
        <f>F18</f>
        <v>733255.57200000004</v>
      </c>
      <c r="K23" s="186"/>
    </row>
    <row r="24" spans="3:13" x14ac:dyDescent="0.25">
      <c r="C24" s="3" t="s">
        <v>17</v>
      </c>
      <c r="D24" s="31">
        <v>10</v>
      </c>
      <c r="E24" s="31"/>
      <c r="F24" s="184">
        <v>514907.64</v>
      </c>
      <c r="G24">
        <v>10</v>
      </c>
      <c r="H24" s="12" t="s">
        <v>17</v>
      </c>
      <c r="I24" s="187">
        <f>F19</f>
        <v>522395.64</v>
      </c>
      <c r="J24" s="267">
        <v>522395.64</v>
      </c>
      <c r="K24" s="186"/>
      <c r="M24" s="13">
        <v>522395.64</v>
      </c>
    </row>
    <row r="25" spans="3:13" x14ac:dyDescent="0.25">
      <c r="C25" s="3" t="s">
        <v>17</v>
      </c>
      <c r="D25" s="31">
        <v>10</v>
      </c>
      <c r="E25" s="31"/>
      <c r="F25" s="184">
        <v>500276.64</v>
      </c>
      <c r="G25">
        <v>10</v>
      </c>
      <c r="H25" s="12" t="s">
        <v>18</v>
      </c>
      <c r="I25" s="187">
        <f>F20</f>
        <v>522395.64</v>
      </c>
      <c r="J25" s="267">
        <v>0</v>
      </c>
      <c r="K25" s="186"/>
      <c r="M25" s="13">
        <v>514907.64</v>
      </c>
    </row>
    <row r="26" spans="3:13" x14ac:dyDescent="0.25">
      <c r="C26" s="3" t="s">
        <v>17</v>
      </c>
      <c r="D26" s="31">
        <v>10</v>
      </c>
      <c r="E26" s="31"/>
      <c r="F26" s="184">
        <v>477081</v>
      </c>
      <c r="G26">
        <v>10</v>
      </c>
      <c r="H26" s="12" t="s">
        <v>18</v>
      </c>
      <c r="I26" s="188">
        <f>F21</f>
        <v>522395.64</v>
      </c>
      <c r="J26" s="268">
        <v>522395.64</v>
      </c>
      <c r="K26" s="186"/>
      <c r="M26" s="13">
        <v>500276.64</v>
      </c>
    </row>
    <row r="27" spans="3:13" x14ac:dyDescent="0.25">
      <c r="C27" s="175" t="s">
        <v>17</v>
      </c>
      <c r="D27" s="176">
        <v>9</v>
      </c>
      <c r="E27" s="176"/>
      <c r="F27" s="185">
        <f>I12</f>
        <v>376597.473</v>
      </c>
      <c r="G27">
        <v>10</v>
      </c>
      <c r="H27" s="179" t="s">
        <v>17</v>
      </c>
      <c r="I27" s="188">
        <f>F24</f>
        <v>514907.64</v>
      </c>
      <c r="J27" s="268">
        <f>F24</f>
        <v>514907.64</v>
      </c>
      <c r="K27" s="186"/>
      <c r="M27" s="13">
        <v>477080</v>
      </c>
    </row>
    <row r="28" spans="3:13" x14ac:dyDescent="0.25">
      <c r="C28" s="122" t="s">
        <v>20</v>
      </c>
      <c r="D28" s="31">
        <v>8</v>
      </c>
      <c r="E28" s="31"/>
      <c r="F28" s="184">
        <v>357314.64</v>
      </c>
      <c r="G28">
        <v>10</v>
      </c>
      <c r="H28" s="11" t="s">
        <v>17</v>
      </c>
      <c r="I28" s="188">
        <f>F25</f>
        <v>500276.64</v>
      </c>
      <c r="J28" s="268">
        <f>F25</f>
        <v>500276.64</v>
      </c>
      <c r="K28" s="186"/>
      <c r="M28" s="13">
        <v>0</v>
      </c>
    </row>
    <row r="29" spans="3:13" x14ac:dyDescent="0.25">
      <c r="C29" s="178" t="s">
        <v>20</v>
      </c>
      <c r="D29" s="176">
        <v>7</v>
      </c>
      <c r="E29" s="176"/>
      <c r="F29" s="185">
        <f>H12</f>
        <v>257508.45</v>
      </c>
      <c r="G29">
        <v>10</v>
      </c>
      <c r="H29" s="11" t="s">
        <v>17</v>
      </c>
      <c r="I29" s="188">
        <f>F26</f>
        <v>477081</v>
      </c>
      <c r="J29" s="268">
        <v>477080</v>
      </c>
      <c r="K29" s="186"/>
    </row>
    <row r="30" spans="3:13" ht="24" x14ac:dyDescent="0.25">
      <c r="C30" s="178" t="s">
        <v>20</v>
      </c>
      <c r="D30" s="176">
        <v>7</v>
      </c>
      <c r="E30" s="176"/>
      <c r="F30" s="185">
        <f>H12</f>
        <v>257508.45</v>
      </c>
      <c r="G30">
        <v>8</v>
      </c>
      <c r="H30" s="12" t="s">
        <v>22</v>
      </c>
      <c r="I30" s="188">
        <f>F28</f>
        <v>357314.64</v>
      </c>
      <c r="J30" s="268">
        <f>F28</f>
        <v>357314.64</v>
      </c>
      <c r="K30" s="186"/>
    </row>
    <row r="31" spans="3:13" x14ac:dyDescent="0.25">
      <c r="C31" s="13"/>
      <c r="D31" s="177"/>
      <c r="E31" s="177"/>
      <c r="F31" s="199">
        <f>SUM(F18:F30)</f>
        <v>5774892.3570000008</v>
      </c>
      <c r="G31" s="203"/>
      <c r="H31" s="203"/>
      <c r="I31" s="204">
        <f>SUM(I18:I30)</f>
        <v>4150022.4120000005</v>
      </c>
      <c r="J31" s="198">
        <f>SUM(J23:J30)</f>
        <v>3627625.7720000003</v>
      </c>
      <c r="K31" s="186"/>
    </row>
    <row r="32" spans="3:13" ht="18" x14ac:dyDescent="0.25">
      <c r="C32" s="359" t="s">
        <v>307</v>
      </c>
      <c r="D32" s="359"/>
      <c r="E32" s="201"/>
      <c r="F32" s="358">
        <f>F31-I31</f>
        <v>1624869.9450000003</v>
      </c>
      <c r="G32" s="358"/>
      <c r="H32" s="358"/>
      <c r="I32" s="205"/>
      <c r="J32" s="199">
        <f>F31-J31</f>
        <v>2147266.5850000004</v>
      </c>
      <c r="K32" s="207"/>
    </row>
    <row r="33" spans="3:16" ht="18" x14ac:dyDescent="0.25">
      <c r="C33" s="359"/>
      <c r="D33" s="359"/>
      <c r="E33" s="201"/>
      <c r="F33" s="206"/>
      <c r="G33" s="206"/>
      <c r="H33" s="205">
        <f>F32/F31</f>
        <v>0.28136800559242009</v>
      </c>
      <c r="I33" s="205"/>
      <c r="J33" s="200">
        <f>J32/F31</f>
        <v>0.37182798436012476</v>
      </c>
      <c r="K33" s="207"/>
    </row>
    <row r="34" spans="3:16" hidden="1" x14ac:dyDescent="0.25">
      <c r="C34">
        <v>2</v>
      </c>
      <c r="D34">
        <v>3</v>
      </c>
      <c r="E34">
        <v>4</v>
      </c>
      <c r="F34">
        <v>5</v>
      </c>
    </row>
    <row r="36" spans="3:16" ht="18.75" x14ac:dyDescent="0.3">
      <c r="C36" s="225" t="s">
        <v>4</v>
      </c>
      <c r="D36" s="226"/>
      <c r="E36" s="226"/>
      <c r="F36" s="226"/>
      <c r="G36" s="226"/>
      <c r="H36" s="226"/>
      <c r="I36" s="226"/>
      <c r="J36" s="226"/>
      <c r="K36" s="226"/>
      <c r="L36" s="6"/>
      <c r="M36" s="6"/>
      <c r="N36" s="6"/>
      <c r="O36" s="6"/>
      <c r="P36" s="6"/>
    </row>
    <row r="37" spans="3:16" ht="18.75" outlineLevel="1" x14ac:dyDescent="0.3">
      <c r="C37" s="222" t="s">
        <v>464</v>
      </c>
      <c r="G37" s="171">
        <f>G53</f>
        <v>693060</v>
      </c>
    </row>
    <row r="38" spans="3:16" ht="75" outlineLevel="1" x14ac:dyDescent="0.25">
      <c r="C38" s="167" t="s">
        <v>289</v>
      </c>
      <c r="D38" s="169" t="s">
        <v>290</v>
      </c>
      <c r="E38" s="168" t="s">
        <v>291</v>
      </c>
      <c r="F38" s="7"/>
      <c r="G38" s="7"/>
      <c r="H38" s="7"/>
      <c r="I38" s="7"/>
      <c r="J38" s="7"/>
      <c r="K38" s="7"/>
      <c r="L38" s="7"/>
      <c r="M38" s="7"/>
      <c r="N38" s="7"/>
      <c r="O38" s="7"/>
      <c r="P38" s="7"/>
    </row>
    <row r="39" spans="3:16" outlineLevel="1" x14ac:dyDescent="0.25">
      <c r="C39" s="231" t="s">
        <v>349</v>
      </c>
      <c r="D39" s="5">
        <v>3</v>
      </c>
      <c r="E39" s="5">
        <v>10</v>
      </c>
      <c r="F39" s="170">
        <v>1440</v>
      </c>
      <c r="G39" s="48">
        <f>D39*E39*F39</f>
        <v>43200</v>
      </c>
    </row>
    <row r="40" spans="3:16" outlineLevel="1" x14ac:dyDescent="0.25">
      <c r="C40" s="232" t="s">
        <v>284</v>
      </c>
      <c r="D40" s="5">
        <v>3</v>
      </c>
      <c r="E40" s="5">
        <v>10</v>
      </c>
      <c r="F40" s="170">
        <v>6000</v>
      </c>
      <c r="G40" s="48">
        <f t="shared" ref="G40:G52" si="1">D40*E40*F40</f>
        <v>180000</v>
      </c>
    </row>
    <row r="41" spans="3:16" outlineLevel="1" x14ac:dyDescent="0.25">
      <c r="C41" s="232" t="s">
        <v>285</v>
      </c>
      <c r="D41" s="5">
        <v>3</v>
      </c>
      <c r="E41" s="5">
        <v>10</v>
      </c>
      <c r="F41" s="170">
        <v>134</v>
      </c>
      <c r="G41" s="48">
        <f t="shared" si="1"/>
        <v>4020</v>
      </c>
    </row>
    <row r="42" spans="3:16" x14ac:dyDescent="0.25">
      <c r="C42" s="232" t="s">
        <v>286</v>
      </c>
      <c r="D42" s="5">
        <v>3</v>
      </c>
      <c r="E42" s="5">
        <v>10</v>
      </c>
      <c r="F42" s="170">
        <v>134</v>
      </c>
      <c r="G42" s="48">
        <f t="shared" si="1"/>
        <v>4020</v>
      </c>
    </row>
    <row r="43" spans="3:16" ht="15.75" x14ac:dyDescent="0.25">
      <c r="C43" s="167" t="s">
        <v>287</v>
      </c>
      <c r="D43" s="5"/>
      <c r="E43" s="5"/>
      <c r="F43" s="170"/>
      <c r="G43" s="48">
        <f t="shared" si="1"/>
        <v>0</v>
      </c>
    </row>
    <row r="44" spans="3:16" x14ac:dyDescent="0.25">
      <c r="C44" s="231" t="s">
        <v>349</v>
      </c>
      <c r="D44" s="5">
        <v>5</v>
      </c>
      <c r="E44" s="5">
        <v>30</v>
      </c>
      <c r="F44" s="170">
        <v>1440</v>
      </c>
      <c r="G44" s="48">
        <f t="shared" si="1"/>
        <v>216000</v>
      </c>
    </row>
    <row r="45" spans="3:16" x14ac:dyDescent="0.25">
      <c r="C45" s="232" t="s">
        <v>284</v>
      </c>
      <c r="D45" s="5">
        <v>5</v>
      </c>
      <c r="E45" s="5">
        <v>30</v>
      </c>
      <c r="F45" s="170">
        <v>600</v>
      </c>
      <c r="G45" s="48">
        <f t="shared" si="1"/>
        <v>90000</v>
      </c>
    </row>
    <row r="46" spans="3:16" x14ac:dyDescent="0.25">
      <c r="C46" s="232" t="s">
        <v>285</v>
      </c>
      <c r="D46" s="5">
        <v>5</v>
      </c>
      <c r="E46" s="5">
        <v>30</v>
      </c>
      <c r="F46" s="170">
        <v>134</v>
      </c>
      <c r="G46" s="48">
        <f t="shared" si="1"/>
        <v>20100</v>
      </c>
    </row>
    <row r="47" spans="3:16" x14ac:dyDescent="0.25">
      <c r="C47" s="232" t="s">
        <v>286</v>
      </c>
      <c r="D47" s="5">
        <v>5</v>
      </c>
      <c r="E47" s="5">
        <v>30</v>
      </c>
      <c r="F47" s="170">
        <v>134</v>
      </c>
      <c r="G47" s="48">
        <f t="shared" si="1"/>
        <v>20100</v>
      </c>
    </row>
    <row r="48" spans="3:16" ht="15.75" x14ac:dyDescent="0.25">
      <c r="C48" s="167" t="s">
        <v>288</v>
      </c>
      <c r="D48" s="5"/>
      <c r="E48" s="5"/>
      <c r="F48" s="170"/>
      <c r="G48" s="48">
        <f t="shared" si="1"/>
        <v>0</v>
      </c>
    </row>
    <row r="49" spans="3:11" x14ac:dyDescent="0.25">
      <c r="C49" s="231" t="s">
        <v>349</v>
      </c>
      <c r="D49" s="5">
        <v>3</v>
      </c>
      <c r="E49" s="5">
        <v>5</v>
      </c>
      <c r="F49" s="170">
        <v>1440</v>
      </c>
      <c r="G49" s="48">
        <f t="shared" si="1"/>
        <v>21600</v>
      </c>
    </row>
    <row r="50" spans="3:11" x14ac:dyDescent="0.25">
      <c r="C50" s="232" t="s">
        <v>284</v>
      </c>
      <c r="D50" s="5">
        <v>3</v>
      </c>
      <c r="E50" s="5">
        <v>5</v>
      </c>
      <c r="F50" s="170">
        <v>6000</v>
      </c>
      <c r="G50" s="48">
        <f t="shared" si="1"/>
        <v>90000</v>
      </c>
    </row>
    <row r="51" spans="3:11" x14ac:dyDescent="0.25">
      <c r="C51" s="232" t="s">
        <v>285</v>
      </c>
      <c r="D51" s="5">
        <v>3</v>
      </c>
      <c r="E51" s="5">
        <v>5</v>
      </c>
      <c r="F51" s="170">
        <v>134</v>
      </c>
      <c r="G51" s="48">
        <f t="shared" si="1"/>
        <v>2010</v>
      </c>
    </row>
    <row r="52" spans="3:11" x14ac:dyDescent="0.25">
      <c r="C52" s="232" t="s">
        <v>286</v>
      </c>
      <c r="D52" s="5">
        <v>3</v>
      </c>
      <c r="E52" s="5">
        <v>5</v>
      </c>
      <c r="F52" s="170">
        <v>134</v>
      </c>
      <c r="G52" s="48">
        <f t="shared" si="1"/>
        <v>2010</v>
      </c>
    </row>
    <row r="53" spans="3:11" hidden="1" x14ac:dyDescent="0.25">
      <c r="C53" s="166"/>
      <c r="G53" s="13">
        <f>SUM(G39:G52)</f>
        <v>693060</v>
      </c>
    </row>
    <row r="54" spans="3:11" hidden="1" x14ac:dyDescent="0.25">
      <c r="C54" s="166"/>
    </row>
    <row r="55" spans="3:11" hidden="1" x14ac:dyDescent="0.25">
      <c r="C55" s="166"/>
    </row>
    <row r="56" spans="3:11" hidden="1" x14ac:dyDescent="0.25">
      <c r="C56" s="166"/>
    </row>
    <row r="57" spans="3:11" hidden="1" x14ac:dyDescent="0.25">
      <c r="C57" s="166"/>
    </row>
    <row r="58" spans="3:11" hidden="1" x14ac:dyDescent="0.25"/>
    <row r="60" spans="3:11" ht="30" x14ac:dyDescent="0.25">
      <c r="C60" s="227" t="s">
        <v>9</v>
      </c>
      <c r="D60" s="8"/>
      <c r="E60" s="8"/>
      <c r="F60" s="8"/>
      <c r="G60" s="66" t="s">
        <v>357</v>
      </c>
      <c r="H60" s="66" t="s">
        <v>477</v>
      </c>
      <c r="I60" s="8" t="s">
        <v>356</v>
      </c>
      <c r="J60" s="66" t="s">
        <v>358</v>
      </c>
      <c r="K60" s="8" t="s">
        <v>444</v>
      </c>
    </row>
    <row r="61" spans="3:11" x14ac:dyDescent="0.25">
      <c r="C61" s="253" t="s">
        <v>11</v>
      </c>
      <c r="D61">
        <v>252</v>
      </c>
      <c r="F61">
        <v>252</v>
      </c>
    </row>
    <row r="62" spans="3:11" x14ac:dyDescent="0.25">
      <c r="C62" s="253" t="s">
        <v>12</v>
      </c>
      <c r="D62" s="228">
        <v>0.1</v>
      </c>
      <c r="F62" s="42">
        <f>F61*D62</f>
        <v>25.200000000000003</v>
      </c>
    </row>
    <row r="63" spans="3:11" x14ac:dyDescent="0.25">
      <c r="C63" s="253" t="s">
        <v>13</v>
      </c>
      <c r="F63" s="42">
        <f>F61-F62</f>
        <v>226.8</v>
      </c>
    </row>
    <row r="64" spans="3:11" x14ac:dyDescent="0.25">
      <c r="C64" s="253" t="s">
        <v>425</v>
      </c>
      <c r="D64">
        <v>8</v>
      </c>
      <c r="F64" s="42">
        <f>F63*D64</f>
        <v>1814.4</v>
      </c>
      <c r="G64" s="42">
        <f>F64</f>
        <v>1814.4</v>
      </c>
      <c r="H64" s="42">
        <f t="shared" ref="H64:K64" si="2">G64</f>
        <v>1814.4</v>
      </c>
      <c r="I64" s="42">
        <f t="shared" si="2"/>
        <v>1814.4</v>
      </c>
      <c r="J64" s="42">
        <f t="shared" si="2"/>
        <v>1814.4</v>
      </c>
      <c r="K64" s="42">
        <f t="shared" si="2"/>
        <v>1814.4</v>
      </c>
    </row>
    <row r="65" spans="3:11" x14ac:dyDescent="0.25">
      <c r="C65" s="253" t="s">
        <v>465</v>
      </c>
      <c r="F65" s="42"/>
      <c r="G65" s="235">
        <f>(F81+F85+F88+F89)/5</f>
        <v>1282.2</v>
      </c>
      <c r="H65" s="235">
        <f>G81+F86</f>
        <v>1238</v>
      </c>
      <c r="I65" s="235">
        <f>(H72+H74+H77+H80)+(F86)</f>
        <v>931</v>
      </c>
      <c r="J65" s="235">
        <f>(F81+F85+F88+F89)/5</f>
        <v>1282.2</v>
      </c>
      <c r="K65" s="235">
        <f>I72+I74+I77+I80+F86</f>
        <v>1486</v>
      </c>
    </row>
    <row r="66" spans="3:11" ht="25.5" x14ac:dyDescent="0.25">
      <c r="C66" s="317" t="s">
        <v>442</v>
      </c>
      <c r="G66" s="163">
        <f>G64-G65</f>
        <v>532.20000000000005</v>
      </c>
      <c r="H66" s="163">
        <f>H64-H65</f>
        <v>576.40000000000009</v>
      </c>
      <c r="I66" s="163">
        <f>I64-I65</f>
        <v>883.40000000000009</v>
      </c>
      <c r="J66" s="163">
        <f>J64-J65</f>
        <v>532.20000000000005</v>
      </c>
      <c r="K66" s="163">
        <f>K64-K65</f>
        <v>328.40000000000009</v>
      </c>
    </row>
    <row r="67" spans="3:11" x14ac:dyDescent="0.25">
      <c r="C67" s="253" t="s">
        <v>443</v>
      </c>
      <c r="G67" s="256">
        <f>G66/8</f>
        <v>66.525000000000006</v>
      </c>
      <c r="H67" s="256">
        <f>H66/8</f>
        <v>72.050000000000011</v>
      </c>
      <c r="I67" s="256">
        <f>I66/8</f>
        <v>110.42500000000001</v>
      </c>
      <c r="J67" s="256">
        <f>J66/8</f>
        <v>66.525000000000006</v>
      </c>
      <c r="K67" s="256">
        <f>K66/8</f>
        <v>41.050000000000011</v>
      </c>
    </row>
    <row r="68" spans="3:11" x14ac:dyDescent="0.25">
      <c r="C68" s="254"/>
      <c r="G68" s="42"/>
      <c r="H68" s="42"/>
      <c r="I68" s="42"/>
      <c r="J68" s="42"/>
    </row>
    <row r="70" spans="3:11" ht="30" x14ac:dyDescent="0.25">
      <c r="C70" s="229" t="s">
        <v>308</v>
      </c>
      <c r="D70" s="8"/>
      <c r="E70" s="8"/>
      <c r="F70" s="66" t="s">
        <v>357</v>
      </c>
      <c r="G70" s="8" t="s">
        <v>346</v>
      </c>
      <c r="H70" s="255" t="s">
        <v>356</v>
      </c>
      <c r="I70" s="8" t="s">
        <v>347</v>
      </c>
      <c r="J70" s="66" t="s">
        <v>358</v>
      </c>
      <c r="K70" s="8"/>
    </row>
    <row r="71" spans="3:11" ht="46.9" customHeight="1" x14ac:dyDescent="0.25">
      <c r="C71" s="230" t="s">
        <v>309</v>
      </c>
      <c r="F71" s="15" t="s">
        <v>321</v>
      </c>
      <c r="G71" s="15" t="s">
        <v>322</v>
      </c>
      <c r="H71" s="15" t="s">
        <v>323</v>
      </c>
      <c r="I71" s="15" t="s">
        <v>324</v>
      </c>
      <c r="J71" s="15" t="s">
        <v>321</v>
      </c>
    </row>
    <row r="72" spans="3:11" x14ac:dyDescent="0.25">
      <c r="C72" s="234" t="s">
        <v>466</v>
      </c>
      <c r="D72">
        <v>10</v>
      </c>
      <c r="F72">
        <f>'Capacity Building'!D26+'Capacity Building'!E26</f>
        <v>576</v>
      </c>
      <c r="G72" s="42">
        <f>'Capacity Building'!G26</f>
        <v>344.5</v>
      </c>
      <c r="H72" s="42">
        <f>'Capacity Building'!I26</f>
        <v>260</v>
      </c>
      <c r="I72" s="42">
        <f>'Capacity Building'!O26</f>
        <v>500.5</v>
      </c>
      <c r="J72">
        <f>'Capacity Building'!L26+'Capacity Building'!M26</f>
        <v>576</v>
      </c>
    </row>
    <row r="73" spans="3:11" x14ac:dyDescent="0.25">
      <c r="C73" s="230" t="s">
        <v>348</v>
      </c>
    </row>
    <row r="74" spans="3:11" x14ac:dyDescent="0.25">
      <c r="C74" s="234" t="s">
        <v>467</v>
      </c>
      <c r="D74">
        <v>16</v>
      </c>
      <c r="F74">
        <f>'Capacity Building'!D47+'Capacity Building'!E47</f>
        <v>952</v>
      </c>
      <c r="G74" s="42">
        <f>'Capacity Building'!G47</f>
        <v>450.5</v>
      </c>
      <c r="H74">
        <f>'Capacity Building'!I47</f>
        <v>340</v>
      </c>
      <c r="I74" s="42">
        <f>'Capacity Building'!O47</f>
        <v>654.5</v>
      </c>
      <c r="J74">
        <f>'Capacity Building'!L47+'Capacity Building'!M47</f>
        <v>952</v>
      </c>
    </row>
    <row r="75" spans="3:11" x14ac:dyDescent="0.25">
      <c r="C75" s="230" t="s">
        <v>317</v>
      </c>
    </row>
    <row r="76" spans="3:11" x14ac:dyDescent="0.25">
      <c r="C76" s="234" t="s">
        <v>320</v>
      </c>
      <c r="D76">
        <v>8</v>
      </c>
      <c r="F76">
        <f>'Capacity Building'!C68</f>
        <v>64</v>
      </c>
      <c r="G76">
        <f>'Capacity Building'!C68</f>
        <v>64</v>
      </c>
      <c r="H76">
        <f>'Capacity Building'!C68</f>
        <v>64</v>
      </c>
      <c r="I76">
        <f>'Capacity Building'!C68</f>
        <v>64</v>
      </c>
      <c r="J76">
        <f>'Capacity Building'!C68</f>
        <v>64</v>
      </c>
    </row>
    <row r="77" spans="3:11" x14ac:dyDescent="0.25">
      <c r="C77" s="234" t="s">
        <v>319</v>
      </c>
      <c r="D77">
        <v>4</v>
      </c>
      <c r="F77">
        <f>'Capacity Building'!C74</f>
        <v>20</v>
      </c>
      <c r="G77">
        <f>'Capacity Building'!C74</f>
        <v>20</v>
      </c>
      <c r="H77">
        <f>'Capacity Building'!C74</f>
        <v>20</v>
      </c>
      <c r="I77">
        <f>'Capacity Building'!C74</f>
        <v>20</v>
      </c>
      <c r="J77">
        <f>'Capacity Building'!C74</f>
        <v>20</v>
      </c>
    </row>
    <row r="78" spans="3:11" x14ac:dyDescent="0.25">
      <c r="C78" s="230" t="s">
        <v>310</v>
      </c>
    </row>
    <row r="79" spans="3:11" x14ac:dyDescent="0.25">
      <c r="C79" s="234" t="s">
        <v>318</v>
      </c>
      <c r="D79">
        <v>4</v>
      </c>
      <c r="F79">
        <f>'Capacity Building'!E68</f>
        <v>48</v>
      </c>
      <c r="G79">
        <f>'Capacity Building'!E68</f>
        <v>48</v>
      </c>
      <c r="H79">
        <f>'Capacity Building'!E68</f>
        <v>48</v>
      </c>
      <c r="I79">
        <f>'Capacity Building'!E68</f>
        <v>48</v>
      </c>
      <c r="J79">
        <f>'Capacity Building'!E68</f>
        <v>48</v>
      </c>
    </row>
    <row r="80" spans="3:11" x14ac:dyDescent="0.25">
      <c r="C80" s="234" t="s">
        <v>319</v>
      </c>
      <c r="D80">
        <v>4</v>
      </c>
      <c r="F80">
        <f>'Capacity Building'!E74</f>
        <v>20</v>
      </c>
      <c r="G80">
        <f>'Capacity Building'!E74</f>
        <v>20</v>
      </c>
      <c r="H80">
        <f>'Capacity Building'!E74</f>
        <v>20</v>
      </c>
      <c r="I80">
        <f>'Capacity Building'!E74</f>
        <v>20</v>
      </c>
      <c r="J80">
        <f>'Capacity Building'!E74</f>
        <v>20</v>
      </c>
    </row>
    <row r="81" spans="3:11" x14ac:dyDescent="0.25">
      <c r="C81" s="234" t="s">
        <v>325</v>
      </c>
      <c r="F81" s="153">
        <f>SUM(F72:F80)</f>
        <v>1680</v>
      </c>
      <c r="G81" s="235">
        <f>SUM(G72:G80)</f>
        <v>947</v>
      </c>
      <c r="H81" s="235">
        <f>SUM(H72:H80)</f>
        <v>752</v>
      </c>
      <c r="I81" s="235">
        <f>SUM(I72:I80)</f>
        <v>1307</v>
      </c>
      <c r="J81" s="153">
        <f>SUM(J72:J80)</f>
        <v>1680</v>
      </c>
      <c r="K81" s="153"/>
    </row>
    <row r="83" spans="3:11" x14ac:dyDescent="0.25">
      <c r="C83" s="229" t="s">
        <v>311</v>
      </c>
      <c r="D83" s="8"/>
      <c r="E83" s="8"/>
      <c r="F83" s="8" t="s">
        <v>327</v>
      </c>
      <c r="G83" s="8"/>
      <c r="H83" s="8"/>
      <c r="I83" s="8"/>
      <c r="J83" s="8"/>
      <c r="K83" s="8"/>
    </row>
    <row r="84" spans="3:11" x14ac:dyDescent="0.25">
      <c r="C84" s="32" t="s">
        <v>312</v>
      </c>
    </row>
    <row r="85" spans="3:11" x14ac:dyDescent="0.25">
      <c r="C85" s="233" t="s">
        <v>329</v>
      </c>
      <c r="F85" s="42">
        <v>1659</v>
      </c>
      <c r="G85" s="42"/>
    </row>
    <row r="86" spans="3:11" x14ac:dyDescent="0.25">
      <c r="C86" s="233" t="s">
        <v>328</v>
      </c>
      <c r="F86" s="42">
        <v>291</v>
      </c>
    </row>
    <row r="87" spans="3:11" ht="30" x14ac:dyDescent="0.25">
      <c r="C87" s="120" t="s">
        <v>326</v>
      </c>
      <c r="D87">
        <v>12</v>
      </c>
    </row>
    <row r="88" spans="3:11" x14ac:dyDescent="0.25">
      <c r="C88" s="233" t="s">
        <v>468</v>
      </c>
      <c r="F88">
        <f>'Monitoring and Support'!N36</f>
        <v>1536</v>
      </c>
    </row>
    <row r="89" spans="3:11" x14ac:dyDescent="0.25">
      <c r="C89" s="233" t="s">
        <v>469</v>
      </c>
      <c r="F89">
        <f>'Monitoring and Support'!N36</f>
        <v>1536</v>
      </c>
    </row>
    <row r="91" spans="3:11" ht="45" x14ac:dyDescent="0.25">
      <c r="C91" s="229" t="s">
        <v>350</v>
      </c>
      <c r="D91" s="8"/>
      <c r="E91" s="8"/>
      <c r="F91" s="66" t="s">
        <v>351</v>
      </c>
      <c r="G91" s="66" t="s">
        <v>470</v>
      </c>
      <c r="H91" s="8"/>
      <c r="I91" s="8"/>
      <c r="J91" s="8"/>
      <c r="K91" s="8"/>
    </row>
    <row r="92" spans="3:11" x14ac:dyDescent="0.25">
      <c r="C92" s="32" t="s">
        <v>353</v>
      </c>
      <c r="F92">
        <v>4</v>
      </c>
      <c r="G92" s="247" t="s">
        <v>352</v>
      </c>
    </row>
    <row r="93" spans="3:11" x14ac:dyDescent="0.25">
      <c r="C93" s="3" t="s">
        <v>313</v>
      </c>
      <c r="G93" s="247"/>
    </row>
    <row r="94" spans="3:11" x14ac:dyDescent="0.25">
      <c r="C94" s="3" t="s">
        <v>314</v>
      </c>
      <c r="G94" s="247"/>
    </row>
    <row r="95" spans="3:11" x14ac:dyDescent="0.25">
      <c r="C95" t="s">
        <v>354</v>
      </c>
      <c r="F95">
        <v>6</v>
      </c>
      <c r="G95" s="247" t="s">
        <v>352</v>
      </c>
    </row>
    <row r="96" spans="3:11" x14ac:dyDescent="0.25">
      <c r="C96" s="32" t="s">
        <v>315</v>
      </c>
      <c r="G96" s="31"/>
    </row>
    <row r="97" spans="3:11" x14ac:dyDescent="0.25">
      <c r="C97" s="32" t="s">
        <v>316</v>
      </c>
    </row>
    <row r="99" spans="3:11" x14ac:dyDescent="0.25">
      <c r="C99" s="229" t="s">
        <v>332</v>
      </c>
      <c r="D99" s="8"/>
      <c r="E99" s="8"/>
      <c r="F99" s="8"/>
      <c r="G99" s="8"/>
      <c r="H99" s="8"/>
      <c r="I99" s="8"/>
      <c r="J99" s="8"/>
      <c r="K99" s="8"/>
    </row>
    <row r="100" spans="3:11" x14ac:dyDescent="0.25">
      <c r="C100" t="s">
        <v>333</v>
      </c>
      <c r="D100">
        <f>'Monitoring and Support'!E36</f>
        <v>602</v>
      </c>
    </row>
    <row r="101" spans="3:11" x14ac:dyDescent="0.25">
      <c r="C101" s="32" t="s">
        <v>335</v>
      </c>
      <c r="D101" s="42">
        <f>D100/3</f>
        <v>200.66666666666666</v>
      </c>
    </row>
    <row r="102" spans="3:11" x14ac:dyDescent="0.25">
      <c r="C102" t="s">
        <v>334</v>
      </c>
      <c r="D102">
        <f>'Monitoring and Support'!F36</f>
        <v>660</v>
      </c>
    </row>
    <row r="103" spans="3:11" x14ac:dyDescent="0.25">
      <c r="C103" s="32" t="s">
        <v>335</v>
      </c>
      <c r="D103">
        <f>D102/2</f>
        <v>330</v>
      </c>
    </row>
    <row r="104" spans="3:11" ht="30" x14ac:dyDescent="0.25">
      <c r="C104" s="15" t="s">
        <v>336</v>
      </c>
      <c r="D104">
        <f>'Monitoring and Support'!G36</f>
        <v>309</v>
      </c>
    </row>
    <row r="105" spans="3:11" x14ac:dyDescent="0.25">
      <c r="C105" t="s">
        <v>355</v>
      </c>
      <c r="D105" s="42">
        <f>'Monitoring and Support'!C40</f>
        <v>190.6</v>
      </c>
    </row>
  </sheetData>
  <mergeCells count="7">
    <mergeCell ref="G3:H3"/>
    <mergeCell ref="C16:F16"/>
    <mergeCell ref="G16:I16"/>
    <mergeCell ref="J16:K16"/>
    <mergeCell ref="F32:H32"/>
    <mergeCell ref="C3:D3"/>
    <mergeCell ref="C32:D33"/>
  </mergeCells>
  <conditionalFormatting sqref="D44:D47">
    <cfRule type="dataBar" priority="5">
      <dataBar>
        <cfvo type="min"/>
        <cfvo type="max"/>
        <color rgb="FF638EC6"/>
      </dataBar>
      <extLst>
        <ext xmlns:x14="http://schemas.microsoft.com/office/spreadsheetml/2009/9/main" uri="{B025F937-C7B1-47D3-B67F-A62EFF666E3E}">
          <x14:id>{DD02C2AB-07C5-4058-AF0C-AF70BA620CC3}</x14:id>
        </ext>
      </extLst>
    </cfRule>
  </conditionalFormatting>
  <conditionalFormatting sqref="D49:D52">
    <cfRule type="dataBar" priority="4">
      <dataBar>
        <cfvo type="min"/>
        <cfvo type="max"/>
        <color rgb="FF638EC6"/>
      </dataBar>
      <extLst>
        <ext xmlns:x14="http://schemas.microsoft.com/office/spreadsheetml/2009/9/main" uri="{B025F937-C7B1-47D3-B67F-A62EFF666E3E}">
          <x14:id>{DD662B02-E5BA-46CD-BBBD-3BBECDD62DD9}</x14:id>
        </ext>
      </extLst>
    </cfRule>
  </conditionalFormatting>
  <conditionalFormatting sqref="J30 J23">
    <cfRule type="colorScale" priority="1">
      <colorScale>
        <cfvo type="min"/>
        <cfvo type="max"/>
        <color theme="0"/>
        <color theme="0"/>
      </colorScale>
    </cfRule>
  </conditionalFormatting>
  <dataValidations count="3">
    <dataValidation type="list" allowBlank="1" showInputMessage="1" showErrorMessage="1" sqref="D44:D47" xr:uid="{00000000-0002-0000-0200-000000000000}">
      <formula1>$D$34:$F$34</formula1>
    </dataValidation>
    <dataValidation type="list" allowBlank="1" showInputMessage="1" showErrorMessage="1" sqref="D49:D52" xr:uid="{00000000-0002-0000-0200-000001000000}">
      <formula1>$C$34:$D$34</formula1>
    </dataValidation>
    <dataValidation type="list" allowBlank="1" showInputMessage="1" showErrorMessage="1" sqref="J24:J29" xr:uid="{00000000-0002-0000-0200-000002000000}">
      <formula1>$M$24:$M$28</formula1>
    </dataValidation>
  </dataValidations>
  <pageMargins left="0.23622047244094491" right="0.23622047244094491" top="0.74803149606299213" bottom="0.74803149606299213" header="0.31496062992125984" footer="0.31496062992125984"/>
  <pageSetup paperSize="9" scale="55" orientation="landscape" r:id="rId1"/>
  <legacyDrawing r:id="rId2"/>
  <extLst>
    <ext xmlns:x14="http://schemas.microsoft.com/office/spreadsheetml/2009/9/main" uri="{78C0D931-6437-407d-A8EE-F0AAD7539E65}">
      <x14:conditionalFormattings>
        <x14:conditionalFormatting xmlns:xm="http://schemas.microsoft.com/office/excel/2006/main">
          <x14:cfRule type="dataBar" id="{DD02C2AB-07C5-4058-AF0C-AF70BA620CC3}">
            <x14:dataBar minLength="0" maxLength="100" gradient="0">
              <x14:cfvo type="autoMin"/>
              <x14:cfvo type="autoMax"/>
              <x14:negativeFillColor rgb="FFFF0000"/>
              <x14:axisColor rgb="FF000000"/>
            </x14:dataBar>
          </x14:cfRule>
          <xm:sqref>D44:D47</xm:sqref>
        </x14:conditionalFormatting>
        <x14:conditionalFormatting xmlns:xm="http://schemas.microsoft.com/office/excel/2006/main">
          <x14:cfRule type="dataBar" id="{DD662B02-E5BA-46CD-BBBD-3BBECDD62DD9}">
            <x14:dataBar minLength="0" maxLength="100" gradient="0">
              <x14:cfvo type="autoMin"/>
              <x14:cfvo type="autoMax"/>
              <x14:negativeFillColor rgb="FFFF0000"/>
              <x14:axisColor rgb="FF000000"/>
            </x14:dataBar>
          </x14:cfRule>
          <xm:sqref>D49:D52</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pageSetUpPr fitToPage="1"/>
  </sheetPr>
  <dimension ref="A7:T42"/>
  <sheetViews>
    <sheetView zoomScaleNormal="100" workbookViewId="0">
      <pane ySplit="2" topLeftCell="A3" activePane="bottomLeft" state="frozen"/>
      <selection pane="bottomLeft"/>
    </sheetView>
  </sheetViews>
  <sheetFormatPr defaultRowHeight="15" x14ac:dyDescent="0.25"/>
  <cols>
    <col min="2" max="2" width="24.28515625" bestFit="1" customWidth="1"/>
    <col min="3" max="3" width="19.85546875" bestFit="1" customWidth="1"/>
    <col min="4" max="4" width="20" hidden="1" customWidth="1"/>
    <col min="5" max="5" width="26.7109375" bestFit="1" customWidth="1"/>
    <col min="6" max="6" width="26.7109375" customWidth="1"/>
    <col min="7" max="7" width="19.7109375" bestFit="1" customWidth="1"/>
    <col min="8" max="8" width="26.28515625" bestFit="1" customWidth="1"/>
    <col min="9" max="10" width="16.7109375" customWidth="1"/>
    <col min="11" max="11" width="20.42578125" customWidth="1"/>
    <col min="12" max="12" width="12.7109375" bestFit="1" customWidth="1"/>
    <col min="13" max="13" width="16.28515625" bestFit="1" customWidth="1"/>
    <col min="14" max="14" width="15.42578125" customWidth="1"/>
    <col min="15" max="16" width="19.5703125" customWidth="1"/>
    <col min="17" max="17" width="14.28515625" bestFit="1" customWidth="1"/>
    <col min="18" max="18" width="14" customWidth="1"/>
    <col min="19" max="19" width="14.28515625" bestFit="1" customWidth="1"/>
    <col min="20" max="20" width="14" customWidth="1"/>
  </cols>
  <sheetData>
    <row r="7" spans="1:20" x14ac:dyDescent="0.25">
      <c r="B7" s="209" t="s">
        <v>8</v>
      </c>
      <c r="C7" s="8"/>
      <c r="D7" s="8"/>
      <c r="E7" s="209"/>
      <c r="F7" s="209"/>
      <c r="G7" s="8"/>
      <c r="H7" s="8"/>
      <c r="I7" s="8"/>
      <c r="J7" s="8"/>
      <c r="K7" s="8"/>
      <c r="L7" s="8"/>
      <c r="M7" s="8"/>
      <c r="N7" s="8"/>
      <c r="O7" s="8"/>
      <c r="P7" s="8"/>
      <c r="Q7" s="8"/>
      <c r="R7" s="8"/>
      <c r="S7" s="8"/>
      <c r="T7" s="8"/>
    </row>
    <row r="8" spans="1:20" x14ac:dyDescent="0.25">
      <c r="B8" s="15"/>
      <c r="C8" s="15"/>
      <c r="D8" s="15"/>
      <c r="E8" s="208"/>
      <c r="F8" s="208"/>
      <c r="H8" s="15" t="s">
        <v>302</v>
      </c>
      <c r="I8" s="15" t="s">
        <v>303</v>
      </c>
      <c r="J8" s="15"/>
      <c r="K8" s="15" t="s">
        <v>304</v>
      </c>
      <c r="L8" s="15"/>
      <c r="M8" t="s">
        <v>401</v>
      </c>
      <c r="O8" t="s">
        <v>402</v>
      </c>
      <c r="Q8" t="s">
        <v>403</v>
      </c>
    </row>
    <row r="9" spans="1:20" x14ac:dyDescent="0.25">
      <c r="B9" s="219"/>
      <c r="C9" s="220"/>
      <c r="D9" s="212">
        <v>0</v>
      </c>
      <c r="E9" t="s">
        <v>301</v>
      </c>
      <c r="H9" s="212">
        <v>242475</v>
      </c>
      <c r="I9" s="212">
        <v>356289</v>
      </c>
      <c r="J9" s="212"/>
      <c r="K9" s="212">
        <v>697011</v>
      </c>
      <c r="L9" s="213"/>
      <c r="M9" s="23" t="s">
        <v>400</v>
      </c>
      <c r="N9" s="23"/>
      <c r="O9" s="23" t="s">
        <v>396</v>
      </c>
      <c r="P9" s="23"/>
      <c r="Q9" s="23" t="s">
        <v>397</v>
      </c>
      <c r="R9" s="23"/>
      <c r="S9" s="23"/>
      <c r="T9" s="23"/>
    </row>
    <row r="10" spans="1:20" x14ac:dyDescent="0.25">
      <c r="B10" s="220"/>
      <c r="C10" s="221"/>
      <c r="D10" s="215">
        <v>522395.64</v>
      </c>
      <c r="E10" t="s">
        <v>300</v>
      </c>
      <c r="H10" s="213">
        <v>6.2E-2</v>
      </c>
      <c r="I10" s="213">
        <v>5.7000000000000002E-2</v>
      </c>
      <c r="J10" s="213"/>
      <c r="K10" s="213">
        <v>5.1999999999999998E-2</v>
      </c>
      <c r="L10" s="214"/>
      <c r="M10" s="23" t="s">
        <v>404</v>
      </c>
      <c r="N10" s="23"/>
      <c r="O10" s="23"/>
      <c r="P10" s="23"/>
      <c r="Q10" s="23"/>
      <c r="R10" s="23"/>
      <c r="S10" s="23"/>
      <c r="T10" s="23"/>
    </row>
    <row r="11" spans="1:20" x14ac:dyDescent="0.25">
      <c r="B11" s="221"/>
      <c r="C11" s="9"/>
      <c r="D11" s="170">
        <v>514907.64</v>
      </c>
      <c r="E11" t="s">
        <v>474</v>
      </c>
      <c r="H11" s="216">
        <f>H9*(1+H10)</f>
        <v>257508.45</v>
      </c>
      <c r="I11" s="216">
        <f t="shared" ref="I11:K11" si="0">I9*(1+I10)</f>
        <v>376597.473</v>
      </c>
      <c r="J11" s="216"/>
      <c r="K11" s="216">
        <f t="shared" si="0"/>
        <v>733255.57200000004</v>
      </c>
      <c r="L11" s="5"/>
      <c r="M11" s="262">
        <v>0.06</v>
      </c>
      <c r="N11" s="262"/>
      <c r="O11" s="263">
        <v>5.5E-2</v>
      </c>
      <c r="P11" s="263"/>
      <c r="Q11" s="262">
        <v>0.05</v>
      </c>
      <c r="R11" s="262"/>
      <c r="S11" s="23"/>
      <c r="T11" s="23"/>
    </row>
    <row r="12" spans="1:20" x14ac:dyDescent="0.25">
      <c r="B12" s="221"/>
      <c r="C12" s="220"/>
      <c r="D12" s="188">
        <v>477080</v>
      </c>
      <c r="E12" t="s">
        <v>306</v>
      </c>
      <c r="H12" s="217"/>
      <c r="I12" s="217"/>
      <c r="J12" s="217"/>
      <c r="K12" s="217"/>
      <c r="L12" s="218">
        <v>1.4999999999999999E-2</v>
      </c>
      <c r="M12" s="23"/>
      <c r="N12" s="23"/>
      <c r="O12" s="23"/>
      <c r="P12" s="23"/>
      <c r="Q12" s="23"/>
      <c r="R12" s="23"/>
      <c r="S12" s="23"/>
      <c r="T12" s="23"/>
    </row>
    <row r="13" spans="1:20" x14ac:dyDescent="0.25">
      <c r="B13" s="221"/>
      <c r="C13" s="220"/>
      <c r="D13" s="188"/>
      <c r="H13" s="217"/>
      <c r="I13" s="217"/>
      <c r="J13" s="217"/>
      <c r="K13" s="217"/>
      <c r="L13" s="218"/>
      <c r="M13" s="23"/>
      <c r="N13" s="23"/>
      <c r="O13" s="23"/>
      <c r="P13" s="23"/>
      <c r="Q13" s="23"/>
      <c r="R13" s="23"/>
      <c r="S13" s="23"/>
      <c r="T13" s="23"/>
    </row>
    <row r="14" spans="1:20" s="9" customFormat="1" x14ac:dyDescent="0.25">
      <c r="B14" s="221"/>
      <c r="C14" s="220"/>
      <c r="D14" s="224"/>
      <c r="H14" s="221"/>
      <c r="I14" s="221"/>
      <c r="J14" s="221"/>
      <c r="K14" s="221"/>
      <c r="L14" s="220"/>
    </row>
    <row r="15" spans="1:20" ht="18.75" x14ac:dyDescent="0.3">
      <c r="D15" s="13">
        <v>500276.64</v>
      </c>
      <c r="M15" s="365" t="s">
        <v>395</v>
      </c>
      <c r="N15" s="365"/>
      <c r="O15" s="365"/>
      <c r="P15" s="365"/>
      <c r="Q15" s="365"/>
      <c r="R15" s="365"/>
      <c r="S15" s="365"/>
      <c r="T15" s="337"/>
    </row>
    <row r="16" spans="1:20" ht="35.450000000000003" customHeight="1" x14ac:dyDescent="0.25">
      <c r="A16" s="10"/>
      <c r="B16" s="355" t="s">
        <v>293</v>
      </c>
      <c r="C16" s="355"/>
      <c r="D16" s="355"/>
      <c r="E16" s="355"/>
      <c r="F16" s="320"/>
      <c r="G16" s="356" t="s">
        <v>298</v>
      </c>
      <c r="H16" s="356"/>
      <c r="I16" s="356"/>
      <c r="J16" s="321"/>
      <c r="K16" s="357" t="s">
        <v>299</v>
      </c>
      <c r="L16" s="357"/>
      <c r="M16" s="259" t="s">
        <v>398</v>
      </c>
      <c r="N16" s="259" t="s">
        <v>473</v>
      </c>
      <c r="O16" s="259" t="s">
        <v>399</v>
      </c>
      <c r="P16" s="259" t="s">
        <v>473</v>
      </c>
      <c r="Q16" s="259" t="s">
        <v>244</v>
      </c>
      <c r="R16" s="259" t="s">
        <v>473</v>
      </c>
      <c r="S16" s="259" t="s">
        <v>245</v>
      </c>
      <c r="T16" s="259" t="s">
        <v>473</v>
      </c>
    </row>
    <row r="17" spans="1:20" ht="28.9" customHeight="1" x14ac:dyDescent="0.25">
      <c r="A17" s="10"/>
      <c r="B17" s="14" t="s">
        <v>2</v>
      </c>
      <c r="C17" s="174" t="s">
        <v>292</v>
      </c>
      <c r="D17" s="174"/>
      <c r="E17" s="14" t="s">
        <v>296</v>
      </c>
      <c r="F17" s="14" t="s">
        <v>473</v>
      </c>
      <c r="G17" s="195" t="s">
        <v>19</v>
      </c>
      <c r="H17" s="196" t="s">
        <v>406</v>
      </c>
      <c r="I17" s="197" t="s">
        <v>21</v>
      </c>
      <c r="J17" s="197"/>
      <c r="K17" s="194" t="s">
        <v>21</v>
      </c>
      <c r="L17" s="193"/>
      <c r="M17" s="20" t="s">
        <v>394</v>
      </c>
      <c r="N17" s="20"/>
      <c r="O17" s="20" t="s">
        <v>394</v>
      </c>
      <c r="P17" s="20"/>
      <c r="Q17" s="20" t="s">
        <v>394</v>
      </c>
      <c r="R17" s="20"/>
      <c r="S17" s="20" t="s">
        <v>394</v>
      </c>
      <c r="T17" s="20"/>
    </row>
    <row r="18" spans="1:20" x14ac:dyDescent="0.25">
      <c r="B18" s="3" t="s">
        <v>3</v>
      </c>
      <c r="C18" s="31">
        <v>11</v>
      </c>
      <c r="D18" s="31"/>
      <c r="E18" s="183">
        <f>K11</f>
        <v>733255.57200000004</v>
      </c>
      <c r="F18" s="183"/>
      <c r="G18" s="186"/>
      <c r="H18" s="189"/>
      <c r="I18" s="190"/>
      <c r="J18" s="190"/>
      <c r="K18" s="186"/>
      <c r="L18" s="190"/>
      <c r="M18" s="170">
        <f>E18*(1+Q11)</f>
        <v>769918.35060000012</v>
      </c>
      <c r="N18" s="170"/>
      <c r="O18" s="170">
        <f>E18*(1+Q11)</f>
        <v>769918.35060000012</v>
      </c>
      <c r="P18" s="170"/>
      <c r="Q18" s="13">
        <v>0</v>
      </c>
      <c r="R18" s="13"/>
      <c r="S18" s="13">
        <v>0</v>
      </c>
      <c r="T18" s="13"/>
    </row>
    <row r="19" spans="1:20" x14ac:dyDescent="0.25">
      <c r="B19" s="3" t="s">
        <v>17</v>
      </c>
      <c r="C19" s="31">
        <v>10</v>
      </c>
      <c r="D19" s="31"/>
      <c r="E19" s="184">
        <v>522395.64</v>
      </c>
      <c r="F19" s="183">
        <f t="shared" ref="F19:F21" si="1">E19/12</f>
        <v>43532.97</v>
      </c>
      <c r="G19" s="186"/>
      <c r="H19" s="191"/>
      <c r="I19" s="192"/>
      <c r="J19" s="192"/>
      <c r="K19" s="186"/>
      <c r="L19" s="186"/>
      <c r="M19" s="170">
        <f>E19*(1+O$11)</f>
        <v>551127.40020000003</v>
      </c>
      <c r="N19" s="170">
        <f>M19/12</f>
        <v>45927.283350000005</v>
      </c>
      <c r="O19" s="170">
        <f>E19*(1+O$11)</f>
        <v>551127.40020000003</v>
      </c>
      <c r="P19" s="170">
        <f>O19/12</f>
        <v>45927.283350000005</v>
      </c>
      <c r="Q19" s="13">
        <v>0</v>
      </c>
      <c r="R19" s="13"/>
      <c r="S19" s="13">
        <v>0</v>
      </c>
      <c r="T19" s="13"/>
    </row>
    <row r="20" spans="1:20" x14ac:dyDescent="0.25">
      <c r="B20" s="3" t="s">
        <v>17</v>
      </c>
      <c r="C20" s="31">
        <v>10</v>
      </c>
      <c r="D20" s="31"/>
      <c r="E20" s="184">
        <v>522395.64</v>
      </c>
      <c r="F20" s="183">
        <f t="shared" si="1"/>
        <v>43532.97</v>
      </c>
      <c r="G20" s="186"/>
      <c r="H20" s="191"/>
      <c r="I20" s="192"/>
      <c r="J20" s="192"/>
      <c r="K20" s="186"/>
      <c r="L20" s="186"/>
      <c r="M20" s="170">
        <f>E20*(1+O$11)</f>
        <v>551127.40020000003</v>
      </c>
      <c r="N20" s="170">
        <f t="shared" ref="N20:N21" si="2">M20/12</f>
        <v>45927.283350000005</v>
      </c>
      <c r="O20" s="170">
        <f t="shared" ref="O20:O21" si="3">E20*(1+O$11)</f>
        <v>551127.40020000003</v>
      </c>
      <c r="P20" s="170">
        <f t="shared" ref="P20:P21" si="4">O20/12</f>
        <v>45927.283350000005</v>
      </c>
      <c r="Q20" s="13">
        <v>0</v>
      </c>
      <c r="R20" s="13"/>
      <c r="S20" s="13">
        <v>0</v>
      </c>
      <c r="T20" s="13"/>
    </row>
    <row r="21" spans="1:20" x14ac:dyDescent="0.25">
      <c r="B21" s="3" t="s">
        <v>17</v>
      </c>
      <c r="C21" s="31">
        <v>10</v>
      </c>
      <c r="D21" s="31"/>
      <c r="E21" s="184">
        <v>522395.64</v>
      </c>
      <c r="F21" s="183">
        <f t="shared" si="1"/>
        <v>43532.97</v>
      </c>
      <c r="G21" s="186"/>
      <c r="H21" s="191"/>
      <c r="I21" s="192"/>
      <c r="J21" s="192"/>
      <c r="K21" s="186"/>
      <c r="L21" s="186"/>
      <c r="M21" s="170">
        <f>E21*(1+O$11)</f>
        <v>551127.40020000003</v>
      </c>
      <c r="N21" s="170">
        <f t="shared" si="2"/>
        <v>45927.283350000005</v>
      </c>
      <c r="O21" s="170">
        <f t="shared" si="3"/>
        <v>551127.40020000003</v>
      </c>
      <c r="P21" s="170">
        <f t="shared" si="4"/>
        <v>45927.283350000005</v>
      </c>
      <c r="Q21" s="13">
        <v>0</v>
      </c>
      <c r="R21" s="13"/>
      <c r="S21" s="13">
        <v>0</v>
      </c>
      <c r="T21" s="13"/>
    </row>
    <row r="22" spans="1:20" ht="30" x14ac:dyDescent="0.25">
      <c r="B22" s="172" t="s">
        <v>15</v>
      </c>
      <c r="C22" s="150"/>
      <c r="D22" s="150"/>
      <c r="E22" s="150"/>
      <c r="F22" s="150"/>
      <c r="G22" s="195" t="s">
        <v>19</v>
      </c>
      <c r="H22" s="196" t="s">
        <v>406</v>
      </c>
      <c r="I22" s="197" t="s">
        <v>21</v>
      </c>
      <c r="J22" s="197" t="s">
        <v>473</v>
      </c>
      <c r="K22" s="194" t="s">
        <v>21</v>
      </c>
      <c r="L22" s="323" t="s">
        <v>473</v>
      </c>
      <c r="M22" s="260"/>
      <c r="N22" s="260"/>
      <c r="O22" s="260"/>
      <c r="P22" s="260"/>
      <c r="Q22" s="260"/>
      <c r="R22" s="260"/>
      <c r="S22" s="260"/>
      <c r="T22" s="260"/>
    </row>
    <row r="23" spans="1:20" x14ac:dyDescent="0.25">
      <c r="B23" s="3" t="s">
        <v>3</v>
      </c>
      <c r="C23" s="31">
        <v>11</v>
      </c>
      <c r="D23" s="31"/>
      <c r="E23" s="183">
        <f>K11</f>
        <v>733255.57200000004</v>
      </c>
      <c r="F23" s="183"/>
      <c r="G23" s="181">
        <v>11</v>
      </c>
      <c r="H23" s="182" t="s">
        <v>16</v>
      </c>
      <c r="I23" s="180">
        <f>E23</f>
        <v>733255.57200000004</v>
      </c>
      <c r="J23" s="180">
        <f>I23/12</f>
        <v>61104.631000000001</v>
      </c>
      <c r="K23" s="257">
        <f>E18</f>
        <v>733255.57200000004</v>
      </c>
      <c r="L23" s="324">
        <f>K23/12</f>
        <v>61104.631000000001</v>
      </c>
      <c r="M23" s="170">
        <f>E23*(1+Q$11)</f>
        <v>769918.35060000012</v>
      </c>
      <c r="N23" s="170"/>
      <c r="O23" s="170">
        <f>E23*(1+Q11)</f>
        <v>769918.35060000012</v>
      </c>
      <c r="P23" s="170"/>
      <c r="Q23" s="170">
        <f>I23*(1+Q11)</f>
        <v>769918.35060000012</v>
      </c>
      <c r="R23" s="170"/>
      <c r="S23" s="170">
        <f>K23*(1+Q11)</f>
        <v>769918.35060000012</v>
      </c>
      <c r="T23" s="170"/>
    </row>
    <row r="24" spans="1:20" x14ac:dyDescent="0.25">
      <c r="B24" s="3" t="s">
        <v>17</v>
      </c>
      <c r="C24" s="31">
        <v>10</v>
      </c>
      <c r="D24" s="31"/>
      <c r="E24" s="184">
        <v>514907.64</v>
      </c>
      <c r="F24" s="183">
        <f t="shared" ref="F24:F30" si="5">E24/12</f>
        <v>42908.97</v>
      </c>
      <c r="G24">
        <v>10</v>
      </c>
      <c r="H24" s="12" t="s">
        <v>17</v>
      </c>
      <c r="I24" s="187">
        <f>E19</f>
        <v>522395.64</v>
      </c>
      <c r="J24" s="180">
        <f t="shared" ref="J24:J30" si="6">I24/12</f>
        <v>43532.97</v>
      </c>
      <c r="K24" s="258">
        <v>522395.64</v>
      </c>
      <c r="L24" s="324">
        <f t="shared" ref="L24:L30" si="7">K24/12</f>
        <v>43532.97</v>
      </c>
      <c r="M24" s="170">
        <f>E24*(1+O$11)</f>
        <v>543227.56019999995</v>
      </c>
      <c r="N24" s="170">
        <f>M24/12</f>
        <v>45268.963349999998</v>
      </c>
      <c r="O24" s="170">
        <f>E24*(1+O$11)</f>
        <v>543227.56019999995</v>
      </c>
      <c r="P24" s="170">
        <f>O24/12</f>
        <v>45268.963349999998</v>
      </c>
      <c r="Q24" s="170">
        <f>I24*(1+O$11)</f>
        <v>551127.40020000003</v>
      </c>
      <c r="R24" s="170">
        <f>Q24/12</f>
        <v>45927.283350000005</v>
      </c>
      <c r="S24" s="170">
        <f>K24*(1+O$11)</f>
        <v>551127.40020000003</v>
      </c>
      <c r="T24" s="170">
        <f>S24/12</f>
        <v>45927.283350000005</v>
      </c>
    </row>
    <row r="25" spans="1:20" x14ac:dyDescent="0.25">
      <c r="B25" s="3" t="s">
        <v>17</v>
      </c>
      <c r="C25" s="31">
        <v>10</v>
      </c>
      <c r="D25" s="31"/>
      <c r="E25" s="184">
        <v>500276.64</v>
      </c>
      <c r="F25" s="183">
        <f t="shared" si="5"/>
        <v>41689.72</v>
      </c>
      <c r="G25">
        <v>10</v>
      </c>
      <c r="H25" s="12" t="s">
        <v>18</v>
      </c>
      <c r="I25" s="187">
        <f>E20</f>
        <v>522395.64</v>
      </c>
      <c r="J25" s="180">
        <f t="shared" si="6"/>
        <v>43532.97</v>
      </c>
      <c r="K25" s="258">
        <f>E20</f>
        <v>522395.64</v>
      </c>
      <c r="L25" s="324">
        <f t="shared" si="7"/>
        <v>43532.97</v>
      </c>
      <c r="M25" s="170">
        <f t="shared" ref="M25:M28" si="8">E25*(1+O$11)</f>
        <v>527791.85519999999</v>
      </c>
      <c r="N25" s="170">
        <f t="shared" ref="N25:N30" si="9">M25/12</f>
        <v>43982.654600000002</v>
      </c>
      <c r="O25" s="170">
        <f t="shared" ref="O25:O28" si="10">E25*(1+O$11)</f>
        <v>527791.85519999999</v>
      </c>
      <c r="P25" s="170">
        <f t="shared" ref="P25:P30" si="11">O25/12</f>
        <v>43982.654600000002</v>
      </c>
      <c r="Q25" s="170">
        <f t="shared" ref="Q25:Q29" si="12">I25*(1+O$11)</f>
        <v>551127.40020000003</v>
      </c>
      <c r="R25" s="170">
        <f t="shared" ref="R25:R30" si="13">Q25/12</f>
        <v>45927.283350000005</v>
      </c>
      <c r="S25" s="170">
        <f t="shared" ref="S25:S31" si="14">K25*(1+O$11)</f>
        <v>551127.40020000003</v>
      </c>
      <c r="T25" s="170">
        <f t="shared" ref="T25:T30" si="15">S25/12</f>
        <v>45927.283350000005</v>
      </c>
    </row>
    <row r="26" spans="1:20" x14ac:dyDescent="0.25">
      <c r="B26" s="3" t="s">
        <v>17</v>
      </c>
      <c r="C26" s="31">
        <v>10</v>
      </c>
      <c r="D26" s="31"/>
      <c r="E26" s="184">
        <v>477081</v>
      </c>
      <c r="F26" s="183">
        <f t="shared" si="5"/>
        <v>39756.75</v>
      </c>
      <c r="G26">
        <v>10</v>
      </c>
      <c r="H26" s="12" t="s">
        <v>18</v>
      </c>
      <c r="I26" s="188">
        <f>E21</f>
        <v>522395.64</v>
      </c>
      <c r="J26" s="180">
        <f t="shared" si="6"/>
        <v>43532.97</v>
      </c>
      <c r="K26" s="257">
        <v>0</v>
      </c>
      <c r="L26" s="324">
        <f t="shared" si="7"/>
        <v>0</v>
      </c>
      <c r="M26" s="170">
        <f t="shared" si="8"/>
        <v>503320.45499999996</v>
      </c>
      <c r="N26" s="170">
        <f t="shared" si="9"/>
        <v>41943.371249999997</v>
      </c>
      <c r="O26" s="170">
        <f t="shared" si="10"/>
        <v>503320.45499999996</v>
      </c>
      <c r="P26" s="170">
        <f t="shared" si="11"/>
        <v>41943.371249999997</v>
      </c>
      <c r="Q26" s="170">
        <f t="shared" si="12"/>
        <v>551127.40020000003</v>
      </c>
      <c r="R26" s="170">
        <f t="shared" si="13"/>
        <v>45927.283350000005</v>
      </c>
      <c r="S26" s="170">
        <f t="shared" si="14"/>
        <v>0</v>
      </c>
      <c r="T26" s="170">
        <f t="shared" si="15"/>
        <v>0</v>
      </c>
    </row>
    <row r="27" spans="1:20" x14ac:dyDescent="0.25">
      <c r="B27" s="175" t="s">
        <v>17</v>
      </c>
      <c r="C27" s="176">
        <v>9</v>
      </c>
      <c r="D27" s="176"/>
      <c r="E27" s="185">
        <f>I11</f>
        <v>376597.473</v>
      </c>
      <c r="F27" s="183">
        <f t="shared" si="5"/>
        <v>31383.122749999999</v>
      </c>
      <c r="G27">
        <v>10</v>
      </c>
      <c r="H27" s="179" t="s">
        <v>17</v>
      </c>
      <c r="I27" s="188">
        <f>E24</f>
        <v>514907.64</v>
      </c>
      <c r="J27" s="180">
        <f t="shared" si="6"/>
        <v>42908.97</v>
      </c>
      <c r="K27" s="257">
        <f>E24</f>
        <v>514907.64</v>
      </c>
      <c r="L27" s="324">
        <f t="shared" si="7"/>
        <v>42908.97</v>
      </c>
      <c r="M27" s="170">
        <f>E29*(1+M11)</f>
        <v>272958.95700000005</v>
      </c>
      <c r="N27" s="170">
        <f t="shared" si="9"/>
        <v>22746.579750000004</v>
      </c>
      <c r="O27" s="170">
        <f>E27*(1+O11)</f>
        <v>397310.33401499997</v>
      </c>
      <c r="P27" s="170">
        <f t="shared" si="11"/>
        <v>33109.19450125</v>
      </c>
      <c r="Q27" s="170">
        <f t="shared" si="12"/>
        <v>543227.56019999995</v>
      </c>
      <c r="R27" s="170">
        <f t="shared" si="13"/>
        <v>45268.963349999998</v>
      </c>
      <c r="S27" s="170">
        <f t="shared" si="14"/>
        <v>543227.56019999995</v>
      </c>
      <c r="T27" s="170">
        <f t="shared" si="15"/>
        <v>45268.963349999998</v>
      </c>
    </row>
    <row r="28" spans="1:20" x14ac:dyDescent="0.25">
      <c r="B28" s="318" t="s">
        <v>445</v>
      </c>
      <c r="C28" s="31">
        <v>8</v>
      </c>
      <c r="D28" s="31"/>
      <c r="E28" s="184">
        <v>357314.64</v>
      </c>
      <c r="F28" s="183">
        <f t="shared" si="5"/>
        <v>29776.22</v>
      </c>
      <c r="G28">
        <v>10</v>
      </c>
      <c r="H28" s="11" t="s">
        <v>17</v>
      </c>
      <c r="I28" s="188">
        <f>E25</f>
        <v>500276.64</v>
      </c>
      <c r="J28" s="180">
        <f t="shared" si="6"/>
        <v>41689.72</v>
      </c>
      <c r="K28" s="257">
        <f>E25</f>
        <v>500276.64</v>
      </c>
      <c r="L28" s="324">
        <f t="shared" si="7"/>
        <v>41689.72</v>
      </c>
      <c r="M28" s="170">
        <f t="shared" si="8"/>
        <v>376966.94520000002</v>
      </c>
      <c r="N28" s="170">
        <f t="shared" si="9"/>
        <v>31413.912100000001</v>
      </c>
      <c r="O28" s="170">
        <f t="shared" si="10"/>
        <v>376966.94520000002</v>
      </c>
      <c r="P28" s="170">
        <f t="shared" si="11"/>
        <v>31413.912100000001</v>
      </c>
      <c r="Q28" s="170">
        <f t="shared" si="12"/>
        <v>527791.85519999999</v>
      </c>
      <c r="R28" s="170">
        <f t="shared" si="13"/>
        <v>43982.654600000002</v>
      </c>
      <c r="S28" s="170">
        <f t="shared" si="14"/>
        <v>527791.85519999999</v>
      </c>
      <c r="T28" s="170">
        <f t="shared" si="15"/>
        <v>43982.654600000002</v>
      </c>
    </row>
    <row r="29" spans="1:20" x14ac:dyDescent="0.25">
      <c r="B29" s="178" t="s">
        <v>445</v>
      </c>
      <c r="C29" s="176">
        <v>7</v>
      </c>
      <c r="D29" s="176"/>
      <c r="E29" s="185">
        <f>H11</f>
        <v>257508.45</v>
      </c>
      <c r="F29" s="183">
        <f t="shared" si="5"/>
        <v>21459.037500000002</v>
      </c>
      <c r="G29">
        <v>10</v>
      </c>
      <c r="H29" s="11" t="s">
        <v>17</v>
      </c>
      <c r="I29" s="188">
        <f>E26</f>
        <v>477081</v>
      </c>
      <c r="J29" s="180">
        <f t="shared" si="6"/>
        <v>39756.75</v>
      </c>
      <c r="K29" s="257">
        <v>477080</v>
      </c>
      <c r="L29" s="324">
        <f t="shared" si="7"/>
        <v>39756.666666666664</v>
      </c>
      <c r="M29" s="170">
        <f>E29*(1+M11)</f>
        <v>272958.95700000005</v>
      </c>
      <c r="N29" s="170">
        <f t="shared" si="9"/>
        <v>22746.579750000004</v>
      </c>
      <c r="O29" s="170">
        <f>E29*(1+M$11)</f>
        <v>272958.95700000005</v>
      </c>
      <c r="P29" s="170">
        <f t="shared" si="11"/>
        <v>22746.579750000004</v>
      </c>
      <c r="Q29" s="170">
        <f t="shared" si="12"/>
        <v>503320.45499999996</v>
      </c>
      <c r="R29" s="170">
        <f t="shared" si="13"/>
        <v>41943.371249999997</v>
      </c>
      <c r="S29" s="170">
        <f t="shared" si="14"/>
        <v>503319.39999999997</v>
      </c>
      <c r="T29" s="170">
        <f t="shared" si="15"/>
        <v>41943.283333333333</v>
      </c>
    </row>
    <row r="30" spans="1:20" ht="24" x14ac:dyDescent="0.25">
      <c r="B30" s="178" t="s">
        <v>445</v>
      </c>
      <c r="D30" s="176"/>
      <c r="E30" s="185">
        <f>H11</f>
        <v>257508.45</v>
      </c>
      <c r="F30" s="183">
        <f t="shared" si="5"/>
        <v>21459.037500000002</v>
      </c>
      <c r="G30">
        <v>8</v>
      </c>
      <c r="H30" s="12" t="s">
        <v>22</v>
      </c>
      <c r="I30" s="188">
        <f>E28</f>
        <v>357314.64</v>
      </c>
      <c r="J30" s="180">
        <f t="shared" si="6"/>
        <v>29776.22</v>
      </c>
      <c r="K30" s="257">
        <f>E28</f>
        <v>357314.64</v>
      </c>
      <c r="L30" s="324">
        <f t="shared" si="7"/>
        <v>29776.22</v>
      </c>
      <c r="M30" s="170">
        <f>E30*(1+M11)</f>
        <v>272958.95700000005</v>
      </c>
      <c r="N30" s="170">
        <f t="shared" si="9"/>
        <v>22746.579750000004</v>
      </c>
      <c r="O30" s="170">
        <f>E30*(1+M$11)</f>
        <v>272958.95700000005</v>
      </c>
      <c r="P30" s="170">
        <f t="shared" si="11"/>
        <v>22746.579750000004</v>
      </c>
      <c r="Q30" s="170">
        <f>I30*(1+O$11)</f>
        <v>376966.94520000002</v>
      </c>
      <c r="R30" s="170">
        <f t="shared" si="13"/>
        <v>31413.912100000001</v>
      </c>
      <c r="S30" s="170">
        <f t="shared" si="14"/>
        <v>376966.94520000002</v>
      </c>
      <c r="T30" s="170">
        <f t="shared" si="15"/>
        <v>31413.912100000001</v>
      </c>
    </row>
    <row r="31" spans="1:20" ht="15.75" x14ac:dyDescent="0.25">
      <c r="B31" s="265" t="s">
        <v>407</v>
      </c>
      <c r="D31" s="177"/>
      <c r="E31" s="325">
        <f>SUM(E18:E30)</f>
        <v>5774892.3570000008</v>
      </c>
      <c r="F31" s="325">
        <f>SUM(F18:F30)</f>
        <v>359031.76775</v>
      </c>
      <c r="G31" s="186"/>
      <c r="H31" s="186"/>
      <c r="I31" s="326">
        <f>SUM(I18:I30)</f>
        <v>4150022.4120000005</v>
      </c>
      <c r="J31" s="326">
        <f>SUM(J23:J30)</f>
        <v>345835.201</v>
      </c>
      <c r="K31" s="327">
        <f>SUM(K23:K30)</f>
        <v>3627625.7720000003</v>
      </c>
      <c r="L31" s="327">
        <f>SUM(L23:L30)</f>
        <v>302302.14766666666</v>
      </c>
      <c r="M31" s="327">
        <f>SUM(M18:M30)</f>
        <v>5963402.5884000016</v>
      </c>
      <c r="N31" s="327">
        <f>SUM(N18:N30)</f>
        <v>368630.49060000002</v>
      </c>
      <c r="O31" s="327">
        <f>SUM(O18:O30)</f>
        <v>6087753.9654150009</v>
      </c>
      <c r="P31" s="327">
        <f>SUM(P18:P30)</f>
        <v>378993.10535125004</v>
      </c>
      <c r="Q31" s="327">
        <f>SUM(Q23:Q30)</f>
        <v>4374607.3668</v>
      </c>
      <c r="R31" s="327">
        <f>SUM(R23:R30)</f>
        <v>300390.75135000004</v>
      </c>
      <c r="S31" s="327">
        <f t="shared" si="14"/>
        <v>3827145.18946</v>
      </c>
      <c r="T31" s="327">
        <f>SUM(T23:T30)</f>
        <v>254463.38008333335</v>
      </c>
    </row>
    <row r="32" spans="1:20" ht="32.25" customHeight="1" x14ac:dyDescent="0.25">
      <c r="B32" s="336"/>
      <c r="C32" s="335"/>
      <c r="D32" s="201"/>
      <c r="E32" s="360">
        <f>E31+F31</f>
        <v>6133924.1247500004</v>
      </c>
      <c r="F32" s="360"/>
      <c r="G32" s="328"/>
      <c r="H32" s="328"/>
      <c r="I32" s="362">
        <f>I31+J31</f>
        <v>4495857.6130000008</v>
      </c>
      <c r="J32" s="363"/>
      <c r="K32" s="361">
        <f>K31+L31</f>
        <v>3929927.919666667</v>
      </c>
      <c r="L32" s="361"/>
      <c r="M32" s="364">
        <f>M31+N31</f>
        <v>6332033.0790000018</v>
      </c>
      <c r="N32" s="364"/>
      <c r="O32" s="364">
        <f>O31+P31</f>
        <v>6466747.0707662506</v>
      </c>
      <c r="P32" s="364"/>
      <c r="Q32" s="366">
        <f>Q31+R31</f>
        <v>4674998.1181499995</v>
      </c>
      <c r="R32" s="366"/>
      <c r="S32" s="366">
        <f>S31+T31</f>
        <v>4081608.5695433333</v>
      </c>
      <c r="T32" s="366"/>
    </row>
    <row r="33" spans="2:20" ht="36" customHeight="1" x14ac:dyDescent="0.25">
      <c r="B33" s="336"/>
      <c r="D33" s="201"/>
      <c r="E33" s="206"/>
      <c r="F33" s="322"/>
      <c r="G33" s="329"/>
      <c r="H33" s="330"/>
      <c r="I33" s="333">
        <f>E32-I32</f>
        <v>1638066.5117499996</v>
      </c>
      <c r="J33" s="332">
        <f>I33/E32</f>
        <v>0.26705033815799967</v>
      </c>
      <c r="K33" s="334">
        <f>E32-K32</f>
        <v>2203996.2050833334</v>
      </c>
      <c r="L33" s="331">
        <f>K33/E32</f>
        <v>0.35931259667695375</v>
      </c>
      <c r="M33" s="346"/>
      <c r="N33" s="346"/>
      <c r="O33" s="347">
        <f>M32-O32</f>
        <v>-134713.99176624883</v>
      </c>
      <c r="P33" s="348">
        <f>O33/M32</f>
        <v>-2.1274998106536075E-2</v>
      </c>
      <c r="Q33" s="261">
        <f>O32-Q32</f>
        <v>1791748.9526162511</v>
      </c>
      <c r="R33" s="349">
        <f>Q33/O32</f>
        <v>0.27707113530326233</v>
      </c>
      <c r="S33" s="261">
        <f>O32-S32</f>
        <v>2385138.5012229173</v>
      </c>
      <c r="T33" s="349">
        <f>S33/O32</f>
        <v>0.36883126479543915</v>
      </c>
    </row>
    <row r="34" spans="2:20" s="9" customFormat="1" ht="18" x14ac:dyDescent="0.25">
      <c r="B34" s="336"/>
      <c r="D34" s="338"/>
      <c r="E34" s="339"/>
      <c r="F34" s="339"/>
      <c r="G34" s="339"/>
      <c r="H34" s="340"/>
      <c r="I34" s="341"/>
      <c r="J34" s="340"/>
      <c r="K34" s="342"/>
      <c r="L34" s="343"/>
      <c r="M34" s="344"/>
      <c r="N34" s="344"/>
      <c r="O34" s="344"/>
      <c r="P34" s="344"/>
      <c r="Q34" s="345"/>
      <c r="R34" s="345"/>
      <c r="S34" s="345"/>
      <c r="T34" s="345"/>
    </row>
    <row r="35" spans="2:20" s="9" customFormat="1" ht="18" x14ac:dyDescent="0.25">
      <c r="B35" s="336"/>
      <c r="D35" s="338"/>
      <c r="E35" s="339"/>
      <c r="F35" s="339"/>
      <c r="G35" s="339"/>
      <c r="H35" s="340"/>
      <c r="I35" s="341"/>
      <c r="J35" s="340"/>
      <c r="K35" s="342"/>
      <c r="L35" s="343"/>
      <c r="M35" s="344"/>
      <c r="N35" s="344"/>
      <c r="O35" s="344"/>
      <c r="P35" s="344"/>
      <c r="Q35" s="345"/>
      <c r="R35" s="345"/>
      <c r="S35" s="345"/>
      <c r="T35" s="345"/>
    </row>
    <row r="36" spans="2:20" s="9" customFormat="1" ht="18" x14ac:dyDescent="0.25">
      <c r="B36" s="336"/>
      <c r="D36" s="338"/>
      <c r="E36" s="339"/>
      <c r="F36" s="339"/>
      <c r="G36" s="339"/>
      <c r="H36" s="340"/>
      <c r="I36" s="341"/>
      <c r="J36" s="340"/>
      <c r="K36" s="342"/>
      <c r="L36" s="343"/>
      <c r="M36" s="344"/>
      <c r="N36" s="344"/>
      <c r="O36" s="344"/>
      <c r="P36" s="344"/>
      <c r="Q36" s="345"/>
      <c r="R36" s="345"/>
      <c r="S36" s="345"/>
      <c r="T36" s="345"/>
    </row>
    <row r="37" spans="2:20" s="9" customFormat="1" ht="18" x14ac:dyDescent="0.25">
      <c r="B37" s="336"/>
      <c r="D37" s="338"/>
      <c r="E37" s="339"/>
      <c r="F37" s="339"/>
      <c r="G37" s="339"/>
      <c r="H37" s="340"/>
      <c r="I37" s="341"/>
      <c r="J37" s="340"/>
      <c r="K37" s="342"/>
      <c r="L37" s="343"/>
      <c r="M37" s="344"/>
      <c r="N37" s="344"/>
      <c r="O37" s="344"/>
      <c r="P37" s="344"/>
      <c r="Q37" s="345"/>
      <c r="R37" s="345"/>
      <c r="S37" s="345"/>
      <c r="T37" s="345"/>
    </row>
    <row r="39" spans="2:20" x14ac:dyDescent="0.25">
      <c r="B39" s="276" t="s">
        <v>428</v>
      </c>
      <c r="C39" s="277" t="s">
        <v>429</v>
      </c>
      <c r="D39" s="277"/>
      <c r="E39" s="277" t="s">
        <v>427</v>
      </c>
      <c r="F39" s="277"/>
      <c r="G39" s="277" t="s">
        <v>426</v>
      </c>
    </row>
    <row r="40" spans="2:20" x14ac:dyDescent="0.25">
      <c r="B40" s="32" t="s">
        <v>293</v>
      </c>
      <c r="C40" s="278">
        <f>O32</f>
        <v>6466747.0707662506</v>
      </c>
      <c r="D40" s="123"/>
      <c r="E40" s="123"/>
      <c r="F40" s="123"/>
      <c r="G40" s="123"/>
    </row>
    <row r="41" spans="2:20" x14ac:dyDescent="0.25">
      <c r="B41" s="32" t="s">
        <v>244</v>
      </c>
      <c r="C41" s="278">
        <f>Q32</f>
        <v>4674998.1181499995</v>
      </c>
      <c r="D41" s="123"/>
      <c r="E41" s="278">
        <f>C40-C41</f>
        <v>1791748.9526162511</v>
      </c>
      <c r="F41" s="278"/>
      <c r="G41" s="279">
        <f>E41/C40</f>
        <v>0.27707113530326233</v>
      </c>
    </row>
    <row r="42" spans="2:20" x14ac:dyDescent="0.25">
      <c r="B42" s="32" t="s">
        <v>245</v>
      </c>
      <c r="C42" s="278">
        <f>S32</f>
        <v>4081608.5695433333</v>
      </c>
      <c r="D42" s="123"/>
      <c r="E42" s="278">
        <f>C40-C42</f>
        <v>2385138.5012229173</v>
      </c>
      <c r="F42" s="278"/>
      <c r="G42" s="279">
        <f>E42/C40</f>
        <v>0.36883126479543915</v>
      </c>
    </row>
  </sheetData>
  <mergeCells count="11">
    <mergeCell ref="M15:S15"/>
    <mergeCell ref="K16:L16"/>
    <mergeCell ref="G16:I16"/>
    <mergeCell ref="Q32:R32"/>
    <mergeCell ref="S32:T32"/>
    <mergeCell ref="B16:E16"/>
    <mergeCell ref="E32:F32"/>
    <mergeCell ref="K32:L32"/>
    <mergeCell ref="I32:J32"/>
    <mergeCell ref="O32:P32"/>
    <mergeCell ref="M32:N32"/>
  </mergeCells>
  <dataValidations count="1">
    <dataValidation type="list" allowBlank="1" showInputMessage="1" showErrorMessage="1" sqref="K24:K29" xr:uid="{00000000-0002-0000-0300-000000000000}">
      <formula1>$D$9:$D$15</formula1>
    </dataValidation>
  </dataValidations>
  <pageMargins left="0.70866141732283472" right="0.70866141732283472" top="0.74803149606299213" bottom="0.74803149606299213" header="0.31496062992125984" footer="0.31496062992125984"/>
  <pageSetup paperSize="9" scale="37"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F20"/>
  <sheetViews>
    <sheetView workbookViewId="0"/>
  </sheetViews>
  <sheetFormatPr defaultRowHeight="15" x14ac:dyDescent="0.25"/>
  <cols>
    <col min="1" max="1" width="29.28515625" bestFit="1" customWidth="1"/>
    <col min="2" max="2" width="14.28515625" bestFit="1" customWidth="1"/>
    <col min="3" max="3" width="14.28515625" customWidth="1"/>
    <col min="4" max="5" width="14.28515625" bestFit="1" customWidth="1"/>
    <col min="6" max="6" width="15.28515625" bestFit="1" customWidth="1"/>
  </cols>
  <sheetData>
    <row r="3" spans="1:6" s="123" customFormat="1" ht="15" customHeight="1" x14ac:dyDescent="0.25">
      <c r="A3" s="367" t="s">
        <v>463</v>
      </c>
      <c r="B3" s="367"/>
      <c r="C3" s="367"/>
      <c r="D3" s="367"/>
      <c r="E3" s="367"/>
      <c r="F3" s="367"/>
    </row>
    <row r="5" spans="1:6" x14ac:dyDescent="0.25">
      <c r="A5" s="269" t="s">
        <v>413</v>
      </c>
      <c r="B5" s="269" t="s">
        <v>414</v>
      </c>
      <c r="C5" s="269" t="s">
        <v>93</v>
      </c>
      <c r="D5" s="269" t="s">
        <v>92</v>
      </c>
      <c r="E5" s="269" t="s">
        <v>246</v>
      </c>
      <c r="F5" s="269" t="s">
        <v>415</v>
      </c>
    </row>
    <row r="6" spans="1:6" s="272" customFormat="1" x14ac:dyDescent="0.25">
      <c r="A6" s="270" t="s">
        <v>416</v>
      </c>
      <c r="B6" s="271">
        <v>2125164.87</v>
      </c>
      <c r="C6" s="271">
        <v>2149398.96</v>
      </c>
      <c r="D6" s="271">
        <v>2305267.6800000002</v>
      </c>
      <c r="E6" s="271">
        <v>2445651.9000000004</v>
      </c>
      <c r="F6" s="271">
        <v>9025483.4100000001</v>
      </c>
    </row>
    <row r="7" spans="1:6" x14ac:dyDescent="0.25">
      <c r="A7" s="32" t="s">
        <v>417</v>
      </c>
      <c r="B7" s="13">
        <v>1856190.65</v>
      </c>
      <c r="C7" s="13">
        <v>1848458.91</v>
      </c>
      <c r="D7" s="13">
        <v>2002679.7</v>
      </c>
      <c r="E7" s="13">
        <v>2150202.7200000002</v>
      </c>
      <c r="F7" s="13">
        <v>7857531.9800000004</v>
      </c>
    </row>
    <row r="8" spans="1:6" x14ac:dyDescent="0.25">
      <c r="A8" s="32" t="s">
        <v>418</v>
      </c>
      <c r="B8" s="13">
        <v>50808</v>
      </c>
      <c r="C8" s="13">
        <v>48108</v>
      </c>
      <c r="D8" s="13">
        <v>60060</v>
      </c>
      <c r="E8" s="13">
        <v>56069.94</v>
      </c>
      <c r="F8" s="13">
        <v>215045.94</v>
      </c>
    </row>
    <row r="9" spans="1:6" x14ac:dyDescent="0.25">
      <c r="A9" s="32" t="s">
        <v>419</v>
      </c>
      <c r="B9" s="13">
        <v>96258.72</v>
      </c>
      <c r="C9" s="13">
        <v>104790.84</v>
      </c>
      <c r="D9" s="13">
        <v>113609.28</v>
      </c>
      <c r="E9" s="13">
        <v>121386.24000000001</v>
      </c>
      <c r="F9" s="13">
        <v>436045.07999999996</v>
      </c>
    </row>
    <row r="10" spans="1:6" x14ac:dyDescent="0.25">
      <c r="A10" s="32" t="s">
        <v>420</v>
      </c>
      <c r="B10" s="13">
        <v>0</v>
      </c>
      <c r="C10" s="13">
        <v>0</v>
      </c>
      <c r="D10" s="13"/>
      <c r="E10" s="13"/>
      <c r="F10" s="13">
        <v>0</v>
      </c>
    </row>
    <row r="11" spans="1:6" x14ac:dyDescent="0.25">
      <c r="A11" s="32" t="s">
        <v>421</v>
      </c>
      <c r="B11" s="13"/>
      <c r="C11" s="13">
        <v>18582</v>
      </c>
      <c r="D11" s="13">
        <v>0</v>
      </c>
      <c r="E11" s="13"/>
      <c r="F11" s="13">
        <v>18582</v>
      </c>
    </row>
    <row r="12" spans="1:6" x14ac:dyDescent="0.25">
      <c r="A12" s="32" t="s">
        <v>422</v>
      </c>
      <c r="B12" s="13">
        <v>121907.5</v>
      </c>
      <c r="C12" s="13">
        <v>100226.25</v>
      </c>
      <c r="D12" s="13">
        <v>109155</v>
      </c>
      <c r="E12" s="13">
        <v>117993</v>
      </c>
      <c r="F12" s="13">
        <v>449281.75</v>
      </c>
    </row>
    <row r="13" spans="1:6" s="272" customFormat="1" x14ac:dyDescent="0.25">
      <c r="A13" s="270" t="s">
        <v>423</v>
      </c>
      <c r="B13" s="271">
        <v>3023860.12</v>
      </c>
      <c r="C13" s="271">
        <v>3264281.27</v>
      </c>
      <c r="D13" s="271">
        <v>3540885.9499999997</v>
      </c>
      <c r="E13" s="271">
        <v>3186111.12</v>
      </c>
      <c r="F13" s="271">
        <v>13015138.460000001</v>
      </c>
    </row>
    <row r="14" spans="1:6" x14ac:dyDescent="0.25">
      <c r="A14" s="32" t="s">
        <v>417</v>
      </c>
      <c r="B14" s="13">
        <v>2657931.77</v>
      </c>
      <c r="C14" s="13">
        <v>2884453.32</v>
      </c>
      <c r="D14" s="13">
        <v>3134762.19</v>
      </c>
      <c r="E14" s="13">
        <v>2836642.43</v>
      </c>
      <c r="F14" s="13">
        <v>11513789.709999999</v>
      </c>
    </row>
    <row r="15" spans="1:6" x14ac:dyDescent="0.25">
      <c r="A15" s="32" t="s">
        <v>418</v>
      </c>
      <c r="B15" s="13">
        <v>74400</v>
      </c>
      <c r="C15" s="13">
        <v>82800</v>
      </c>
      <c r="D15" s="13">
        <v>96804</v>
      </c>
      <c r="E15" s="13">
        <v>69795.92</v>
      </c>
      <c r="F15" s="13">
        <v>323799.92</v>
      </c>
    </row>
    <row r="16" spans="1:6" x14ac:dyDescent="0.25">
      <c r="A16" s="32" t="s">
        <v>424</v>
      </c>
      <c r="B16" s="13">
        <v>84268.23</v>
      </c>
      <c r="C16" s="13">
        <v>93835.17</v>
      </c>
      <c r="D16" s="13">
        <v>103937.01</v>
      </c>
      <c r="E16" s="13">
        <v>113310.72</v>
      </c>
      <c r="F16" s="13">
        <v>395351.13</v>
      </c>
    </row>
    <row r="17" spans="1:6" x14ac:dyDescent="0.25">
      <c r="A17" s="32" t="s">
        <v>420</v>
      </c>
      <c r="B17" s="13">
        <v>27183.119999999999</v>
      </c>
      <c r="C17" s="13">
        <v>18082.95</v>
      </c>
      <c r="D17" s="13">
        <v>0</v>
      </c>
      <c r="E17" s="13">
        <v>0</v>
      </c>
      <c r="F17" s="13">
        <v>45266.07</v>
      </c>
    </row>
    <row r="18" spans="1:6" x14ac:dyDescent="0.25">
      <c r="A18" s="32" t="s">
        <v>421</v>
      </c>
      <c r="B18" s="13">
        <v>0</v>
      </c>
      <c r="C18" s="13">
        <v>0</v>
      </c>
      <c r="D18" s="13"/>
      <c r="E18" s="13"/>
      <c r="F18" s="13">
        <v>0</v>
      </c>
    </row>
    <row r="19" spans="1:6" x14ac:dyDescent="0.25">
      <c r="A19" s="32" t="s">
        <v>422</v>
      </c>
      <c r="B19" s="13">
        <v>180077</v>
      </c>
      <c r="C19" s="13">
        <v>185109.83</v>
      </c>
      <c r="D19" s="13">
        <v>205382.75</v>
      </c>
      <c r="E19" s="13">
        <v>166362.04999999999</v>
      </c>
      <c r="F19" s="13">
        <v>736931.62999999989</v>
      </c>
    </row>
    <row r="20" spans="1:6" s="275" customFormat="1" x14ac:dyDescent="0.25">
      <c r="A20" s="273" t="s">
        <v>415</v>
      </c>
      <c r="B20" s="274">
        <v>5149024.9900000012</v>
      </c>
      <c r="C20" s="274">
        <v>5413680.2299999995</v>
      </c>
      <c r="D20" s="274">
        <v>5846153.6299999999</v>
      </c>
      <c r="E20" s="274">
        <v>5631763.0199999996</v>
      </c>
      <c r="F20" s="274">
        <v>22040621.869999997</v>
      </c>
    </row>
  </sheetData>
  <mergeCells count="1">
    <mergeCell ref="A3:F3"/>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3:U93"/>
  <sheetViews>
    <sheetView zoomScale="90" zoomScaleNormal="90" workbookViewId="0">
      <pane xSplit="1" ySplit="7" topLeftCell="B92" activePane="bottomRight" state="frozen"/>
      <selection pane="topRight" activeCell="B1" sqref="B1"/>
      <selection pane="bottomLeft" activeCell="A8" sqref="A8"/>
      <selection pane="bottomRight"/>
    </sheetView>
  </sheetViews>
  <sheetFormatPr defaultRowHeight="15" x14ac:dyDescent="0.25"/>
  <cols>
    <col min="1" max="1" width="22.28515625" customWidth="1"/>
    <col min="2" max="2" width="29.28515625" bestFit="1" customWidth="1"/>
    <col min="3" max="3" width="21.7109375" bestFit="1" customWidth="1"/>
    <col min="4" max="4" width="25.140625" bestFit="1" customWidth="1"/>
    <col min="5" max="5" width="25.140625" customWidth="1"/>
    <col min="6" max="6" width="25.5703125" bestFit="1" customWidth="1"/>
    <col min="7" max="7" width="25.5703125" customWidth="1"/>
    <col min="8" max="8" width="24.140625" bestFit="1" customWidth="1"/>
    <col min="9" max="9" width="24.140625" customWidth="1"/>
    <col min="10" max="10" width="24.42578125" customWidth="1"/>
    <col min="11" max="11" width="16.85546875" customWidth="1"/>
    <col min="12" max="13" width="20.42578125" customWidth="1"/>
    <col min="14" max="14" width="18.5703125" customWidth="1"/>
    <col min="15" max="15" width="18.28515625" customWidth="1"/>
    <col min="16" max="16" width="33.42578125" customWidth="1"/>
    <col min="17" max="17" width="10" bestFit="1" customWidth="1"/>
  </cols>
  <sheetData>
    <row r="3" spans="1:21" ht="15.75" x14ac:dyDescent="0.25">
      <c r="A3" s="45"/>
      <c r="B3" s="368" t="s">
        <v>58</v>
      </c>
      <c r="C3" s="368"/>
      <c r="D3" s="368"/>
      <c r="E3" s="368"/>
      <c r="F3" s="368"/>
      <c r="G3" s="368"/>
      <c r="H3" s="368"/>
      <c r="I3" s="133"/>
    </row>
    <row r="4" spans="1:21" ht="31.5" x14ac:dyDescent="0.25">
      <c r="A4" s="44"/>
      <c r="B4" s="36" t="s">
        <v>63</v>
      </c>
      <c r="C4" s="36" t="s">
        <v>62</v>
      </c>
      <c r="D4" s="36" t="s">
        <v>59</v>
      </c>
      <c r="E4" s="36" t="s">
        <v>102</v>
      </c>
      <c r="F4" s="36" t="s">
        <v>102</v>
      </c>
      <c r="G4" s="159" t="s">
        <v>435</v>
      </c>
      <c r="H4" s="159"/>
      <c r="I4" s="159"/>
    </row>
    <row r="5" spans="1:21" ht="30" x14ac:dyDescent="0.25">
      <c r="B5" s="35" t="s">
        <v>54</v>
      </c>
      <c r="C5" s="315" t="s">
        <v>446</v>
      </c>
      <c r="D5">
        <v>3</v>
      </c>
      <c r="E5" s="26">
        <v>10</v>
      </c>
      <c r="F5" s="26" t="s">
        <v>61</v>
      </c>
      <c r="G5" s="51">
        <f>(D26+E26+G26+I26)/3</f>
        <v>393.5</v>
      </c>
      <c r="H5" s="51"/>
      <c r="I5" s="26"/>
    </row>
    <row r="6" spans="1:21" x14ac:dyDescent="0.25">
      <c r="B6" s="369" t="s">
        <v>55</v>
      </c>
      <c r="C6" s="382" t="s">
        <v>447</v>
      </c>
      <c r="D6">
        <v>1</v>
      </c>
      <c r="E6" s="26">
        <v>16</v>
      </c>
      <c r="F6" s="26" t="s">
        <v>60</v>
      </c>
      <c r="G6" s="51">
        <f>(D47+E47+G47+I47)</f>
        <v>1742.5</v>
      </c>
      <c r="H6" s="51"/>
      <c r="I6" s="26"/>
    </row>
    <row r="7" spans="1:21" x14ac:dyDescent="0.25">
      <c r="B7" s="369"/>
      <c r="C7" s="382"/>
      <c r="D7" t="s">
        <v>276</v>
      </c>
      <c r="E7" t="s">
        <v>276</v>
      </c>
      <c r="F7" t="s">
        <v>276</v>
      </c>
      <c r="G7" t="s">
        <v>276</v>
      </c>
    </row>
    <row r="8" spans="1:21" ht="15.75" thickBot="1" x14ac:dyDescent="0.3"/>
    <row r="9" spans="1:21" ht="57.6" customHeight="1" thickBot="1" x14ac:dyDescent="0.3">
      <c r="A9" s="107"/>
      <c r="B9" s="373" t="s">
        <v>448</v>
      </c>
      <c r="C9" s="374"/>
      <c r="D9" s="374"/>
      <c r="E9" s="374"/>
      <c r="F9" s="374"/>
      <c r="G9" s="374"/>
      <c r="H9" s="374"/>
      <c r="I9" s="375"/>
      <c r="J9" s="373" t="s">
        <v>408</v>
      </c>
      <c r="K9" s="374"/>
      <c r="L9" s="374"/>
      <c r="M9" s="374"/>
      <c r="N9" s="374"/>
      <c r="O9" s="375"/>
      <c r="P9" s="373" t="s">
        <v>359</v>
      </c>
      <c r="Q9" s="374"/>
      <c r="R9" s="374"/>
      <c r="S9" s="374"/>
      <c r="T9" s="375"/>
      <c r="U9" s="152"/>
    </row>
    <row r="10" spans="1:21" x14ac:dyDescent="0.25">
      <c r="B10" s="403" t="s">
        <v>35</v>
      </c>
      <c r="C10" s="404"/>
      <c r="D10" s="404"/>
      <c r="E10" s="404"/>
      <c r="F10" s="404"/>
      <c r="G10" s="404"/>
      <c r="H10" s="404"/>
      <c r="I10" s="405"/>
      <c r="J10" s="376" t="s">
        <v>35</v>
      </c>
      <c r="K10" s="377"/>
      <c r="L10" s="377"/>
      <c r="M10" s="377"/>
      <c r="N10" s="377"/>
      <c r="O10" s="378"/>
      <c r="P10" s="401" t="s">
        <v>268</v>
      </c>
      <c r="Q10" s="370" t="s">
        <v>244</v>
      </c>
      <c r="R10" s="370"/>
      <c r="S10" s="371" t="s">
        <v>245</v>
      </c>
      <c r="T10" s="372"/>
    </row>
    <row r="11" spans="1:21" ht="15.75" x14ac:dyDescent="0.25">
      <c r="A11" s="17"/>
      <c r="B11" s="406"/>
      <c r="C11" s="407"/>
      <c r="D11" s="407"/>
      <c r="E11" s="407"/>
      <c r="F11" s="407"/>
      <c r="G11" s="407"/>
      <c r="H11" s="407"/>
      <c r="I11" s="408"/>
      <c r="J11" s="379"/>
      <c r="K11" s="380"/>
      <c r="L11" s="380"/>
      <c r="M11" s="380"/>
      <c r="N11" s="380"/>
      <c r="O11" s="381"/>
      <c r="P11" s="402"/>
      <c r="Q11" s="293" t="s">
        <v>266</v>
      </c>
      <c r="R11" s="293" t="s">
        <v>267</v>
      </c>
      <c r="S11" s="389" t="s">
        <v>266</v>
      </c>
      <c r="T11" s="390"/>
    </row>
    <row r="12" spans="1:21" ht="54.75" customHeight="1" x14ac:dyDescent="0.25">
      <c r="A12" s="39" t="s">
        <v>449</v>
      </c>
      <c r="B12" s="301" t="s">
        <v>23</v>
      </c>
      <c r="C12" s="302" t="s">
        <v>32</v>
      </c>
      <c r="D12" s="302" t="s">
        <v>430</v>
      </c>
      <c r="E12" s="302" t="s">
        <v>433</v>
      </c>
      <c r="F12" s="302" t="s">
        <v>273</v>
      </c>
      <c r="G12" s="302" t="s">
        <v>270</v>
      </c>
      <c r="H12" s="302" t="s">
        <v>431</v>
      </c>
      <c r="I12" s="303" t="s">
        <v>432</v>
      </c>
      <c r="J12" s="285" t="s">
        <v>76</v>
      </c>
      <c r="K12" s="286" t="s">
        <v>32</v>
      </c>
      <c r="L12" s="286" t="s">
        <v>430</v>
      </c>
      <c r="M12" s="286" t="s">
        <v>433</v>
      </c>
      <c r="N12" s="286" t="s">
        <v>275</v>
      </c>
      <c r="O12" s="287" t="s">
        <v>272</v>
      </c>
      <c r="P12" s="294" t="s">
        <v>459</v>
      </c>
      <c r="Q12" s="295"/>
      <c r="R12" s="295">
        <v>30</v>
      </c>
      <c r="S12" s="397">
        <v>30</v>
      </c>
      <c r="T12" s="398"/>
    </row>
    <row r="13" spans="1:21" x14ac:dyDescent="0.25">
      <c r="B13" s="280" t="s">
        <v>24</v>
      </c>
      <c r="C13" s="281">
        <v>3</v>
      </c>
      <c r="D13" s="281">
        <f>C13*8</f>
        <v>24</v>
      </c>
      <c r="E13" s="281">
        <v>16</v>
      </c>
      <c r="F13" s="282">
        <f>R22</f>
        <v>3.3125</v>
      </c>
      <c r="G13" s="282">
        <f>F13*8</f>
        <v>26.5</v>
      </c>
      <c r="H13" s="283">
        <f>Q22</f>
        <v>2.5</v>
      </c>
      <c r="I13" s="284">
        <f>H13*8</f>
        <v>20</v>
      </c>
      <c r="J13" s="280" t="s">
        <v>24</v>
      </c>
      <c r="K13" s="281">
        <v>3</v>
      </c>
      <c r="L13" s="281">
        <f>K13*8</f>
        <v>24</v>
      </c>
      <c r="M13" s="281">
        <v>16</v>
      </c>
      <c r="N13" s="283">
        <f>S22</f>
        <v>4.8125</v>
      </c>
      <c r="O13" s="288">
        <f>N13*8</f>
        <v>38.5</v>
      </c>
      <c r="P13" s="294" t="s">
        <v>241</v>
      </c>
      <c r="Q13" s="295"/>
      <c r="R13" s="295">
        <v>960</v>
      </c>
      <c r="S13" s="399">
        <v>960</v>
      </c>
      <c r="T13" s="400"/>
    </row>
    <row r="14" spans="1:21" ht="28.9" customHeight="1" x14ac:dyDescent="0.25">
      <c r="A14" s="382" t="s">
        <v>450</v>
      </c>
      <c r="B14" s="280" t="s">
        <v>25</v>
      </c>
      <c r="C14" s="281">
        <v>2</v>
      </c>
      <c r="D14" s="281">
        <f t="shared" ref="D14:D25" si="0">C14*8</f>
        <v>16</v>
      </c>
      <c r="E14" s="281">
        <v>16</v>
      </c>
      <c r="F14" s="282">
        <f>R22</f>
        <v>3.3125</v>
      </c>
      <c r="G14" s="282">
        <f t="shared" ref="G14:G25" si="1">F14*8</f>
        <v>26.5</v>
      </c>
      <c r="H14" s="283">
        <f>Q22</f>
        <v>2.5</v>
      </c>
      <c r="I14" s="284">
        <f t="shared" ref="I14:I24" si="2">H14*8</f>
        <v>20</v>
      </c>
      <c r="J14" s="280" t="s">
        <v>25</v>
      </c>
      <c r="K14" s="281">
        <v>2</v>
      </c>
      <c r="L14" s="281">
        <f t="shared" ref="L14:L25" si="3">K14*8</f>
        <v>16</v>
      </c>
      <c r="M14" s="281">
        <v>16</v>
      </c>
      <c r="N14" s="283">
        <f>S22</f>
        <v>4.8125</v>
      </c>
      <c r="O14" s="288">
        <f t="shared" ref="O14:O25" si="4">N14*8</f>
        <v>38.5</v>
      </c>
      <c r="P14" s="294" t="s">
        <v>262</v>
      </c>
      <c r="Q14" s="295"/>
      <c r="R14" s="295">
        <v>120</v>
      </c>
      <c r="S14" s="397">
        <v>120</v>
      </c>
      <c r="T14" s="398"/>
    </row>
    <row r="15" spans="1:21" x14ac:dyDescent="0.25">
      <c r="A15" s="382"/>
      <c r="B15" s="280" t="s">
        <v>26</v>
      </c>
      <c r="C15" s="281">
        <v>2</v>
      </c>
      <c r="D15" s="281">
        <f t="shared" si="0"/>
        <v>16</v>
      </c>
      <c r="E15" s="281">
        <v>16</v>
      </c>
      <c r="F15" s="283">
        <f>R22</f>
        <v>3.3125</v>
      </c>
      <c r="G15" s="282">
        <f t="shared" si="1"/>
        <v>26.5</v>
      </c>
      <c r="H15" s="283">
        <f>Q22</f>
        <v>2.5</v>
      </c>
      <c r="I15" s="284">
        <f t="shared" si="2"/>
        <v>20</v>
      </c>
      <c r="J15" s="280" t="s">
        <v>26</v>
      </c>
      <c r="K15" s="281">
        <v>2</v>
      </c>
      <c r="L15" s="281">
        <f t="shared" si="3"/>
        <v>16</v>
      </c>
      <c r="M15" s="281">
        <v>16</v>
      </c>
      <c r="N15" s="283">
        <f>S22</f>
        <v>4.8125</v>
      </c>
      <c r="O15" s="288">
        <f t="shared" si="4"/>
        <v>38.5</v>
      </c>
      <c r="P15" s="294" t="s">
        <v>434</v>
      </c>
      <c r="Q15" s="295">
        <v>240</v>
      </c>
      <c r="R15" s="295">
        <v>240</v>
      </c>
      <c r="S15" s="397">
        <v>240</v>
      </c>
      <c r="T15" s="398"/>
    </row>
    <row r="16" spans="1:21" ht="30" x14ac:dyDescent="0.25">
      <c r="A16" s="382"/>
      <c r="B16" s="280" t="s">
        <v>27</v>
      </c>
      <c r="C16" s="281">
        <v>3</v>
      </c>
      <c r="D16" s="281">
        <f t="shared" si="0"/>
        <v>24</v>
      </c>
      <c r="E16" s="281">
        <v>16</v>
      </c>
      <c r="F16" s="283">
        <f>R22</f>
        <v>3.3125</v>
      </c>
      <c r="G16" s="282">
        <f t="shared" si="1"/>
        <v>26.5</v>
      </c>
      <c r="H16" s="283">
        <f>Q22</f>
        <v>2.5</v>
      </c>
      <c r="I16" s="284">
        <f t="shared" si="2"/>
        <v>20</v>
      </c>
      <c r="J16" s="280" t="s">
        <v>27</v>
      </c>
      <c r="K16" s="281">
        <v>3</v>
      </c>
      <c r="L16" s="281">
        <f t="shared" si="3"/>
        <v>24</v>
      </c>
      <c r="M16" s="281">
        <v>16</v>
      </c>
      <c r="N16" s="283">
        <f>S22</f>
        <v>4.8125</v>
      </c>
      <c r="O16" s="288">
        <f t="shared" si="4"/>
        <v>38.5</v>
      </c>
      <c r="P16" s="294" t="s">
        <v>384</v>
      </c>
      <c r="Q16" s="295">
        <v>120</v>
      </c>
      <c r="R16" s="295"/>
      <c r="S16" s="397">
        <v>120</v>
      </c>
      <c r="T16" s="398"/>
    </row>
    <row r="17" spans="1:20" x14ac:dyDescent="0.25">
      <c r="A17" s="382"/>
      <c r="B17" s="280" t="s">
        <v>28</v>
      </c>
      <c r="C17" s="281">
        <v>3</v>
      </c>
      <c r="D17" s="281">
        <f t="shared" si="0"/>
        <v>24</v>
      </c>
      <c r="E17" s="281">
        <v>16</v>
      </c>
      <c r="F17" s="283">
        <f>R22</f>
        <v>3.3125</v>
      </c>
      <c r="G17" s="282">
        <f t="shared" si="1"/>
        <v>26.5</v>
      </c>
      <c r="H17" s="283">
        <f>Q22</f>
        <v>2.5</v>
      </c>
      <c r="I17" s="284">
        <f t="shared" si="2"/>
        <v>20</v>
      </c>
      <c r="J17" s="280" t="s">
        <v>28</v>
      </c>
      <c r="K17" s="281">
        <v>3</v>
      </c>
      <c r="L17" s="281">
        <f t="shared" si="3"/>
        <v>24</v>
      </c>
      <c r="M17" s="281">
        <v>16</v>
      </c>
      <c r="N17" s="283">
        <f>S22</f>
        <v>4.8125</v>
      </c>
      <c r="O17" s="288">
        <f t="shared" si="4"/>
        <v>38.5</v>
      </c>
      <c r="P17" s="294" t="s">
        <v>242</v>
      </c>
      <c r="Q17" s="295"/>
      <c r="R17" s="295">
        <v>240</v>
      </c>
      <c r="S17" s="397"/>
      <c r="T17" s="398"/>
    </row>
    <row r="18" spans="1:20" ht="60" x14ac:dyDescent="0.25">
      <c r="A18" s="382"/>
      <c r="B18" s="280" t="s">
        <v>29</v>
      </c>
      <c r="C18" s="281">
        <v>5</v>
      </c>
      <c r="D18" s="281">
        <f t="shared" si="0"/>
        <v>40</v>
      </c>
      <c r="E18" s="281">
        <v>16</v>
      </c>
      <c r="F18" s="283">
        <f>R22</f>
        <v>3.3125</v>
      </c>
      <c r="G18" s="282">
        <f t="shared" si="1"/>
        <v>26.5</v>
      </c>
      <c r="H18" s="283">
        <f>Q22</f>
        <v>2.5</v>
      </c>
      <c r="I18" s="284">
        <f t="shared" si="2"/>
        <v>20</v>
      </c>
      <c r="J18" s="280" t="s">
        <v>29</v>
      </c>
      <c r="K18" s="281">
        <v>5</v>
      </c>
      <c r="L18" s="281">
        <f t="shared" si="3"/>
        <v>40</v>
      </c>
      <c r="M18" s="281">
        <v>16</v>
      </c>
      <c r="N18" s="283">
        <f>S22</f>
        <v>4.8125</v>
      </c>
      <c r="O18" s="288">
        <f t="shared" si="4"/>
        <v>38.5</v>
      </c>
      <c r="P18" s="294" t="s">
        <v>385</v>
      </c>
      <c r="Q18" s="295">
        <v>360</v>
      </c>
      <c r="R18" s="295"/>
      <c r="S18" s="397">
        <v>360</v>
      </c>
      <c r="T18" s="398"/>
    </row>
    <row r="19" spans="1:20" ht="30" x14ac:dyDescent="0.25">
      <c r="A19" s="382"/>
      <c r="B19" s="280" t="s">
        <v>30</v>
      </c>
      <c r="C19" s="281">
        <v>5</v>
      </c>
      <c r="D19" s="281">
        <f t="shared" si="0"/>
        <v>40</v>
      </c>
      <c r="E19" s="281">
        <v>16</v>
      </c>
      <c r="F19" s="283">
        <f>R22</f>
        <v>3.3125</v>
      </c>
      <c r="G19" s="282">
        <f t="shared" si="1"/>
        <v>26.5</v>
      </c>
      <c r="H19" s="283">
        <f>Q22</f>
        <v>2.5</v>
      </c>
      <c r="I19" s="284">
        <f t="shared" si="2"/>
        <v>20</v>
      </c>
      <c r="J19" s="280" t="s">
        <v>30</v>
      </c>
      <c r="K19" s="281">
        <v>5</v>
      </c>
      <c r="L19" s="281">
        <f t="shared" si="3"/>
        <v>40</v>
      </c>
      <c r="M19" s="281">
        <v>16</v>
      </c>
      <c r="N19" s="283">
        <f>S22</f>
        <v>4.8125</v>
      </c>
      <c r="O19" s="288">
        <f t="shared" si="4"/>
        <v>38.5</v>
      </c>
      <c r="P19" s="294" t="s">
        <v>243</v>
      </c>
      <c r="Q19" s="295">
        <v>480</v>
      </c>
      <c r="R19" s="295"/>
      <c r="S19" s="397">
        <v>480</v>
      </c>
      <c r="T19" s="398"/>
    </row>
    <row r="20" spans="1:20" ht="30" x14ac:dyDescent="0.25">
      <c r="A20" s="382"/>
      <c r="B20" s="280" t="s">
        <v>31</v>
      </c>
      <c r="C20" s="281">
        <v>2</v>
      </c>
      <c r="D20" s="281">
        <f t="shared" si="0"/>
        <v>16</v>
      </c>
      <c r="E20" s="281">
        <v>16</v>
      </c>
      <c r="F20" s="283">
        <f>R22</f>
        <v>3.3125</v>
      </c>
      <c r="G20" s="282">
        <f t="shared" si="1"/>
        <v>26.5</v>
      </c>
      <c r="H20" s="283">
        <f>Q22</f>
        <v>2.5</v>
      </c>
      <c r="I20" s="284">
        <f t="shared" si="2"/>
        <v>20</v>
      </c>
      <c r="J20" s="280" t="s">
        <v>31</v>
      </c>
      <c r="K20" s="281">
        <v>2</v>
      </c>
      <c r="L20" s="281">
        <f t="shared" si="3"/>
        <v>16</v>
      </c>
      <c r="M20" s="281">
        <v>16</v>
      </c>
      <c r="N20" s="283">
        <f>S22</f>
        <v>4.8125</v>
      </c>
      <c r="O20" s="288">
        <f t="shared" si="4"/>
        <v>38.5</v>
      </c>
      <c r="P20" s="296" t="s">
        <v>265</v>
      </c>
      <c r="Q20" s="297">
        <f>SUM(Q12:Q19)</f>
        <v>1200</v>
      </c>
      <c r="R20" s="297">
        <f>SUM(R12:R19)</f>
        <v>1590</v>
      </c>
      <c r="S20" s="395">
        <f>SUM(S12:S19)</f>
        <v>2310</v>
      </c>
      <c r="T20" s="396"/>
    </row>
    <row r="21" spans="1:20" ht="30" x14ac:dyDescent="0.25">
      <c r="A21" s="382"/>
      <c r="B21" s="280" t="s">
        <v>42</v>
      </c>
      <c r="C21" s="281">
        <v>5</v>
      </c>
      <c r="D21" s="281">
        <f t="shared" si="0"/>
        <v>40</v>
      </c>
      <c r="E21" s="281">
        <v>16</v>
      </c>
      <c r="F21" s="283">
        <f>R22</f>
        <v>3.3125</v>
      </c>
      <c r="G21" s="282">
        <f t="shared" si="1"/>
        <v>26.5</v>
      </c>
      <c r="H21" s="283">
        <f>Q22</f>
        <v>2.5</v>
      </c>
      <c r="I21" s="284">
        <f t="shared" si="2"/>
        <v>20</v>
      </c>
      <c r="J21" s="280" t="s">
        <v>42</v>
      </c>
      <c r="K21" s="281">
        <v>5</v>
      </c>
      <c r="L21" s="281">
        <f t="shared" si="3"/>
        <v>40</v>
      </c>
      <c r="M21" s="281">
        <v>16</v>
      </c>
      <c r="N21" s="283">
        <f>S22</f>
        <v>4.8125</v>
      </c>
      <c r="O21" s="288">
        <f t="shared" si="4"/>
        <v>38.5</v>
      </c>
      <c r="P21" s="296" t="s">
        <v>263</v>
      </c>
      <c r="Q21" s="298">
        <f>Q20/60</f>
        <v>20</v>
      </c>
      <c r="R21" s="298">
        <f>R20/60</f>
        <v>26.5</v>
      </c>
      <c r="S21" s="393">
        <f>S20/60</f>
        <v>38.5</v>
      </c>
      <c r="T21" s="394"/>
    </row>
    <row r="22" spans="1:20" ht="30.75" thickBot="1" x14ac:dyDescent="0.3">
      <c r="A22" s="382"/>
      <c r="B22" s="280" t="s">
        <v>42</v>
      </c>
      <c r="C22" s="281">
        <v>5</v>
      </c>
      <c r="D22" s="281">
        <f t="shared" si="0"/>
        <v>40</v>
      </c>
      <c r="E22" s="281">
        <v>16</v>
      </c>
      <c r="F22" s="283">
        <f>R22</f>
        <v>3.3125</v>
      </c>
      <c r="G22" s="282">
        <f t="shared" si="1"/>
        <v>26.5</v>
      </c>
      <c r="H22" s="283">
        <f>Q22</f>
        <v>2.5</v>
      </c>
      <c r="I22" s="284">
        <f t="shared" si="2"/>
        <v>20</v>
      </c>
      <c r="J22" s="280" t="s">
        <v>42</v>
      </c>
      <c r="K22" s="281">
        <v>5</v>
      </c>
      <c r="L22" s="281">
        <f t="shared" si="3"/>
        <v>40</v>
      </c>
      <c r="M22" s="281">
        <v>16</v>
      </c>
      <c r="N22" s="283">
        <f>S22</f>
        <v>4.8125</v>
      </c>
      <c r="O22" s="288">
        <f t="shared" si="4"/>
        <v>38.5</v>
      </c>
      <c r="P22" s="299" t="s">
        <v>264</v>
      </c>
      <c r="Q22" s="300">
        <f>Q21/8</f>
        <v>2.5</v>
      </c>
      <c r="R22" s="300">
        <f>R21/8</f>
        <v>3.3125</v>
      </c>
      <c r="S22" s="391">
        <f>S21/8</f>
        <v>4.8125</v>
      </c>
      <c r="T22" s="392"/>
    </row>
    <row r="23" spans="1:20" x14ac:dyDescent="0.25">
      <c r="A23" s="382"/>
      <c r="B23" s="280" t="s">
        <v>43</v>
      </c>
      <c r="C23" s="281">
        <v>3</v>
      </c>
      <c r="D23" s="281">
        <f t="shared" si="0"/>
        <v>24</v>
      </c>
      <c r="E23" s="281">
        <v>16</v>
      </c>
      <c r="F23" s="283">
        <f>R22</f>
        <v>3.3125</v>
      </c>
      <c r="G23" s="282">
        <f t="shared" si="1"/>
        <v>26.5</v>
      </c>
      <c r="H23" s="283">
        <f>Q22</f>
        <v>2.5</v>
      </c>
      <c r="I23" s="284">
        <f t="shared" si="2"/>
        <v>20</v>
      </c>
      <c r="J23" s="280" t="s">
        <v>43</v>
      </c>
      <c r="K23" s="281">
        <v>3</v>
      </c>
      <c r="L23" s="281">
        <f t="shared" si="3"/>
        <v>24</v>
      </c>
      <c r="M23" s="281">
        <v>16</v>
      </c>
      <c r="N23" s="283">
        <f>S22</f>
        <v>4.8125</v>
      </c>
      <c r="O23" s="288">
        <f t="shared" si="4"/>
        <v>38.5</v>
      </c>
    </row>
    <row r="24" spans="1:20" x14ac:dyDescent="0.25">
      <c r="A24" s="382"/>
      <c r="B24" s="280" t="s">
        <v>43</v>
      </c>
      <c r="C24" s="281">
        <v>3</v>
      </c>
      <c r="D24" s="281">
        <f t="shared" si="0"/>
        <v>24</v>
      </c>
      <c r="E24" s="281">
        <v>16</v>
      </c>
      <c r="F24" s="283">
        <f>R22</f>
        <v>3.3125</v>
      </c>
      <c r="G24" s="282">
        <f t="shared" si="1"/>
        <v>26.5</v>
      </c>
      <c r="H24" s="283">
        <f>Q22</f>
        <v>2.5</v>
      </c>
      <c r="I24" s="284">
        <f t="shared" si="2"/>
        <v>20</v>
      </c>
      <c r="J24" s="280" t="s">
        <v>43</v>
      </c>
      <c r="K24" s="281">
        <v>3</v>
      </c>
      <c r="L24" s="281">
        <f t="shared" si="3"/>
        <v>24</v>
      </c>
      <c r="M24" s="281">
        <v>16</v>
      </c>
      <c r="N24" s="283">
        <f>S22</f>
        <v>4.8125</v>
      </c>
      <c r="O24" s="288">
        <f t="shared" si="4"/>
        <v>38.5</v>
      </c>
    </row>
    <row r="25" spans="1:20" x14ac:dyDescent="0.25">
      <c r="A25" s="382"/>
      <c r="B25" s="280" t="s">
        <v>43</v>
      </c>
      <c r="C25" s="281">
        <v>5</v>
      </c>
      <c r="D25" s="281">
        <f t="shared" si="0"/>
        <v>40</v>
      </c>
      <c r="E25" s="281">
        <v>16</v>
      </c>
      <c r="F25" s="283">
        <f>R22</f>
        <v>3.3125</v>
      </c>
      <c r="G25" s="282">
        <f t="shared" si="1"/>
        <v>26.5</v>
      </c>
      <c r="H25" s="283">
        <f>Q22</f>
        <v>2.5</v>
      </c>
      <c r="I25" s="284">
        <f>H25*8</f>
        <v>20</v>
      </c>
      <c r="J25" s="280" t="s">
        <v>43</v>
      </c>
      <c r="K25" s="281">
        <v>5</v>
      </c>
      <c r="L25" s="281">
        <f t="shared" si="3"/>
        <v>40</v>
      </c>
      <c r="M25" s="281">
        <v>16</v>
      </c>
      <c r="N25" s="283">
        <f>S22</f>
        <v>4.8125</v>
      </c>
      <c r="O25" s="288">
        <f t="shared" si="4"/>
        <v>38.5</v>
      </c>
    </row>
    <row r="26" spans="1:20" ht="32.25" thickBot="1" x14ac:dyDescent="0.3">
      <c r="B26" s="304" t="s">
        <v>44</v>
      </c>
      <c r="C26" s="305">
        <f t="shared" ref="C26:I26" si="5">SUM(C13:C25)</f>
        <v>46</v>
      </c>
      <c r="D26" s="305">
        <f t="shared" si="5"/>
        <v>368</v>
      </c>
      <c r="E26" s="305">
        <f>SUM(E13:E25)</f>
        <v>208</v>
      </c>
      <c r="F26" s="306">
        <f t="shared" si="5"/>
        <v>43.0625</v>
      </c>
      <c r="G26" s="306">
        <f t="shared" si="5"/>
        <v>344.5</v>
      </c>
      <c r="H26" s="307">
        <f t="shared" si="5"/>
        <v>32.5</v>
      </c>
      <c r="I26" s="308">
        <f t="shared" si="5"/>
        <v>260</v>
      </c>
      <c r="J26" s="289" t="s">
        <v>44</v>
      </c>
      <c r="K26" s="290">
        <f>SUM(K13:K25)</f>
        <v>46</v>
      </c>
      <c r="L26" s="290">
        <f>SUM(L13:L25)</f>
        <v>368</v>
      </c>
      <c r="M26" s="290">
        <f>SUM(M13:M25)</f>
        <v>208</v>
      </c>
      <c r="N26" s="291">
        <f>SUM(N13:N25)</f>
        <v>62.5625</v>
      </c>
      <c r="O26" s="292">
        <f>SUM(O13:O25)</f>
        <v>500.5</v>
      </c>
    </row>
    <row r="27" spans="1:20" ht="15.75" x14ac:dyDescent="0.25">
      <c r="B27" s="18"/>
      <c r="C27" s="18"/>
      <c r="D27" s="18"/>
      <c r="E27" s="40"/>
      <c r="F27" s="16"/>
      <c r="G27" s="16"/>
      <c r="J27" s="40"/>
      <c r="K27" s="40"/>
      <c r="L27" s="40"/>
      <c r="M27" s="40"/>
      <c r="N27" s="16"/>
    </row>
    <row r="28" spans="1:20" ht="15.75" x14ac:dyDescent="0.25">
      <c r="A28" s="38"/>
      <c r="B28" s="388" t="s">
        <v>36</v>
      </c>
      <c r="C28" s="388"/>
      <c r="D28" s="388"/>
      <c r="E28" s="388"/>
      <c r="F28" s="388"/>
      <c r="G28" s="388"/>
      <c r="H28" s="388"/>
      <c r="I28" s="388"/>
      <c r="J28" s="386" t="s">
        <v>36</v>
      </c>
      <c r="K28" s="386"/>
      <c r="L28" s="386"/>
      <c r="M28" s="386"/>
      <c r="N28" s="386"/>
      <c r="O28" s="386"/>
    </row>
    <row r="29" spans="1:20" ht="72.75" customHeight="1" x14ac:dyDescent="0.25">
      <c r="A29" s="37" t="s">
        <v>451</v>
      </c>
      <c r="B29" s="309" t="s">
        <v>33</v>
      </c>
      <c r="C29" s="310" t="s">
        <v>32</v>
      </c>
      <c r="D29" s="310" t="s">
        <v>269</v>
      </c>
      <c r="E29" s="302" t="s">
        <v>433</v>
      </c>
      <c r="F29" s="310" t="s">
        <v>273</v>
      </c>
      <c r="G29" s="310" t="s">
        <v>270</v>
      </c>
      <c r="H29" s="310" t="s">
        <v>274</v>
      </c>
      <c r="I29" s="310" t="s">
        <v>271</v>
      </c>
      <c r="J29" s="19" t="s">
        <v>75</v>
      </c>
      <c r="K29" s="19" t="s">
        <v>32</v>
      </c>
      <c r="L29" s="19" t="s">
        <v>269</v>
      </c>
      <c r="M29" s="19" t="s">
        <v>433</v>
      </c>
      <c r="N29" s="19" t="s">
        <v>275</v>
      </c>
      <c r="O29" s="19" t="s">
        <v>272</v>
      </c>
    </row>
    <row r="30" spans="1:20" x14ac:dyDescent="0.25">
      <c r="A30" s="382"/>
      <c r="B30" t="s">
        <v>34</v>
      </c>
      <c r="C30">
        <v>3</v>
      </c>
      <c r="D30">
        <f>C30*8</f>
        <v>24</v>
      </c>
      <c r="E30" s="281">
        <v>16</v>
      </c>
      <c r="F30" s="42">
        <f>R22</f>
        <v>3.3125</v>
      </c>
      <c r="G30">
        <f>F30*8</f>
        <v>26.5</v>
      </c>
      <c r="H30" s="42">
        <f>Q22</f>
        <v>2.5</v>
      </c>
      <c r="I30">
        <f>H30*8</f>
        <v>20</v>
      </c>
      <c r="J30" t="s">
        <v>34</v>
      </c>
      <c r="K30">
        <v>3</v>
      </c>
      <c r="L30" s="42">
        <f>K30*8</f>
        <v>24</v>
      </c>
      <c r="M30">
        <v>16</v>
      </c>
      <c r="N30" s="42">
        <f>S22</f>
        <v>4.8125</v>
      </c>
      <c r="O30">
        <f>N30*8</f>
        <v>38.5</v>
      </c>
    </row>
    <row r="31" spans="1:20" x14ac:dyDescent="0.25">
      <c r="A31" s="382"/>
      <c r="B31" t="s">
        <v>34</v>
      </c>
      <c r="C31">
        <v>3</v>
      </c>
      <c r="D31">
        <f t="shared" ref="D31:D46" si="6">C31*8</f>
        <v>24</v>
      </c>
      <c r="E31" s="281">
        <v>16</v>
      </c>
      <c r="F31" s="42">
        <f>R22</f>
        <v>3.3125</v>
      </c>
      <c r="G31">
        <f t="shared" ref="G31:G46" si="7">F31*8</f>
        <v>26.5</v>
      </c>
      <c r="H31" s="42">
        <f>Q22</f>
        <v>2.5</v>
      </c>
      <c r="I31">
        <f t="shared" ref="I31:I46" si="8">H31*8</f>
        <v>20</v>
      </c>
      <c r="J31" t="s">
        <v>34</v>
      </c>
      <c r="K31">
        <v>3</v>
      </c>
      <c r="L31" s="42">
        <f t="shared" ref="L31:L46" si="9">K31*8</f>
        <v>24</v>
      </c>
      <c r="M31">
        <v>16</v>
      </c>
      <c r="N31" s="42">
        <f>S22</f>
        <v>4.8125</v>
      </c>
      <c r="O31">
        <f t="shared" ref="O31:O46" si="10">N31*8</f>
        <v>38.5</v>
      </c>
    </row>
    <row r="32" spans="1:20" ht="30" x14ac:dyDescent="0.25">
      <c r="A32" s="382"/>
      <c r="B32" s="15" t="s">
        <v>41</v>
      </c>
      <c r="C32">
        <v>5</v>
      </c>
      <c r="D32">
        <f t="shared" si="6"/>
        <v>40</v>
      </c>
      <c r="E32" s="281">
        <v>16</v>
      </c>
      <c r="F32" s="42">
        <f>R22</f>
        <v>3.3125</v>
      </c>
      <c r="G32">
        <f t="shared" si="7"/>
        <v>26.5</v>
      </c>
      <c r="H32" s="42">
        <f>Q22</f>
        <v>2.5</v>
      </c>
      <c r="I32">
        <f t="shared" si="8"/>
        <v>20</v>
      </c>
      <c r="J32" s="15" t="s">
        <v>41</v>
      </c>
      <c r="K32">
        <v>5</v>
      </c>
      <c r="L32" s="42">
        <f t="shared" si="9"/>
        <v>40</v>
      </c>
      <c r="M32">
        <v>16</v>
      </c>
      <c r="N32" s="42">
        <f>S22</f>
        <v>4.8125</v>
      </c>
      <c r="O32">
        <f t="shared" si="10"/>
        <v>38.5</v>
      </c>
    </row>
    <row r="33" spans="1:15" x14ac:dyDescent="0.25">
      <c r="A33" s="382"/>
      <c r="B33" t="s">
        <v>77</v>
      </c>
      <c r="C33">
        <v>5</v>
      </c>
      <c r="D33">
        <f t="shared" si="6"/>
        <v>40</v>
      </c>
      <c r="E33" s="281">
        <v>16</v>
      </c>
      <c r="F33" s="42">
        <f>R22</f>
        <v>3.3125</v>
      </c>
      <c r="G33">
        <f t="shared" si="7"/>
        <v>26.5</v>
      </c>
      <c r="H33" s="42">
        <f>Q22</f>
        <v>2.5</v>
      </c>
      <c r="I33">
        <f t="shared" si="8"/>
        <v>20</v>
      </c>
      <c r="J33" t="s">
        <v>77</v>
      </c>
      <c r="K33">
        <v>5</v>
      </c>
      <c r="L33" s="42">
        <f t="shared" si="9"/>
        <v>40</v>
      </c>
      <c r="M33">
        <v>16</v>
      </c>
      <c r="N33" s="42">
        <f>S22</f>
        <v>4.8125</v>
      </c>
      <c r="O33">
        <f t="shared" si="10"/>
        <v>38.5</v>
      </c>
    </row>
    <row r="34" spans="1:15" x14ac:dyDescent="0.25">
      <c r="A34" s="382"/>
      <c r="B34" t="s">
        <v>452</v>
      </c>
      <c r="C34">
        <v>5</v>
      </c>
      <c r="D34">
        <f t="shared" si="6"/>
        <v>40</v>
      </c>
      <c r="E34" s="281">
        <v>16</v>
      </c>
      <c r="F34" s="42">
        <f>R22</f>
        <v>3.3125</v>
      </c>
      <c r="G34">
        <f t="shared" si="7"/>
        <v>26.5</v>
      </c>
      <c r="H34" s="42">
        <f>Q22</f>
        <v>2.5</v>
      </c>
      <c r="I34">
        <f t="shared" si="8"/>
        <v>20</v>
      </c>
      <c r="J34" t="s">
        <v>452</v>
      </c>
      <c r="K34">
        <v>5</v>
      </c>
      <c r="L34" s="42">
        <f t="shared" si="9"/>
        <v>40</v>
      </c>
      <c r="M34">
        <v>16</v>
      </c>
      <c r="N34" s="42">
        <f>S22</f>
        <v>4.8125</v>
      </c>
      <c r="O34">
        <f t="shared" si="10"/>
        <v>38.5</v>
      </c>
    </row>
    <row r="35" spans="1:15" x14ac:dyDescent="0.25">
      <c r="A35" s="382"/>
      <c r="B35" s="15" t="s">
        <v>40</v>
      </c>
      <c r="C35">
        <v>5</v>
      </c>
      <c r="D35">
        <f t="shared" si="6"/>
        <v>40</v>
      </c>
      <c r="E35" s="281">
        <v>16</v>
      </c>
      <c r="F35" s="42">
        <f>R22</f>
        <v>3.3125</v>
      </c>
      <c r="G35">
        <f t="shared" si="7"/>
        <v>26.5</v>
      </c>
      <c r="H35" s="42">
        <f>Q22</f>
        <v>2.5</v>
      </c>
      <c r="I35">
        <f t="shared" si="8"/>
        <v>20</v>
      </c>
      <c r="J35" s="15" t="s">
        <v>40</v>
      </c>
      <c r="K35">
        <v>5</v>
      </c>
      <c r="L35" s="42">
        <f t="shared" si="9"/>
        <v>40</v>
      </c>
      <c r="M35">
        <v>16</v>
      </c>
      <c r="N35" s="42">
        <f>S22</f>
        <v>4.8125</v>
      </c>
      <c r="O35">
        <f t="shared" si="10"/>
        <v>38.5</v>
      </c>
    </row>
    <row r="36" spans="1:15" ht="30.75" customHeight="1" x14ac:dyDescent="0.25">
      <c r="A36" s="382"/>
      <c r="B36" t="s">
        <v>34</v>
      </c>
      <c r="C36">
        <v>3</v>
      </c>
      <c r="D36">
        <f t="shared" si="6"/>
        <v>24</v>
      </c>
      <c r="E36" s="281">
        <v>16</v>
      </c>
      <c r="F36" s="42">
        <f>R22</f>
        <v>3.3125</v>
      </c>
      <c r="G36">
        <f t="shared" si="7"/>
        <v>26.5</v>
      </c>
      <c r="H36" s="42">
        <f>Q22</f>
        <v>2.5</v>
      </c>
      <c r="I36">
        <f t="shared" si="8"/>
        <v>20</v>
      </c>
      <c r="J36" t="s">
        <v>34</v>
      </c>
      <c r="K36">
        <v>3</v>
      </c>
      <c r="L36" s="42">
        <f t="shared" si="9"/>
        <v>24</v>
      </c>
      <c r="M36">
        <v>16</v>
      </c>
      <c r="N36" s="42">
        <f>S22</f>
        <v>4.8125</v>
      </c>
      <c r="O36">
        <f t="shared" si="10"/>
        <v>38.5</v>
      </c>
    </row>
    <row r="37" spans="1:15" x14ac:dyDescent="0.25">
      <c r="A37" s="382"/>
      <c r="B37" s="15" t="s">
        <v>39</v>
      </c>
      <c r="C37">
        <v>5</v>
      </c>
      <c r="D37">
        <f t="shared" si="6"/>
        <v>40</v>
      </c>
      <c r="E37" s="281">
        <v>16</v>
      </c>
      <c r="F37" s="42">
        <f>R22</f>
        <v>3.3125</v>
      </c>
      <c r="G37">
        <f t="shared" si="7"/>
        <v>26.5</v>
      </c>
      <c r="H37" s="42">
        <f>Q22</f>
        <v>2.5</v>
      </c>
      <c r="I37">
        <f t="shared" si="8"/>
        <v>20</v>
      </c>
      <c r="J37" s="15" t="s">
        <v>39</v>
      </c>
      <c r="K37">
        <v>5</v>
      </c>
      <c r="L37" s="42">
        <f t="shared" si="9"/>
        <v>40</v>
      </c>
      <c r="M37">
        <v>16</v>
      </c>
      <c r="N37" s="42">
        <f>S22</f>
        <v>4.8125</v>
      </c>
      <c r="O37">
        <f t="shared" si="10"/>
        <v>38.5</v>
      </c>
    </row>
    <row r="38" spans="1:15" ht="30" x14ac:dyDescent="0.25">
      <c r="A38" s="382"/>
      <c r="B38" s="15" t="s">
        <v>78</v>
      </c>
      <c r="C38">
        <v>5</v>
      </c>
      <c r="D38">
        <f t="shared" si="6"/>
        <v>40</v>
      </c>
      <c r="E38" s="281">
        <v>16</v>
      </c>
      <c r="F38" s="42">
        <f>R22</f>
        <v>3.3125</v>
      </c>
      <c r="G38">
        <f t="shared" si="7"/>
        <v>26.5</v>
      </c>
      <c r="H38" s="42">
        <f>Q22</f>
        <v>2.5</v>
      </c>
      <c r="I38">
        <f t="shared" si="8"/>
        <v>20</v>
      </c>
      <c r="J38" s="15" t="s">
        <v>78</v>
      </c>
      <c r="K38">
        <v>5</v>
      </c>
      <c r="L38" s="42">
        <f t="shared" si="9"/>
        <v>40</v>
      </c>
      <c r="M38">
        <v>16</v>
      </c>
      <c r="N38" s="42">
        <f>S22</f>
        <v>4.8125</v>
      </c>
      <c r="O38">
        <f t="shared" si="10"/>
        <v>38.5</v>
      </c>
    </row>
    <row r="39" spans="1:15" x14ac:dyDescent="0.25">
      <c r="A39" s="382"/>
      <c r="B39" s="15" t="s">
        <v>37</v>
      </c>
      <c r="C39">
        <v>5</v>
      </c>
      <c r="D39">
        <f t="shared" si="6"/>
        <v>40</v>
      </c>
      <c r="E39" s="281">
        <v>16</v>
      </c>
      <c r="F39" s="42">
        <f>R22</f>
        <v>3.3125</v>
      </c>
      <c r="G39">
        <f t="shared" si="7"/>
        <v>26.5</v>
      </c>
      <c r="H39" s="42">
        <f>Q22</f>
        <v>2.5</v>
      </c>
      <c r="I39">
        <f t="shared" si="8"/>
        <v>20</v>
      </c>
      <c r="J39" s="15" t="s">
        <v>37</v>
      </c>
      <c r="K39">
        <v>5</v>
      </c>
      <c r="L39" s="42">
        <f t="shared" si="9"/>
        <v>40</v>
      </c>
      <c r="M39">
        <v>16</v>
      </c>
      <c r="N39" s="42">
        <f>S22</f>
        <v>4.8125</v>
      </c>
      <c r="O39">
        <f t="shared" si="10"/>
        <v>38.5</v>
      </c>
    </row>
    <row r="40" spans="1:15" ht="30" x14ac:dyDescent="0.25">
      <c r="A40" s="382"/>
      <c r="B40" s="15" t="s">
        <v>41</v>
      </c>
      <c r="C40">
        <v>5</v>
      </c>
      <c r="D40">
        <f t="shared" si="6"/>
        <v>40</v>
      </c>
      <c r="E40" s="281">
        <v>16</v>
      </c>
      <c r="F40" s="42">
        <f>R22</f>
        <v>3.3125</v>
      </c>
      <c r="G40">
        <f t="shared" si="7"/>
        <v>26.5</v>
      </c>
      <c r="H40" s="42">
        <f>Q22</f>
        <v>2.5</v>
      </c>
      <c r="I40">
        <f t="shared" si="8"/>
        <v>20</v>
      </c>
      <c r="J40" s="15" t="s">
        <v>41</v>
      </c>
      <c r="K40">
        <v>5</v>
      </c>
      <c r="L40" s="42">
        <f t="shared" si="9"/>
        <v>40</v>
      </c>
      <c r="M40">
        <v>16</v>
      </c>
      <c r="N40" s="42">
        <f>S22</f>
        <v>4.8125</v>
      </c>
      <c r="O40">
        <f t="shared" si="10"/>
        <v>38.5</v>
      </c>
    </row>
    <row r="41" spans="1:15" ht="15.75" customHeight="1" x14ac:dyDescent="0.25">
      <c r="A41" s="382"/>
      <c r="B41" s="15" t="s">
        <v>34</v>
      </c>
      <c r="C41">
        <v>3</v>
      </c>
      <c r="D41">
        <f t="shared" si="6"/>
        <v>24</v>
      </c>
      <c r="E41" s="281">
        <v>16</v>
      </c>
      <c r="F41" s="42">
        <f>R22</f>
        <v>3.3125</v>
      </c>
      <c r="G41">
        <f t="shared" si="7"/>
        <v>26.5</v>
      </c>
      <c r="H41" s="42">
        <f>Q22</f>
        <v>2.5</v>
      </c>
      <c r="I41">
        <f t="shared" si="8"/>
        <v>20</v>
      </c>
      <c r="J41" s="15" t="s">
        <v>34</v>
      </c>
      <c r="K41">
        <v>3</v>
      </c>
      <c r="L41" s="42">
        <f t="shared" si="9"/>
        <v>24</v>
      </c>
      <c r="M41">
        <v>16</v>
      </c>
      <c r="N41" s="42">
        <f>S22</f>
        <v>4.8125</v>
      </c>
      <c r="O41">
        <f t="shared" si="10"/>
        <v>38.5</v>
      </c>
    </row>
    <row r="42" spans="1:15" ht="15" customHeight="1" x14ac:dyDescent="0.25">
      <c r="A42" s="382"/>
      <c r="B42" s="15" t="s">
        <v>452</v>
      </c>
      <c r="C42">
        <v>5</v>
      </c>
      <c r="D42">
        <f t="shared" si="6"/>
        <v>40</v>
      </c>
      <c r="E42" s="281">
        <v>16</v>
      </c>
      <c r="F42" s="42">
        <f>R22</f>
        <v>3.3125</v>
      </c>
      <c r="G42">
        <f t="shared" si="7"/>
        <v>26.5</v>
      </c>
      <c r="H42" s="42">
        <f>Q22</f>
        <v>2.5</v>
      </c>
      <c r="I42">
        <f t="shared" si="8"/>
        <v>20</v>
      </c>
      <c r="J42" s="15" t="s">
        <v>452</v>
      </c>
      <c r="K42">
        <v>5</v>
      </c>
      <c r="L42" s="42">
        <f t="shared" si="9"/>
        <v>40</v>
      </c>
      <c r="M42">
        <v>16</v>
      </c>
      <c r="N42" s="42">
        <f>S22</f>
        <v>4.8125</v>
      </c>
      <c r="O42">
        <f t="shared" si="10"/>
        <v>38.5</v>
      </c>
    </row>
    <row r="43" spans="1:15" ht="12.75" customHeight="1" x14ac:dyDescent="0.25">
      <c r="A43" s="382"/>
      <c r="B43" s="15" t="s">
        <v>38</v>
      </c>
      <c r="C43">
        <v>10</v>
      </c>
      <c r="D43">
        <f t="shared" si="6"/>
        <v>80</v>
      </c>
      <c r="E43" s="281">
        <v>16</v>
      </c>
      <c r="F43" s="42">
        <f>R22</f>
        <v>3.3125</v>
      </c>
      <c r="G43">
        <f t="shared" si="7"/>
        <v>26.5</v>
      </c>
      <c r="H43" s="42">
        <f>Q22</f>
        <v>2.5</v>
      </c>
      <c r="I43">
        <f t="shared" si="8"/>
        <v>20</v>
      </c>
      <c r="J43" s="15" t="s">
        <v>38</v>
      </c>
      <c r="K43">
        <v>10</v>
      </c>
      <c r="L43" s="42">
        <f t="shared" si="9"/>
        <v>80</v>
      </c>
      <c r="M43">
        <v>16</v>
      </c>
      <c r="N43" s="42">
        <f>S22</f>
        <v>4.8125</v>
      </c>
      <c r="O43">
        <f t="shared" si="10"/>
        <v>38.5</v>
      </c>
    </row>
    <row r="44" spans="1:15" ht="15" customHeight="1" x14ac:dyDescent="0.25">
      <c r="A44" s="382"/>
      <c r="B44" s="15" t="s">
        <v>34</v>
      </c>
      <c r="C44">
        <v>3</v>
      </c>
      <c r="D44">
        <f t="shared" si="6"/>
        <v>24</v>
      </c>
      <c r="E44" s="281">
        <v>16</v>
      </c>
      <c r="F44" s="42">
        <f>R22</f>
        <v>3.3125</v>
      </c>
      <c r="G44">
        <f t="shared" si="7"/>
        <v>26.5</v>
      </c>
      <c r="H44" s="42">
        <f>Q22</f>
        <v>2.5</v>
      </c>
      <c r="I44">
        <f t="shared" si="8"/>
        <v>20</v>
      </c>
      <c r="J44" s="15" t="s">
        <v>34</v>
      </c>
      <c r="K44">
        <v>3</v>
      </c>
      <c r="L44" s="42">
        <f t="shared" si="9"/>
        <v>24</v>
      </c>
      <c r="M44">
        <v>16</v>
      </c>
      <c r="N44" s="42">
        <f>S22</f>
        <v>4.8125</v>
      </c>
      <c r="O44">
        <f t="shared" si="10"/>
        <v>38.5</v>
      </c>
    </row>
    <row r="45" spans="1:15" x14ac:dyDescent="0.25">
      <c r="A45" s="382"/>
      <c r="B45" s="15" t="s">
        <v>103</v>
      </c>
      <c r="C45">
        <v>10</v>
      </c>
      <c r="D45">
        <f t="shared" si="6"/>
        <v>80</v>
      </c>
      <c r="E45" s="281">
        <v>16</v>
      </c>
      <c r="F45" s="42">
        <f>R22</f>
        <v>3.3125</v>
      </c>
      <c r="G45">
        <f t="shared" si="7"/>
        <v>26.5</v>
      </c>
      <c r="H45" s="42">
        <f>Q22</f>
        <v>2.5</v>
      </c>
      <c r="I45">
        <f t="shared" si="8"/>
        <v>20</v>
      </c>
      <c r="J45" s="15" t="s">
        <v>103</v>
      </c>
      <c r="K45">
        <v>10</v>
      </c>
      <c r="L45" s="42">
        <f t="shared" si="9"/>
        <v>80</v>
      </c>
      <c r="M45">
        <v>16</v>
      </c>
      <c r="N45" s="42">
        <f>S22</f>
        <v>4.8125</v>
      </c>
      <c r="O45">
        <f t="shared" si="10"/>
        <v>38.5</v>
      </c>
    </row>
    <row r="46" spans="1:15" x14ac:dyDescent="0.25">
      <c r="A46" s="382"/>
      <c r="B46" s="15" t="s">
        <v>43</v>
      </c>
      <c r="C46">
        <v>5</v>
      </c>
      <c r="D46">
        <f t="shared" si="6"/>
        <v>40</v>
      </c>
      <c r="E46" s="281">
        <v>16</v>
      </c>
      <c r="F46" s="42">
        <f>R22</f>
        <v>3.3125</v>
      </c>
      <c r="G46">
        <f t="shared" si="7"/>
        <v>26.5</v>
      </c>
      <c r="H46" s="42">
        <f>Q22</f>
        <v>2.5</v>
      </c>
      <c r="I46">
        <f t="shared" si="8"/>
        <v>20</v>
      </c>
      <c r="J46" s="15" t="s">
        <v>43</v>
      </c>
      <c r="K46">
        <v>5</v>
      </c>
      <c r="L46" s="42">
        <f t="shared" si="9"/>
        <v>40</v>
      </c>
      <c r="M46">
        <v>16</v>
      </c>
      <c r="N46" s="42">
        <f>S22</f>
        <v>4.8125</v>
      </c>
      <c r="O46">
        <f t="shared" si="10"/>
        <v>38.5</v>
      </c>
    </row>
    <row r="47" spans="1:15" ht="31.5" x14ac:dyDescent="0.25">
      <c r="B47" s="311" t="s">
        <v>44</v>
      </c>
      <c r="C47" s="311">
        <f t="shared" ref="C47:I47" si="11">SUM(C30:C46)</f>
        <v>85</v>
      </c>
      <c r="D47" s="311">
        <f t="shared" si="11"/>
        <v>680</v>
      </c>
      <c r="E47" s="311">
        <f>SUM(E30:E46)</f>
        <v>272</v>
      </c>
      <c r="F47" s="312">
        <f t="shared" si="11"/>
        <v>56.3125</v>
      </c>
      <c r="G47" s="312">
        <f t="shared" si="11"/>
        <v>450.5</v>
      </c>
      <c r="H47" s="313">
        <f t="shared" si="11"/>
        <v>42.5</v>
      </c>
      <c r="I47" s="309">
        <f t="shared" si="11"/>
        <v>340</v>
      </c>
      <c r="J47" s="157" t="s">
        <v>44</v>
      </c>
      <c r="K47" s="156">
        <f>SUM(K30:K46)</f>
        <v>85</v>
      </c>
      <c r="L47" s="156">
        <f>SUM(L30:L46)</f>
        <v>680</v>
      </c>
      <c r="M47" s="156">
        <f>SUM(M30:M46)</f>
        <v>272</v>
      </c>
      <c r="N47" s="158">
        <f>SUM(N30:N46)</f>
        <v>81.8125</v>
      </c>
      <c r="O47" s="158">
        <f>SUM(O30:O46)</f>
        <v>654.5</v>
      </c>
    </row>
    <row r="48" spans="1:15" s="9" customFormat="1" ht="15.75" x14ac:dyDescent="0.25">
      <c r="B48" s="49"/>
      <c r="C48" s="49"/>
      <c r="D48" s="49"/>
      <c r="E48" s="49"/>
      <c r="F48" s="50"/>
      <c r="G48" s="50"/>
      <c r="J48" s="49"/>
      <c r="K48" s="49"/>
      <c r="L48" s="49"/>
      <c r="M48" s="49"/>
      <c r="N48" s="50"/>
      <c r="O48" s="50"/>
    </row>
    <row r="49" spans="2:15" ht="15.75" x14ac:dyDescent="0.25">
      <c r="B49" s="18"/>
      <c r="C49" s="18"/>
      <c r="D49" s="18"/>
      <c r="E49" s="40"/>
      <c r="F49" s="16"/>
      <c r="G49" s="16"/>
    </row>
    <row r="50" spans="2:15" ht="15.6" hidden="1" customHeight="1" x14ac:dyDescent="0.25">
      <c r="B50" s="384" t="s">
        <v>109</v>
      </c>
      <c r="C50" s="384"/>
      <c r="D50" s="384"/>
      <c r="E50" s="384"/>
      <c r="F50" s="384"/>
      <c r="G50" s="384"/>
      <c r="H50" s="384"/>
      <c r="I50" s="387"/>
      <c r="J50" s="385" t="s">
        <v>386</v>
      </c>
      <c r="K50" s="385"/>
      <c r="L50" s="385"/>
      <c r="M50" s="385"/>
      <c r="N50" s="385"/>
      <c r="O50" s="385"/>
    </row>
    <row r="51" spans="2:15" ht="15.6" hidden="1" customHeight="1" x14ac:dyDescent="0.25">
      <c r="B51" s="384"/>
      <c r="C51" s="384"/>
      <c r="D51" s="384"/>
      <c r="E51" s="384"/>
      <c r="F51" s="384"/>
      <c r="G51" s="384"/>
      <c r="H51" s="384"/>
      <c r="I51" s="387"/>
      <c r="J51" s="385"/>
      <c r="K51" s="385"/>
      <c r="L51" s="385"/>
      <c r="M51" s="385"/>
      <c r="N51" s="385"/>
      <c r="O51" s="385"/>
    </row>
    <row r="52" spans="2:15" ht="97.15" hidden="1" customHeight="1" x14ac:dyDescent="0.25">
      <c r="B52" s="384"/>
      <c r="C52" s="384"/>
      <c r="D52" s="384"/>
      <c r="E52" s="384"/>
      <c r="F52" s="384"/>
      <c r="G52" s="384"/>
      <c r="H52" s="384"/>
      <c r="I52" s="387"/>
      <c r="J52" s="385"/>
      <c r="K52" s="385"/>
      <c r="L52" s="385"/>
      <c r="M52" s="385"/>
      <c r="N52" s="385"/>
      <c r="O52" s="385"/>
    </row>
    <row r="53" spans="2:15" s="9" customFormat="1" x14ac:dyDescent="0.25">
      <c r="D53" s="383"/>
      <c r="E53" s="383"/>
      <c r="F53" s="383"/>
      <c r="G53" s="383"/>
      <c r="H53" s="383"/>
      <c r="I53" s="383"/>
      <c r="J53" s="383"/>
      <c r="K53" s="383"/>
      <c r="L53" s="383"/>
      <c r="M53" s="383"/>
      <c r="N53" s="383"/>
      <c r="O53" s="383"/>
    </row>
    <row r="54" spans="2:15" ht="30" x14ac:dyDescent="0.25">
      <c r="B54" s="21" t="s">
        <v>45</v>
      </c>
      <c r="C54" s="21" t="s">
        <v>45</v>
      </c>
      <c r="D54" s="21" t="s">
        <v>64</v>
      </c>
      <c r="E54" s="21"/>
      <c r="F54" s="24" t="s">
        <v>436</v>
      </c>
      <c r="G54" s="24" t="s">
        <v>437</v>
      </c>
      <c r="H54" s="24" t="s">
        <v>438</v>
      </c>
      <c r="I54" s="24" t="s">
        <v>439</v>
      </c>
      <c r="J54" s="24" t="s">
        <v>440</v>
      </c>
      <c r="K54" s="24" t="s">
        <v>441</v>
      </c>
    </row>
    <row r="55" spans="2:15" x14ac:dyDescent="0.25">
      <c r="B55" t="s">
        <v>106</v>
      </c>
      <c r="C55">
        <v>252</v>
      </c>
      <c r="D55">
        <v>250</v>
      </c>
      <c r="E55" s="22"/>
      <c r="F55">
        <f>C55*8*5</f>
        <v>10080</v>
      </c>
      <c r="G55">
        <f>D55*8*5</f>
        <v>10000</v>
      </c>
      <c r="H55">
        <f>C55*8</f>
        <v>2016</v>
      </c>
      <c r="I55">
        <f>D55*8</f>
        <v>2000</v>
      </c>
      <c r="J55">
        <f>C55*8</f>
        <v>2016</v>
      </c>
      <c r="K55">
        <f>D55*8</f>
        <v>2000</v>
      </c>
    </row>
    <row r="56" spans="2:15" x14ac:dyDescent="0.25">
      <c r="B56" t="s">
        <v>105</v>
      </c>
      <c r="C56">
        <v>104</v>
      </c>
      <c r="D56">
        <v>104</v>
      </c>
      <c r="E56" s="22"/>
    </row>
    <row r="57" spans="2:15" x14ac:dyDescent="0.25">
      <c r="B57" t="s">
        <v>104</v>
      </c>
      <c r="C57">
        <v>12</v>
      </c>
      <c r="D57">
        <v>12</v>
      </c>
      <c r="E57" s="22"/>
      <c r="F57" s="22"/>
      <c r="G57" s="22"/>
      <c r="H57" s="22"/>
      <c r="I57" s="22"/>
      <c r="J57" s="22"/>
      <c r="K57" s="22"/>
    </row>
    <row r="58" spans="2:15" x14ac:dyDescent="0.25">
      <c r="E58" s="22"/>
      <c r="F58" s="22"/>
      <c r="G58" s="22"/>
      <c r="H58" s="22"/>
      <c r="I58" s="22"/>
      <c r="J58" s="22"/>
      <c r="K58" s="22"/>
    </row>
    <row r="59" spans="2:15" x14ac:dyDescent="0.25">
      <c r="B59" t="s">
        <v>107</v>
      </c>
      <c r="C59" s="25"/>
      <c r="D59" s="25"/>
      <c r="E59" s="25"/>
      <c r="F59" s="23">
        <f>F55-(D26+D47)</f>
        <v>9032</v>
      </c>
      <c r="G59" s="161">
        <f>G55-(D26+D47)</f>
        <v>8952</v>
      </c>
      <c r="H59" s="161">
        <f>H55-(G47+G26)</f>
        <v>1221</v>
      </c>
      <c r="I59" s="161">
        <f>I55-(G47+G26)</f>
        <v>1205</v>
      </c>
      <c r="J59" s="161">
        <f>J55-(I47+I26)</f>
        <v>1416</v>
      </c>
      <c r="K59" s="161">
        <f>K55-(I47+I26)</f>
        <v>1400</v>
      </c>
    </row>
    <row r="60" spans="2:15" x14ac:dyDescent="0.25">
      <c r="B60" t="s">
        <v>108</v>
      </c>
      <c r="C60" s="23"/>
      <c r="D60" s="23"/>
      <c r="E60" s="23"/>
      <c r="F60" s="23">
        <f>F55-(L47+L26)</f>
        <v>9032</v>
      </c>
      <c r="G60" s="161">
        <f>G55-(L26+L47)</f>
        <v>8952</v>
      </c>
      <c r="H60" s="161">
        <v>0</v>
      </c>
      <c r="I60" s="23">
        <v>0</v>
      </c>
      <c r="J60" s="161">
        <f>J55-(O47+O26)</f>
        <v>861</v>
      </c>
      <c r="K60" s="161">
        <f>K55-(O47+O26)</f>
        <v>845</v>
      </c>
    </row>
    <row r="61" spans="2:15" x14ac:dyDescent="0.25">
      <c r="E61" s="22"/>
    </row>
    <row r="62" spans="2:15" x14ac:dyDescent="0.25">
      <c r="E62" s="22"/>
    </row>
    <row r="63" spans="2:15" ht="30" x14ac:dyDescent="0.25">
      <c r="B63" s="24" t="s">
        <v>453</v>
      </c>
      <c r="C63" s="24" t="s">
        <v>66</v>
      </c>
      <c r="D63" s="24" t="s">
        <v>454</v>
      </c>
      <c r="E63" s="24" t="s">
        <v>66</v>
      </c>
      <c r="F63" s="24"/>
      <c r="G63" s="24"/>
      <c r="H63" s="9"/>
      <c r="I63" s="9"/>
      <c r="J63" s="9"/>
    </row>
    <row r="64" spans="2:15" x14ac:dyDescent="0.25">
      <c r="B64" t="s">
        <v>68</v>
      </c>
      <c r="C64">
        <v>12</v>
      </c>
      <c r="D64" s="3" t="s">
        <v>67</v>
      </c>
      <c r="E64">
        <v>12</v>
      </c>
    </row>
    <row r="65" spans="1:10" x14ac:dyDescent="0.25">
      <c r="B65" t="s">
        <v>65</v>
      </c>
      <c r="C65">
        <v>20</v>
      </c>
      <c r="D65" s="3" t="s">
        <v>71</v>
      </c>
      <c r="E65">
        <v>12</v>
      </c>
    </row>
    <row r="66" spans="1:10" x14ac:dyDescent="0.25">
      <c r="B66" t="s">
        <v>69</v>
      </c>
      <c r="C66">
        <v>12</v>
      </c>
      <c r="D66" s="3" t="s">
        <v>72</v>
      </c>
      <c r="E66">
        <v>12</v>
      </c>
    </row>
    <row r="67" spans="1:10" x14ac:dyDescent="0.25">
      <c r="B67" t="s">
        <v>70</v>
      </c>
      <c r="C67">
        <v>20</v>
      </c>
      <c r="D67" s="3" t="s">
        <v>73</v>
      </c>
      <c r="E67">
        <v>12</v>
      </c>
    </row>
    <row r="68" spans="1:10" x14ac:dyDescent="0.25">
      <c r="C68">
        <f>SUM(C64:C67)</f>
        <v>64</v>
      </c>
      <c r="E68">
        <f>SUM(E64:E67)</f>
        <v>48</v>
      </c>
    </row>
    <row r="69" spans="1:10" ht="30" x14ac:dyDescent="0.25">
      <c r="B69" s="24" t="s">
        <v>456</v>
      </c>
      <c r="C69" s="21" t="s">
        <v>74</v>
      </c>
      <c r="D69" s="24" t="s">
        <v>455</v>
      </c>
      <c r="E69" s="21" t="s">
        <v>74</v>
      </c>
      <c r="F69" s="21"/>
      <c r="G69" s="21"/>
      <c r="H69" s="9"/>
      <c r="I69" s="9"/>
      <c r="J69" s="9"/>
    </row>
    <row r="70" spans="1:10" x14ac:dyDescent="0.25">
      <c r="B70" s="3" t="s">
        <v>67</v>
      </c>
      <c r="C70">
        <v>5</v>
      </c>
      <c r="D70" s="3" t="s">
        <v>67</v>
      </c>
      <c r="E70">
        <v>5</v>
      </c>
    </row>
    <row r="71" spans="1:10" x14ac:dyDescent="0.25">
      <c r="B71" s="3" t="s">
        <v>71</v>
      </c>
      <c r="C71">
        <v>5</v>
      </c>
      <c r="D71" s="3" t="s">
        <v>71</v>
      </c>
      <c r="E71">
        <v>5</v>
      </c>
    </row>
    <row r="72" spans="1:10" x14ac:dyDescent="0.25">
      <c r="B72" s="3" t="s">
        <v>72</v>
      </c>
      <c r="C72">
        <v>5</v>
      </c>
      <c r="D72" s="3" t="s">
        <v>72</v>
      </c>
      <c r="E72">
        <v>5</v>
      </c>
    </row>
    <row r="73" spans="1:10" x14ac:dyDescent="0.25">
      <c r="B73" s="3" t="s">
        <v>73</v>
      </c>
      <c r="C73">
        <v>5</v>
      </c>
      <c r="D73" s="3" t="s">
        <v>73</v>
      </c>
      <c r="E73">
        <v>5</v>
      </c>
    </row>
    <row r="74" spans="1:10" x14ac:dyDescent="0.25">
      <c r="B74" s="45"/>
      <c r="C74" s="45">
        <f>SUM(C70:C73)</f>
        <v>20</v>
      </c>
      <c r="D74" s="45"/>
      <c r="E74" s="45">
        <f>SUM(E70:E73)</f>
        <v>20</v>
      </c>
      <c r="F74" s="45"/>
      <c r="G74" s="45"/>
    </row>
    <row r="76" spans="1:10" x14ac:dyDescent="0.25">
      <c r="B76" s="15"/>
    </row>
    <row r="77" spans="1:10" ht="45" x14ac:dyDescent="0.25">
      <c r="A77" t="s">
        <v>45</v>
      </c>
      <c r="B77" s="4" t="s">
        <v>110</v>
      </c>
      <c r="C77" s="46" t="s">
        <v>277</v>
      </c>
      <c r="D77" s="46" t="s">
        <v>278</v>
      </c>
      <c r="E77" s="46" t="s">
        <v>279</v>
      </c>
      <c r="F77" s="46" t="s">
        <v>280</v>
      </c>
      <c r="G77" s="46" t="s">
        <v>281</v>
      </c>
      <c r="H77" s="46"/>
      <c r="I77" s="46"/>
    </row>
    <row r="78" spans="1:10" x14ac:dyDescent="0.25">
      <c r="B78" s="3" t="s">
        <v>111</v>
      </c>
      <c r="C78">
        <f>F55</f>
        <v>10080</v>
      </c>
      <c r="D78">
        <f>H55</f>
        <v>2016</v>
      </c>
      <c r="E78">
        <f>J55</f>
        <v>2016</v>
      </c>
      <c r="F78">
        <f>F55</f>
        <v>10080</v>
      </c>
      <c r="G78">
        <f>J55</f>
        <v>2016</v>
      </c>
    </row>
    <row r="79" spans="1:10" x14ac:dyDescent="0.25">
      <c r="B79" s="3" t="s">
        <v>383</v>
      </c>
      <c r="C79">
        <f>D26+E26+E47+D47</f>
        <v>1528</v>
      </c>
      <c r="D79" s="42">
        <f>G26+G47</f>
        <v>795</v>
      </c>
      <c r="E79" s="42">
        <f>I26+I47</f>
        <v>600</v>
      </c>
      <c r="F79" s="42">
        <f>L26+M26+L47+M47</f>
        <v>1528</v>
      </c>
      <c r="G79" s="42">
        <f>O26+O47</f>
        <v>1155</v>
      </c>
      <c r="H79" s="42"/>
    </row>
    <row r="80" spans="1:10" x14ac:dyDescent="0.25">
      <c r="B80" s="3" t="s">
        <v>457</v>
      </c>
      <c r="C80">
        <f>C68+C74</f>
        <v>84</v>
      </c>
      <c r="D80">
        <f>C68+C74</f>
        <v>84</v>
      </c>
      <c r="E80">
        <f>C68+C74</f>
        <v>84</v>
      </c>
      <c r="F80">
        <f>C68+C74</f>
        <v>84</v>
      </c>
      <c r="G80">
        <f>C68+C74</f>
        <v>84</v>
      </c>
    </row>
    <row r="81" spans="1:9" x14ac:dyDescent="0.25">
      <c r="B81" s="3" t="s">
        <v>113</v>
      </c>
      <c r="C81">
        <f>E68+E74</f>
        <v>68</v>
      </c>
      <c r="D81">
        <f>E68+E74</f>
        <v>68</v>
      </c>
      <c r="E81">
        <f>E68+E74</f>
        <v>68</v>
      </c>
      <c r="F81">
        <f>E68+E74</f>
        <v>68</v>
      </c>
      <c r="G81">
        <f>E68+E74</f>
        <v>68</v>
      </c>
    </row>
    <row r="82" spans="1:9" ht="30" x14ac:dyDescent="0.25">
      <c r="B82" s="66" t="s">
        <v>282</v>
      </c>
      <c r="C82" s="8">
        <f>C78-SUM(C79:C81)</f>
        <v>8400</v>
      </c>
      <c r="D82" s="164">
        <f>D78-SUM(D79:D81)</f>
        <v>1069</v>
      </c>
      <c r="E82" s="164">
        <f>E78-SUM(E79:E81)</f>
        <v>1264</v>
      </c>
      <c r="F82" s="8">
        <f>F78-SUM(F79:F81)</f>
        <v>8400</v>
      </c>
      <c r="G82" s="164">
        <f>G78-SUM(G79:G81)</f>
        <v>709</v>
      </c>
      <c r="H82" s="164"/>
      <c r="I82" s="8"/>
    </row>
    <row r="83" spans="1:9" ht="30" x14ac:dyDescent="0.25">
      <c r="B83" s="111" t="s">
        <v>458</v>
      </c>
      <c r="C83" s="67">
        <f>C79/5</f>
        <v>305.60000000000002</v>
      </c>
      <c r="D83" s="67">
        <f>D79</f>
        <v>795</v>
      </c>
      <c r="E83" s="67">
        <f>E79</f>
        <v>600</v>
      </c>
      <c r="F83" s="67">
        <f>F79/5</f>
        <v>305.60000000000002</v>
      </c>
      <c r="G83" s="67">
        <f>G79</f>
        <v>1155</v>
      </c>
      <c r="H83" s="67"/>
      <c r="I83" s="67"/>
    </row>
    <row r="84" spans="1:9" ht="30" x14ac:dyDescent="0.25">
      <c r="B84" s="316" t="s">
        <v>471</v>
      </c>
      <c r="C84" s="314">
        <f>C83/8</f>
        <v>38.200000000000003</v>
      </c>
      <c r="D84" s="314">
        <f>D83/8</f>
        <v>99.375</v>
      </c>
      <c r="E84" s="134"/>
      <c r="F84" s="314">
        <f>F83/8</f>
        <v>38.200000000000003</v>
      </c>
      <c r="G84" s="314">
        <f>G83/8</f>
        <v>144.375</v>
      </c>
      <c r="H84" s="314"/>
      <c r="I84" s="134"/>
    </row>
    <row r="86" spans="1:9" ht="45" x14ac:dyDescent="0.25">
      <c r="A86" t="s">
        <v>64</v>
      </c>
      <c r="B86" s="4" t="s">
        <v>110</v>
      </c>
      <c r="C86" s="46" t="s">
        <v>277</v>
      </c>
      <c r="D86" s="46" t="s">
        <v>278</v>
      </c>
      <c r="E86" s="46"/>
      <c r="F86" s="46" t="s">
        <v>279</v>
      </c>
      <c r="G86" s="46" t="s">
        <v>280</v>
      </c>
      <c r="H86" s="46" t="s">
        <v>281</v>
      </c>
      <c r="I86" s="46"/>
    </row>
    <row r="87" spans="1:9" x14ac:dyDescent="0.25">
      <c r="B87" s="3" t="s">
        <v>111</v>
      </c>
      <c r="C87">
        <f>G55</f>
        <v>10000</v>
      </c>
      <c r="D87">
        <f>I55</f>
        <v>2000</v>
      </c>
      <c r="F87">
        <f>K55</f>
        <v>2000</v>
      </c>
      <c r="G87">
        <f>G55</f>
        <v>10000</v>
      </c>
      <c r="H87">
        <f>K55</f>
        <v>2000</v>
      </c>
    </row>
    <row r="88" spans="1:9" x14ac:dyDescent="0.25">
      <c r="B88" s="3" t="s">
        <v>112</v>
      </c>
      <c r="C88">
        <f>D26+D47</f>
        <v>1048</v>
      </c>
      <c r="D88" s="42">
        <f>G26+G47</f>
        <v>795</v>
      </c>
      <c r="E88" s="42"/>
      <c r="F88" s="42">
        <f>I26+I47</f>
        <v>600</v>
      </c>
      <c r="G88">
        <f>L26+L47</f>
        <v>1048</v>
      </c>
      <c r="H88" s="42">
        <f>O26+O47</f>
        <v>1155</v>
      </c>
    </row>
    <row r="89" spans="1:9" x14ac:dyDescent="0.25">
      <c r="B89" s="3" t="s">
        <v>457</v>
      </c>
      <c r="C89">
        <f>C68+C74</f>
        <v>84</v>
      </c>
      <c r="D89">
        <f>C68+C74</f>
        <v>84</v>
      </c>
      <c r="F89">
        <f>C68+C74</f>
        <v>84</v>
      </c>
      <c r="G89">
        <f>C68+C74</f>
        <v>84</v>
      </c>
      <c r="H89">
        <f>C68+C74</f>
        <v>84</v>
      </c>
    </row>
    <row r="90" spans="1:9" x14ac:dyDescent="0.25">
      <c r="B90" s="3" t="s">
        <v>113</v>
      </c>
      <c r="C90">
        <f>F68+F74</f>
        <v>0</v>
      </c>
      <c r="D90">
        <f>F68+F74</f>
        <v>0</v>
      </c>
      <c r="F90">
        <f>F68+F74</f>
        <v>0</v>
      </c>
      <c r="G90">
        <f>F68+F74</f>
        <v>0</v>
      </c>
      <c r="H90">
        <f>F68+F74</f>
        <v>0</v>
      </c>
    </row>
    <row r="91" spans="1:9" ht="30" x14ac:dyDescent="0.25">
      <c r="B91" s="66" t="s">
        <v>282</v>
      </c>
      <c r="C91" s="8">
        <f>C87-SUM(C88:C90)</f>
        <v>8868</v>
      </c>
      <c r="D91" s="164">
        <f>D87-SUM(D88:D90)</f>
        <v>1121</v>
      </c>
      <c r="E91" s="164"/>
      <c r="F91" s="8">
        <f>F87-SUM(F88:F90)</f>
        <v>1316</v>
      </c>
      <c r="G91" s="8">
        <f>G87-SUM(G88:G90)</f>
        <v>8868</v>
      </c>
      <c r="H91" s="164">
        <f>H87-SUM(H88:H90)</f>
        <v>761</v>
      </c>
      <c r="I91" s="8"/>
    </row>
    <row r="92" spans="1:9" ht="30" x14ac:dyDescent="0.25">
      <c r="B92" s="111" t="s">
        <v>143</v>
      </c>
      <c r="C92" s="67">
        <f>C88/5</f>
        <v>209.6</v>
      </c>
      <c r="D92" s="67">
        <f>D88</f>
        <v>795</v>
      </c>
      <c r="E92" s="67"/>
      <c r="F92" s="67">
        <f>F88</f>
        <v>600</v>
      </c>
      <c r="G92" s="67">
        <f>G88/5</f>
        <v>209.6</v>
      </c>
      <c r="H92" s="67">
        <f>H88</f>
        <v>1155</v>
      </c>
      <c r="I92" s="67"/>
    </row>
    <row r="93" spans="1:9" ht="30" x14ac:dyDescent="0.25">
      <c r="B93" s="165" t="s">
        <v>283</v>
      </c>
      <c r="C93" s="160">
        <f>C92/8</f>
        <v>26.2</v>
      </c>
      <c r="D93" s="162">
        <f>D92/8</f>
        <v>99.375</v>
      </c>
      <c r="E93" s="162"/>
      <c r="F93" s="160">
        <f>F92/8</f>
        <v>75</v>
      </c>
      <c r="G93" s="160">
        <f>G92/8</f>
        <v>26.2</v>
      </c>
      <c r="H93" s="162">
        <f>H92/8</f>
        <v>144.375</v>
      </c>
      <c r="I93" s="160"/>
    </row>
  </sheetData>
  <mergeCells count="31">
    <mergeCell ref="A14:A25"/>
    <mergeCell ref="A30:A46"/>
    <mergeCell ref="S11:T11"/>
    <mergeCell ref="S22:T22"/>
    <mergeCell ref="S21:T21"/>
    <mergeCell ref="S20:T20"/>
    <mergeCell ref="S19:T19"/>
    <mergeCell ref="S18:T18"/>
    <mergeCell ref="S17:T17"/>
    <mergeCell ref="S16:T16"/>
    <mergeCell ref="S15:T15"/>
    <mergeCell ref="S14:T14"/>
    <mergeCell ref="S13:T13"/>
    <mergeCell ref="S12:T12"/>
    <mergeCell ref="P10:P11"/>
    <mergeCell ref="B10:I11"/>
    <mergeCell ref="D53:O53"/>
    <mergeCell ref="B50:H52"/>
    <mergeCell ref="J50:O52"/>
    <mergeCell ref="J28:O28"/>
    <mergeCell ref="I50:I52"/>
    <mergeCell ref="B28:I28"/>
    <mergeCell ref="B3:H3"/>
    <mergeCell ref="B6:B7"/>
    <mergeCell ref="Q10:R10"/>
    <mergeCell ref="S10:T10"/>
    <mergeCell ref="J9:O9"/>
    <mergeCell ref="J10:O11"/>
    <mergeCell ref="P9:T9"/>
    <mergeCell ref="B9:I9"/>
    <mergeCell ref="C6:C7"/>
  </mergeCells>
  <pageMargins left="0.23622047244094491" right="0.23622047244094491" top="0.74803149606299213" bottom="0.74803149606299213" header="0.31496062992125984" footer="0.31496062992125984"/>
  <pageSetup paperSize="9"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2060"/>
  </sheetPr>
  <dimension ref="A2:X41"/>
  <sheetViews>
    <sheetView zoomScale="90" zoomScaleNormal="90" workbookViewId="0"/>
  </sheetViews>
  <sheetFormatPr defaultRowHeight="15" x14ac:dyDescent="0.25"/>
  <cols>
    <col min="1" max="1" width="23.7109375" bestFit="1" customWidth="1"/>
    <col min="2" max="2" width="26.7109375" bestFit="1" customWidth="1"/>
    <col min="3" max="3" width="19.7109375" customWidth="1"/>
    <col min="4" max="4" width="12.7109375" customWidth="1"/>
    <col min="5" max="5" width="11.85546875" bestFit="1" customWidth="1"/>
    <col min="6" max="6" width="9.7109375" bestFit="1" customWidth="1"/>
    <col min="7" max="7" width="13.7109375" customWidth="1"/>
    <col min="8" max="8" width="23" customWidth="1"/>
    <col min="9" max="9" width="15.28515625" customWidth="1"/>
    <col min="10" max="10" width="12.28515625" customWidth="1"/>
    <col min="11" max="11" width="12.7109375" customWidth="1"/>
    <col min="12" max="12" width="12" customWidth="1"/>
    <col min="13" max="13" width="13.42578125" customWidth="1"/>
    <col min="14" max="14" width="14.85546875" customWidth="1"/>
    <col min="15" max="15" width="9.7109375" bestFit="1" customWidth="1"/>
    <col min="16" max="16" width="10.140625" bestFit="1" customWidth="1"/>
    <col min="17" max="17" width="13.7109375" customWidth="1"/>
    <col min="18" max="18" width="14.7109375" customWidth="1"/>
    <col min="19" max="19" width="17.42578125" customWidth="1"/>
    <col min="20" max="20" width="19.5703125" customWidth="1"/>
  </cols>
  <sheetData>
    <row r="2" spans="1:24" s="264" customFormat="1" ht="18.75" x14ac:dyDescent="0.3">
      <c r="B2" s="415" t="s">
        <v>46</v>
      </c>
      <c r="C2" s="415"/>
      <c r="D2" s="415"/>
      <c r="E2" s="415"/>
      <c r="F2" s="415"/>
      <c r="G2" s="415"/>
    </row>
    <row r="4" spans="1:24" x14ac:dyDescent="0.25">
      <c r="S4" s="410" t="s">
        <v>247</v>
      </c>
      <c r="T4" s="410"/>
    </row>
    <row r="5" spans="1:24" x14ac:dyDescent="0.25">
      <c r="S5" t="s">
        <v>239</v>
      </c>
      <c r="T5" t="s">
        <v>240</v>
      </c>
    </row>
    <row r="6" spans="1:24" x14ac:dyDescent="0.25">
      <c r="S6">
        <v>15</v>
      </c>
      <c r="T6">
        <v>240</v>
      </c>
    </row>
    <row r="7" spans="1:24" s="131" customFormat="1" ht="15.75" x14ac:dyDescent="0.25">
      <c r="B7" s="132"/>
      <c r="C7" s="132"/>
      <c r="D7" s="132"/>
      <c r="E7" s="132"/>
      <c r="F7" s="416" t="s">
        <v>47</v>
      </c>
      <c r="G7" s="416"/>
      <c r="L7" s="416" t="s">
        <v>47</v>
      </c>
      <c r="M7" s="416"/>
      <c r="N7" s="421" t="s">
        <v>297</v>
      </c>
      <c r="O7" s="421"/>
      <c r="P7" s="421"/>
      <c r="Q7" s="421"/>
      <c r="R7" s="420" t="s">
        <v>248</v>
      </c>
      <c r="S7" s="420"/>
      <c r="T7" s="420"/>
      <c r="U7" s="131" t="s">
        <v>481</v>
      </c>
    </row>
    <row r="8" spans="1:24" ht="15.75" x14ac:dyDescent="0.25">
      <c r="B8" s="27" t="s">
        <v>48</v>
      </c>
      <c r="C8" s="28" t="s">
        <v>6</v>
      </c>
      <c r="D8" s="28" t="s">
        <v>7</v>
      </c>
      <c r="E8" s="27" t="s">
        <v>14</v>
      </c>
      <c r="F8" s="33" t="s">
        <v>7</v>
      </c>
      <c r="G8" s="34" t="s">
        <v>14</v>
      </c>
      <c r="H8" s="29" t="s">
        <v>51</v>
      </c>
      <c r="I8" s="28" t="s">
        <v>6</v>
      </c>
      <c r="J8" s="28" t="s">
        <v>7</v>
      </c>
      <c r="K8" s="27" t="s">
        <v>14</v>
      </c>
      <c r="L8" s="33" t="s">
        <v>7</v>
      </c>
      <c r="M8" s="34" t="s">
        <v>14</v>
      </c>
      <c r="N8" s="134"/>
      <c r="O8" s="134" t="s">
        <v>93</v>
      </c>
      <c r="P8" s="134" t="s">
        <v>92</v>
      </c>
      <c r="Q8" s="134" t="s">
        <v>246</v>
      </c>
      <c r="R8" s="4" t="s">
        <v>93</v>
      </c>
      <c r="S8" s="4" t="s">
        <v>92</v>
      </c>
      <c r="T8" s="4" t="s">
        <v>246</v>
      </c>
      <c r="U8" s="411" t="s">
        <v>475</v>
      </c>
      <c r="V8" s="411"/>
      <c r="W8" s="411" t="s">
        <v>476</v>
      </c>
      <c r="X8" s="411"/>
    </row>
    <row r="9" spans="1:24" ht="15" customHeight="1" x14ac:dyDescent="0.25">
      <c r="A9" s="15"/>
      <c r="B9" s="58" t="s">
        <v>49</v>
      </c>
      <c r="C9" s="52">
        <v>1649</v>
      </c>
      <c r="D9" s="53">
        <v>1609</v>
      </c>
      <c r="E9" s="55">
        <v>625</v>
      </c>
      <c r="F9" s="70">
        <f>(D9/C9)-1</f>
        <v>-2.4257125530624646E-2</v>
      </c>
      <c r="G9" s="70">
        <f>(E9/D9)-1</f>
        <v>-0.6115599751398384</v>
      </c>
      <c r="H9" s="58" t="s">
        <v>49</v>
      </c>
      <c r="I9" s="56">
        <v>4560</v>
      </c>
      <c r="J9" s="53">
        <v>1288</v>
      </c>
      <c r="K9" s="52">
        <v>303</v>
      </c>
      <c r="L9" s="70">
        <f>(J9/I9)-1</f>
        <v>-0.71754385964912282</v>
      </c>
      <c r="M9" s="70">
        <f>(K9/J9)-1</f>
        <v>-0.76475155279503104</v>
      </c>
      <c r="N9" s="135" t="s">
        <v>239</v>
      </c>
      <c r="O9" s="99">
        <v>4863</v>
      </c>
      <c r="P9" s="99">
        <v>2475</v>
      </c>
      <c r="Q9" s="99">
        <v>773</v>
      </c>
      <c r="R9" s="5">
        <f>O9*S6</f>
        <v>72945</v>
      </c>
      <c r="S9" s="5">
        <f>P9*S6</f>
        <v>37125</v>
      </c>
      <c r="T9" s="5">
        <f>Q9*S6</f>
        <v>11595</v>
      </c>
      <c r="U9" s="412">
        <f>SUM(I10:K11)*S6/60</f>
        <v>872</v>
      </c>
      <c r="V9" s="412"/>
      <c r="W9" s="412">
        <f>U9/3</f>
        <v>290.66666666666669</v>
      </c>
      <c r="X9" s="412"/>
    </row>
    <row r="10" spans="1:24" ht="15.75" x14ac:dyDescent="0.25">
      <c r="A10" s="15"/>
      <c r="B10" s="58" t="s">
        <v>50</v>
      </c>
      <c r="C10" s="52">
        <v>895</v>
      </c>
      <c r="D10" s="54">
        <v>815</v>
      </c>
      <c r="E10" s="55">
        <v>103</v>
      </c>
      <c r="F10" s="70">
        <f>(D10/C10)-1</f>
        <v>-8.9385474860335212E-2</v>
      </c>
      <c r="G10" s="70">
        <f>(E10/D10)-1</f>
        <v>-0.87361963190184055</v>
      </c>
      <c r="H10" s="58" t="s">
        <v>52</v>
      </c>
      <c r="I10" s="56">
        <v>1054</v>
      </c>
      <c r="J10" s="53">
        <v>711</v>
      </c>
      <c r="K10" s="52">
        <v>277</v>
      </c>
      <c r="L10" s="70">
        <f t="shared" ref="L10:L11" si="0">(J10/I10)-1</f>
        <v>-0.32542694497153701</v>
      </c>
      <c r="M10" s="70">
        <f t="shared" ref="M10:M11" si="1">(K10/J10)-1</f>
        <v>-0.61040787623066106</v>
      </c>
      <c r="N10" s="136" t="s">
        <v>240</v>
      </c>
      <c r="O10" s="99">
        <v>1346</v>
      </c>
      <c r="P10" s="99">
        <v>422</v>
      </c>
      <c r="Q10" s="99">
        <v>37</v>
      </c>
      <c r="R10" s="5">
        <f>O10*T6</f>
        <v>323040</v>
      </c>
      <c r="S10" s="5">
        <f>P10*T6</f>
        <v>101280</v>
      </c>
      <c r="T10" s="5">
        <f>Q10*T6</f>
        <v>8880</v>
      </c>
    </row>
    <row r="11" spans="1:24" ht="15.75" x14ac:dyDescent="0.25">
      <c r="A11" s="15"/>
      <c r="B11" s="59"/>
      <c r="C11" s="55"/>
      <c r="D11" s="53"/>
      <c r="E11" s="57"/>
      <c r="F11" s="71"/>
      <c r="G11" s="72"/>
      <c r="H11" s="58" t="s">
        <v>53</v>
      </c>
      <c r="I11" s="52">
        <v>1350</v>
      </c>
      <c r="J11" s="52">
        <v>84</v>
      </c>
      <c r="K11" s="52">
        <v>12</v>
      </c>
      <c r="L11" s="70">
        <f t="shared" si="0"/>
        <v>-0.93777777777777782</v>
      </c>
      <c r="M11" s="70">
        <f t="shared" si="1"/>
        <v>-0.85714285714285721</v>
      </c>
      <c r="N11" s="140" t="s">
        <v>249</v>
      </c>
      <c r="O11" s="138">
        <f>SUM(O9:O10)</f>
        <v>6209</v>
      </c>
      <c r="P11" s="138">
        <f>SUM(P9:P10)</f>
        <v>2897</v>
      </c>
      <c r="Q11" s="138">
        <f>SUM(Q9:Q10)</f>
        <v>810</v>
      </c>
      <c r="R11" s="139">
        <f>SUM(R9:R10)/SUM(O9:O10)</f>
        <v>63.775970365598326</v>
      </c>
      <c r="S11" s="139">
        <f>SUM(S9:S10)/SUM(P9:P10)</f>
        <v>47.775284777355886</v>
      </c>
      <c r="T11" s="139">
        <f>SUM(T9:T10)/SUM(Q9:Q10)</f>
        <v>25.277777777777779</v>
      </c>
    </row>
    <row r="12" spans="1:24" ht="15.75" x14ac:dyDescent="0.25">
      <c r="A12" s="15"/>
      <c r="B12" s="44" t="s">
        <v>56</v>
      </c>
      <c r="C12" s="75">
        <f>C9/4</f>
        <v>412.25</v>
      </c>
      <c r="D12" s="74">
        <f>D9/4</f>
        <v>402.25</v>
      </c>
      <c r="E12" s="202">
        <f>E9/4</f>
        <v>156.25</v>
      </c>
      <c r="F12" s="73"/>
      <c r="G12" s="70"/>
      <c r="H12" s="44" t="s">
        <v>56</v>
      </c>
      <c r="I12" s="68">
        <f>I9/4</f>
        <v>1140</v>
      </c>
      <c r="J12" s="68">
        <f>J9/4</f>
        <v>322</v>
      </c>
      <c r="K12" s="68">
        <f>K9/4</f>
        <v>75.75</v>
      </c>
      <c r="L12" s="70"/>
      <c r="M12" s="70"/>
      <c r="N12" s="413" t="s">
        <v>250</v>
      </c>
      <c r="O12" s="413"/>
      <c r="P12" s="413"/>
      <c r="Q12" s="413"/>
      <c r="R12" s="414">
        <f>SUM(R11:T11)/3</f>
        <v>45.609677640243994</v>
      </c>
      <c r="S12" s="414"/>
      <c r="T12" s="414"/>
      <c r="U12" s="409">
        <f>W9</f>
        <v>290.66666666666669</v>
      </c>
      <c r="V12" s="410"/>
      <c r="W12" s="410"/>
      <c r="X12" s="410"/>
    </row>
    <row r="13" spans="1:24" ht="36" customHeight="1" x14ac:dyDescent="0.25">
      <c r="A13" s="15"/>
      <c r="B13" s="43" t="s">
        <v>57</v>
      </c>
      <c r="C13" s="76">
        <f>C12/4</f>
        <v>103.0625</v>
      </c>
      <c r="D13" s="76">
        <f>D12/4</f>
        <v>100.5625</v>
      </c>
      <c r="E13" s="77">
        <f>E12/4</f>
        <v>39.0625</v>
      </c>
      <c r="F13" s="73"/>
      <c r="G13" s="74"/>
      <c r="H13" s="43" t="s">
        <v>57</v>
      </c>
      <c r="I13" s="69">
        <f>I12/8</f>
        <v>142.5</v>
      </c>
      <c r="J13" s="69">
        <f>J12/8</f>
        <v>40.25</v>
      </c>
      <c r="K13" s="69">
        <f>K12/6</f>
        <v>12.625</v>
      </c>
      <c r="L13" s="70"/>
      <c r="M13" s="70"/>
      <c r="N13" s="382"/>
      <c r="O13" s="382"/>
      <c r="P13" s="382"/>
      <c r="Q13" s="382"/>
      <c r="R13" s="382"/>
      <c r="S13" s="382"/>
      <c r="T13" s="382"/>
    </row>
    <row r="14" spans="1:24" ht="29.45" customHeight="1" x14ac:dyDescent="0.25">
      <c r="A14" s="15"/>
      <c r="B14" s="143" t="s">
        <v>251</v>
      </c>
      <c r="C14" s="144">
        <f>C9*R12/60</f>
        <v>1253.5059738127059</v>
      </c>
      <c r="D14" s="144">
        <f>D9*R12/60</f>
        <v>1223.0995220525431</v>
      </c>
      <c r="E14" s="144">
        <f>E9*R12/60</f>
        <v>475.10080875254158</v>
      </c>
      <c r="F14" s="145"/>
      <c r="G14" s="138"/>
      <c r="H14" s="143" t="s">
        <v>251</v>
      </c>
      <c r="I14" s="144">
        <f>I9*R12/60</f>
        <v>3466.3355006585434</v>
      </c>
      <c r="J14" s="144">
        <f>J9*R12/60</f>
        <v>979.08774667723776</v>
      </c>
      <c r="K14" s="144">
        <f>K9*R12/60</f>
        <v>230.32887208323217</v>
      </c>
      <c r="L14" s="138"/>
      <c r="M14" s="138"/>
      <c r="N14" s="419"/>
      <c r="O14" s="419"/>
      <c r="P14" s="419"/>
      <c r="Q14" s="419"/>
      <c r="R14" s="419"/>
      <c r="S14" s="419"/>
      <c r="T14" s="419"/>
    </row>
    <row r="15" spans="1:24" ht="57.6" customHeight="1" x14ac:dyDescent="0.25">
      <c r="A15" s="15"/>
      <c r="B15" s="143" t="s">
        <v>295</v>
      </c>
      <c r="C15" s="417">
        <f>SUM(C14:E14)</f>
        <v>2951.7063046177905</v>
      </c>
      <c r="D15" s="417"/>
      <c r="E15" s="417"/>
      <c r="F15" s="146"/>
      <c r="G15" s="146"/>
      <c r="H15" s="143" t="s">
        <v>295</v>
      </c>
      <c r="I15" s="417">
        <f>SUM(I14:K14)</f>
        <v>4675.752119419014</v>
      </c>
      <c r="J15" s="417"/>
      <c r="K15" s="417"/>
      <c r="L15" s="148"/>
      <c r="M15" s="148"/>
      <c r="N15" s="141"/>
      <c r="O15" s="141"/>
    </row>
    <row r="16" spans="1:24" ht="75" x14ac:dyDescent="0.25">
      <c r="A16" s="15"/>
      <c r="B16" s="143" t="s">
        <v>405</v>
      </c>
      <c r="C16" s="417">
        <f>SUM(C15:E15)/3</f>
        <v>983.90210153926353</v>
      </c>
      <c r="D16" s="417"/>
      <c r="E16" s="417"/>
      <c r="F16" s="147"/>
      <c r="G16" s="147"/>
      <c r="H16" s="143" t="s">
        <v>331</v>
      </c>
      <c r="I16" s="417">
        <f>SUM(I15:K15)/3</f>
        <v>1558.5840398063381</v>
      </c>
      <c r="J16" s="417"/>
      <c r="K16" s="417"/>
      <c r="L16" s="148"/>
      <c r="M16" s="148"/>
      <c r="N16" s="141"/>
      <c r="O16" s="141"/>
    </row>
    <row r="17" spans="1:18" ht="60" x14ac:dyDescent="0.25">
      <c r="A17" s="15"/>
      <c r="B17" s="240"/>
      <c r="C17" s="241"/>
      <c r="D17" s="241"/>
      <c r="E17" s="241"/>
      <c r="F17" s="242"/>
      <c r="G17" s="243"/>
      <c r="H17" s="236" t="s">
        <v>330</v>
      </c>
      <c r="I17" s="237">
        <f>SUM(I10:K11)/SUM(I9:K9)</f>
        <v>0.56706226629816292</v>
      </c>
      <c r="J17" s="238">
        <f>I16*I17</f>
        <v>883.8141978287282</v>
      </c>
      <c r="K17" s="238">
        <f>I16-J17</f>
        <v>674.76984197760987</v>
      </c>
      <c r="L17" s="239"/>
      <c r="M17" s="239"/>
      <c r="N17" s="120"/>
    </row>
    <row r="18" spans="1:18" x14ac:dyDescent="0.25">
      <c r="C18" s="32"/>
      <c r="N18" s="120"/>
    </row>
    <row r="19" spans="1:18" x14ac:dyDescent="0.25">
      <c r="C19" s="32"/>
    </row>
    <row r="20" spans="1:18" x14ac:dyDescent="0.25">
      <c r="C20" s="3"/>
    </row>
    <row r="21" spans="1:18" ht="15.6" customHeight="1" x14ac:dyDescent="0.25">
      <c r="B21" s="418" t="s">
        <v>79</v>
      </c>
      <c r="C21" s="418"/>
      <c r="D21" s="418"/>
      <c r="E21" s="418"/>
      <c r="F21" s="418"/>
      <c r="G21" s="418"/>
      <c r="H21" s="424" t="s">
        <v>472</v>
      </c>
      <c r="I21" s="424"/>
      <c r="J21" s="424"/>
      <c r="K21" s="424"/>
      <c r="L21" s="424"/>
      <c r="M21" s="424"/>
      <c r="N21" s="425" t="s">
        <v>258</v>
      </c>
      <c r="O21" s="152"/>
      <c r="P21" s="152"/>
      <c r="Q21" s="152"/>
    </row>
    <row r="22" spans="1:18" ht="15.75" x14ac:dyDescent="0.25">
      <c r="B22" s="418"/>
      <c r="C22" s="418"/>
      <c r="D22" s="418"/>
      <c r="E22" s="418"/>
      <c r="F22" s="418"/>
      <c r="G22" s="418"/>
      <c r="H22" s="424"/>
      <c r="I22" s="424"/>
      <c r="J22" s="424"/>
      <c r="K22" s="424"/>
      <c r="L22" s="424"/>
      <c r="M22" s="424"/>
      <c r="N22" s="425"/>
      <c r="O22" s="152"/>
      <c r="P22" s="152"/>
      <c r="Q22" s="152"/>
      <c r="R22" s="9"/>
    </row>
    <row r="23" spans="1:18" ht="135" x14ac:dyDescent="0.25">
      <c r="B23" s="155" t="s">
        <v>90</v>
      </c>
      <c r="C23" s="153" t="s">
        <v>92</v>
      </c>
      <c r="D23" s="153" t="s">
        <v>93</v>
      </c>
      <c r="E23" s="153" t="s">
        <v>94</v>
      </c>
      <c r="F23" s="154" t="s">
        <v>260</v>
      </c>
      <c r="G23" s="154" t="s">
        <v>95</v>
      </c>
      <c r="H23" s="46" t="s">
        <v>252</v>
      </c>
      <c r="I23" s="46" t="s">
        <v>253</v>
      </c>
      <c r="J23" s="46" t="s">
        <v>254</v>
      </c>
      <c r="K23" s="46" t="s">
        <v>256</v>
      </c>
      <c r="L23" s="46" t="s">
        <v>255</v>
      </c>
      <c r="M23" s="46" t="s">
        <v>257</v>
      </c>
      <c r="N23" s="113" t="s">
        <v>259</v>
      </c>
      <c r="O23" s="142"/>
      <c r="P23" s="142"/>
      <c r="Q23" s="142"/>
      <c r="R23" s="9"/>
    </row>
    <row r="24" spans="1:18" ht="30" x14ac:dyDescent="0.25">
      <c r="A24" s="248">
        <v>1</v>
      </c>
      <c r="B24" s="90" t="s">
        <v>381</v>
      </c>
      <c r="C24" s="151">
        <v>68</v>
      </c>
      <c r="D24" s="151">
        <v>60</v>
      </c>
      <c r="E24" s="149">
        <v>39</v>
      </c>
      <c r="F24" s="149">
        <v>35</v>
      </c>
      <c r="G24" s="23">
        <v>13</v>
      </c>
      <c r="H24" s="5">
        <v>4</v>
      </c>
      <c r="I24" s="5">
        <v>2</v>
      </c>
      <c r="J24" s="5">
        <v>2</v>
      </c>
      <c r="K24" s="5">
        <v>2</v>
      </c>
      <c r="L24" s="5">
        <v>2</v>
      </c>
      <c r="M24" s="5">
        <v>20</v>
      </c>
      <c r="N24" s="99">
        <f>SUM(H24:M24)*4</f>
        <v>128</v>
      </c>
      <c r="O24" s="9"/>
      <c r="P24" s="9"/>
      <c r="Q24" s="9"/>
      <c r="R24" s="9"/>
    </row>
    <row r="25" spans="1:18" ht="30" x14ac:dyDescent="0.25">
      <c r="A25" s="248">
        <v>1</v>
      </c>
      <c r="B25" s="114" t="s">
        <v>88</v>
      </c>
      <c r="C25" s="149">
        <v>40</v>
      </c>
      <c r="D25" s="149">
        <v>46</v>
      </c>
      <c r="E25" s="149">
        <v>26</v>
      </c>
      <c r="F25" s="149">
        <v>17</v>
      </c>
      <c r="G25" s="149">
        <v>15</v>
      </c>
      <c r="H25" s="5">
        <v>4</v>
      </c>
      <c r="I25" s="5">
        <v>2</v>
      </c>
      <c r="J25" s="5">
        <v>2</v>
      </c>
      <c r="K25" s="5">
        <v>2</v>
      </c>
      <c r="L25" s="5">
        <v>2</v>
      </c>
      <c r="M25" s="5">
        <v>20</v>
      </c>
      <c r="N25" s="99">
        <f t="shared" ref="N25:N34" si="2">SUM(H25:M25)*4</f>
        <v>128</v>
      </c>
      <c r="O25" s="30"/>
      <c r="P25" s="30"/>
      <c r="Q25" s="30"/>
      <c r="R25" s="9"/>
    </row>
    <row r="26" spans="1:18" ht="15.75" x14ac:dyDescent="0.25">
      <c r="A26" s="248">
        <v>1</v>
      </c>
      <c r="B26" s="114" t="s">
        <v>86</v>
      </c>
      <c r="C26" s="149">
        <v>94</v>
      </c>
      <c r="D26" s="149">
        <v>50</v>
      </c>
      <c r="E26" s="149">
        <v>45</v>
      </c>
      <c r="F26" s="149">
        <v>60</v>
      </c>
      <c r="G26" s="149">
        <v>22</v>
      </c>
      <c r="H26" s="5">
        <v>4</v>
      </c>
      <c r="I26" s="5">
        <v>2</v>
      </c>
      <c r="J26" s="5">
        <v>2</v>
      </c>
      <c r="K26" s="5">
        <v>2</v>
      </c>
      <c r="L26" s="5">
        <v>2</v>
      </c>
      <c r="M26" s="5">
        <v>20</v>
      </c>
      <c r="N26" s="99">
        <f t="shared" si="2"/>
        <v>128</v>
      </c>
      <c r="O26" s="9"/>
      <c r="P26" s="9"/>
      <c r="Q26" s="9"/>
      <c r="R26" s="9"/>
    </row>
    <row r="27" spans="1:18" ht="15.75" x14ac:dyDescent="0.25">
      <c r="A27" s="249">
        <v>2</v>
      </c>
      <c r="B27" s="20" t="s">
        <v>81</v>
      </c>
      <c r="C27" s="149">
        <v>32</v>
      </c>
      <c r="D27" s="149">
        <v>51</v>
      </c>
      <c r="E27" s="149">
        <v>27</v>
      </c>
      <c r="F27" s="149">
        <v>27</v>
      </c>
      <c r="G27" s="149">
        <v>16</v>
      </c>
      <c r="H27" s="5">
        <v>4</v>
      </c>
      <c r="I27" s="5">
        <v>2</v>
      </c>
      <c r="J27" s="5">
        <v>2</v>
      </c>
      <c r="K27" s="5">
        <v>2</v>
      </c>
      <c r="L27" s="5">
        <v>2</v>
      </c>
      <c r="M27" s="5">
        <v>20</v>
      </c>
      <c r="N27" s="99">
        <f t="shared" si="2"/>
        <v>128</v>
      </c>
      <c r="O27" s="9"/>
      <c r="P27" s="9"/>
      <c r="Q27" s="9"/>
      <c r="R27" s="9"/>
    </row>
    <row r="28" spans="1:18" ht="15.75" x14ac:dyDescent="0.25">
      <c r="A28" s="249">
        <v>2</v>
      </c>
      <c r="B28" s="113" t="s">
        <v>87</v>
      </c>
      <c r="C28" s="149">
        <v>141</v>
      </c>
      <c r="D28" s="149">
        <v>73</v>
      </c>
      <c r="E28" s="149">
        <v>80</v>
      </c>
      <c r="F28" s="149">
        <v>80</v>
      </c>
      <c r="G28" s="149">
        <v>54</v>
      </c>
      <c r="H28" s="5">
        <v>4</v>
      </c>
      <c r="I28" s="5">
        <v>2</v>
      </c>
      <c r="J28" s="5">
        <v>2</v>
      </c>
      <c r="K28" s="5">
        <v>2</v>
      </c>
      <c r="L28" s="5">
        <v>2</v>
      </c>
      <c r="M28" s="5">
        <v>20</v>
      </c>
      <c r="N28" s="99">
        <f t="shared" si="2"/>
        <v>128</v>
      </c>
      <c r="O28" s="9"/>
      <c r="P28" s="9"/>
      <c r="Q28" s="9"/>
      <c r="R28" s="9"/>
    </row>
    <row r="29" spans="1:18" ht="15.75" x14ac:dyDescent="0.25">
      <c r="A29" s="250">
        <v>3</v>
      </c>
      <c r="B29" s="112" t="s">
        <v>82</v>
      </c>
      <c r="C29" s="151">
        <v>147</v>
      </c>
      <c r="D29" s="151">
        <v>167</v>
      </c>
      <c r="E29" s="149">
        <v>146</v>
      </c>
      <c r="F29" s="149">
        <v>244</v>
      </c>
      <c r="G29" s="23">
        <v>77</v>
      </c>
      <c r="H29" s="5">
        <v>4</v>
      </c>
      <c r="I29" s="5">
        <v>2</v>
      </c>
      <c r="J29" s="5">
        <v>2</v>
      </c>
      <c r="K29" s="5">
        <v>2</v>
      </c>
      <c r="L29" s="5">
        <v>2</v>
      </c>
      <c r="M29" s="5">
        <v>20</v>
      </c>
      <c r="N29" s="99">
        <f t="shared" si="2"/>
        <v>128</v>
      </c>
      <c r="O29" s="9"/>
      <c r="P29" s="9"/>
      <c r="Q29" s="9"/>
      <c r="R29" s="9"/>
    </row>
    <row r="30" spans="1:18" ht="15.75" x14ac:dyDescent="0.25">
      <c r="A30" s="250">
        <v>3</v>
      </c>
      <c r="B30" s="46" t="s">
        <v>89</v>
      </c>
      <c r="C30" s="149">
        <v>27</v>
      </c>
      <c r="D30" s="149">
        <v>31</v>
      </c>
      <c r="E30" s="149">
        <v>24</v>
      </c>
      <c r="F30" s="149">
        <v>13</v>
      </c>
      <c r="G30" s="149">
        <v>10</v>
      </c>
      <c r="H30" s="5">
        <v>4</v>
      </c>
      <c r="I30" s="5">
        <v>2</v>
      </c>
      <c r="J30" s="5">
        <v>2</v>
      </c>
      <c r="K30" s="5">
        <v>2</v>
      </c>
      <c r="L30" s="5">
        <v>2</v>
      </c>
      <c r="M30" s="5">
        <v>20</v>
      </c>
      <c r="N30" s="99">
        <f t="shared" si="2"/>
        <v>128</v>
      </c>
      <c r="O30" s="9"/>
      <c r="P30" s="9"/>
      <c r="Q30" s="9"/>
      <c r="R30" s="9"/>
    </row>
    <row r="31" spans="1:18" ht="28.15" customHeight="1" x14ac:dyDescent="0.25">
      <c r="A31" s="251">
        <v>4</v>
      </c>
      <c r="B31" s="319" t="s">
        <v>83</v>
      </c>
      <c r="C31" s="149">
        <v>59</v>
      </c>
      <c r="D31" s="149">
        <v>52</v>
      </c>
      <c r="E31" s="149">
        <v>39</v>
      </c>
      <c r="F31" s="149">
        <v>17</v>
      </c>
      <c r="G31" s="23"/>
      <c r="H31" s="5">
        <v>4</v>
      </c>
      <c r="I31" s="5">
        <v>2</v>
      </c>
      <c r="J31" s="5">
        <v>2</v>
      </c>
      <c r="K31" s="5">
        <v>2</v>
      </c>
      <c r="L31" s="5">
        <v>2</v>
      </c>
      <c r="M31" s="5">
        <v>20</v>
      </c>
      <c r="N31" s="99">
        <f t="shared" si="2"/>
        <v>128</v>
      </c>
      <c r="O31" s="9"/>
      <c r="P31" s="9"/>
      <c r="Q31" s="9"/>
      <c r="R31" s="9"/>
    </row>
    <row r="32" spans="1:18" ht="15.75" x14ac:dyDescent="0.25">
      <c r="A32" s="251">
        <v>4</v>
      </c>
      <c r="B32" s="116" t="s">
        <v>85</v>
      </c>
      <c r="C32" s="149">
        <v>36</v>
      </c>
      <c r="D32" s="149">
        <v>57</v>
      </c>
      <c r="E32" s="149">
        <v>35</v>
      </c>
      <c r="F32" s="149">
        <v>20</v>
      </c>
      <c r="G32" s="149">
        <v>20</v>
      </c>
      <c r="H32" s="5">
        <v>4</v>
      </c>
      <c r="I32" s="5">
        <v>2</v>
      </c>
      <c r="J32" s="5">
        <v>2</v>
      </c>
      <c r="K32" s="5">
        <v>2</v>
      </c>
      <c r="L32" s="5">
        <v>2</v>
      </c>
      <c r="M32" s="5">
        <v>20</v>
      </c>
      <c r="N32" s="99">
        <f t="shared" si="2"/>
        <v>128</v>
      </c>
      <c r="O32" s="9"/>
      <c r="P32" s="9"/>
      <c r="Q32" s="9"/>
      <c r="R32" s="9"/>
    </row>
    <row r="33" spans="1:18" ht="15.75" x14ac:dyDescent="0.25">
      <c r="A33" s="251">
        <v>4</v>
      </c>
      <c r="B33" s="115" t="s">
        <v>84</v>
      </c>
      <c r="C33" s="149">
        <v>59</v>
      </c>
      <c r="D33" s="149">
        <v>42</v>
      </c>
      <c r="E33" s="149">
        <v>33</v>
      </c>
      <c r="F33" s="149">
        <v>23</v>
      </c>
      <c r="G33" s="149">
        <v>14</v>
      </c>
      <c r="H33" s="5">
        <v>4</v>
      </c>
      <c r="I33" s="5">
        <v>2</v>
      </c>
      <c r="J33" s="5">
        <v>2</v>
      </c>
      <c r="K33" s="5">
        <v>2</v>
      </c>
      <c r="L33" s="5">
        <v>2</v>
      </c>
      <c r="M33" s="5">
        <v>20</v>
      </c>
      <c r="N33" s="99">
        <f t="shared" si="2"/>
        <v>128</v>
      </c>
      <c r="O33" s="9"/>
      <c r="P33" s="9"/>
      <c r="Q33" s="9"/>
      <c r="R33" s="9"/>
    </row>
    <row r="34" spans="1:18" ht="15.75" x14ac:dyDescent="0.25">
      <c r="A34" s="252">
        <v>5</v>
      </c>
      <c r="B34" s="82" t="s">
        <v>80</v>
      </c>
      <c r="C34" s="149">
        <v>73</v>
      </c>
      <c r="D34" s="149">
        <v>69</v>
      </c>
      <c r="E34" s="149">
        <v>52</v>
      </c>
      <c r="F34" s="149">
        <v>73</v>
      </c>
      <c r="G34" s="149">
        <v>32</v>
      </c>
      <c r="H34" s="5">
        <v>4</v>
      </c>
      <c r="I34" s="5">
        <v>2</v>
      </c>
      <c r="J34" s="5">
        <v>2</v>
      </c>
      <c r="K34" s="5">
        <v>2</v>
      </c>
      <c r="L34" s="5">
        <v>2</v>
      </c>
      <c r="M34" s="5">
        <v>20</v>
      </c>
      <c r="N34" s="99">
        <f t="shared" si="2"/>
        <v>128</v>
      </c>
      <c r="O34" s="9"/>
      <c r="P34" s="9"/>
      <c r="Q34" s="9"/>
      <c r="R34" s="9"/>
    </row>
    <row r="35" spans="1:18" ht="45" x14ac:dyDescent="0.25">
      <c r="A35" s="252">
        <v>5</v>
      </c>
      <c r="B35" s="82" t="s">
        <v>460</v>
      </c>
      <c r="C35" s="149">
        <v>54</v>
      </c>
      <c r="D35" s="149">
        <v>72</v>
      </c>
      <c r="E35" s="149">
        <v>56</v>
      </c>
      <c r="F35" s="149">
        <v>51</v>
      </c>
      <c r="G35" s="149">
        <v>36</v>
      </c>
      <c r="H35" s="5">
        <v>4</v>
      </c>
      <c r="I35" s="5">
        <v>2</v>
      </c>
      <c r="J35" s="5">
        <v>2</v>
      </c>
      <c r="K35" s="5">
        <v>2</v>
      </c>
      <c r="L35" s="5">
        <v>2</v>
      </c>
      <c r="M35" s="5">
        <v>20</v>
      </c>
      <c r="N35" s="99">
        <f>SUM(H35:M35)*4</f>
        <v>128</v>
      </c>
      <c r="O35" s="9"/>
      <c r="P35" s="9"/>
      <c r="Q35" s="9"/>
      <c r="R35" s="9"/>
    </row>
    <row r="36" spans="1:18" x14ac:dyDescent="0.25">
      <c r="B36" s="47" t="s">
        <v>91</v>
      </c>
      <c r="C36" s="47">
        <f>SUM(C24:C35)</f>
        <v>830</v>
      </c>
      <c r="D36" s="47">
        <f>SUM(D24:D35)</f>
        <v>770</v>
      </c>
      <c r="E36" s="47">
        <f>SUM(E24:E35)</f>
        <v>602</v>
      </c>
      <c r="F36" s="47">
        <f>SUM(F24:F35)</f>
        <v>660</v>
      </c>
      <c r="G36" s="47">
        <f>SUM(G24:G35)</f>
        <v>309</v>
      </c>
      <c r="H36" s="423" t="s">
        <v>462</v>
      </c>
      <c r="I36" s="423"/>
      <c r="J36" s="423"/>
      <c r="K36" s="423"/>
      <c r="L36" s="423"/>
      <c r="M36" s="423"/>
      <c r="N36" s="47">
        <f>SUM(N24:N35)</f>
        <v>1536</v>
      </c>
      <c r="O36" s="9"/>
      <c r="P36" s="9"/>
      <c r="Q36" s="9"/>
      <c r="R36" s="9"/>
    </row>
    <row r="37" spans="1:18" ht="59.45" customHeight="1" x14ac:dyDescent="0.25">
      <c r="B37" s="41"/>
      <c r="C37" s="410"/>
      <c r="D37" s="410"/>
      <c r="H37" s="382" t="s">
        <v>382</v>
      </c>
      <c r="I37" s="382"/>
      <c r="J37" s="382"/>
      <c r="K37" s="382"/>
      <c r="L37" s="382"/>
      <c r="M37" s="382"/>
      <c r="N37" s="382"/>
      <c r="O37" s="15"/>
      <c r="P37" s="15"/>
      <c r="Q37" s="15"/>
    </row>
    <row r="38" spans="1:18" x14ac:dyDescent="0.25">
      <c r="B38" t="s">
        <v>115</v>
      </c>
      <c r="C38" s="42">
        <f>E36/3</f>
        <v>200.66666666666666</v>
      </c>
      <c r="D38" s="42"/>
    </row>
    <row r="39" spans="1:18" x14ac:dyDescent="0.25">
      <c r="B39" t="s">
        <v>114</v>
      </c>
      <c r="C39" s="51">
        <f>F36/2</f>
        <v>330</v>
      </c>
      <c r="D39" s="51"/>
    </row>
    <row r="40" spans="1:18" x14ac:dyDescent="0.25">
      <c r="B40" t="s">
        <v>141</v>
      </c>
      <c r="C40" s="42">
        <f>((E36+F36)-(G36))/5</f>
        <v>190.6</v>
      </c>
      <c r="H40" s="422"/>
      <c r="I40" s="422"/>
      <c r="J40" s="422"/>
      <c r="K40" s="422"/>
    </row>
    <row r="41" spans="1:18" ht="42.6" customHeight="1" x14ac:dyDescent="0.25">
      <c r="B41" s="15" t="s">
        <v>461</v>
      </c>
      <c r="C41" s="15">
        <f>N36</f>
        <v>1536</v>
      </c>
      <c r="D41" s="15"/>
      <c r="E41" s="15"/>
      <c r="H41" s="422"/>
      <c r="I41" s="422"/>
      <c r="J41" s="422"/>
      <c r="K41" s="422"/>
    </row>
  </sheetData>
  <sortState xmlns:xlrd2="http://schemas.microsoft.com/office/spreadsheetml/2017/richdata2" ref="A31:L41">
    <sortCondition ref="A31:A41"/>
  </sortState>
  <mergeCells count="27">
    <mergeCell ref="H40:K40"/>
    <mergeCell ref="H36:M36"/>
    <mergeCell ref="H21:M22"/>
    <mergeCell ref="H41:K41"/>
    <mergeCell ref="N21:N22"/>
    <mergeCell ref="H37:N37"/>
    <mergeCell ref="S4:T4"/>
    <mergeCell ref="N12:Q12"/>
    <mergeCell ref="R12:T12"/>
    <mergeCell ref="C37:D37"/>
    <mergeCell ref="B2:G2"/>
    <mergeCell ref="F7:G7"/>
    <mergeCell ref="I16:K16"/>
    <mergeCell ref="B21:G22"/>
    <mergeCell ref="L7:M7"/>
    <mergeCell ref="N13:T13"/>
    <mergeCell ref="C15:E15"/>
    <mergeCell ref="C16:E16"/>
    <mergeCell ref="N14:T14"/>
    <mergeCell ref="R7:T7"/>
    <mergeCell ref="N7:Q7"/>
    <mergeCell ref="I15:K15"/>
    <mergeCell ref="U12:X12"/>
    <mergeCell ref="U8:V8"/>
    <mergeCell ref="W8:X8"/>
    <mergeCell ref="U9:V9"/>
    <mergeCell ref="W9:X9"/>
  </mergeCells>
  <pageMargins left="0.23622047244094491" right="0.23622047244094491" top="0.74803149606299213" bottom="0.74803149606299213" header="0.31496062992125984" footer="0.31496062992125984"/>
  <pageSetup paperSize="9" scale="6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2060"/>
  </sheetPr>
  <dimension ref="A2:AJ23"/>
  <sheetViews>
    <sheetView workbookViewId="0">
      <pane ySplit="2" topLeftCell="A3" activePane="bottomLeft" state="frozen"/>
      <selection pane="bottomLeft"/>
    </sheetView>
  </sheetViews>
  <sheetFormatPr defaultRowHeight="15" x14ac:dyDescent="0.25"/>
  <cols>
    <col min="7" max="7" width="26.5703125" customWidth="1"/>
    <col min="12" max="12" width="27" customWidth="1"/>
    <col min="26" max="26" width="26.7109375" customWidth="1"/>
    <col min="31" max="31" width="26.5703125" customWidth="1"/>
  </cols>
  <sheetData>
    <row r="2" spans="1:36" ht="18.75" x14ac:dyDescent="0.3">
      <c r="A2" s="365" t="s">
        <v>178</v>
      </c>
      <c r="B2" s="365"/>
      <c r="C2" s="365"/>
      <c r="D2" s="365"/>
      <c r="E2" s="365"/>
      <c r="F2" s="365"/>
      <c r="G2" s="365"/>
      <c r="H2" s="365"/>
      <c r="I2" s="365"/>
      <c r="J2" s="365"/>
      <c r="K2" s="365"/>
      <c r="L2" s="365"/>
      <c r="M2" s="365"/>
      <c r="N2" s="365"/>
      <c r="O2" s="365"/>
      <c r="P2" s="365"/>
      <c r="Q2" s="365"/>
      <c r="R2" s="365"/>
      <c r="S2" s="365"/>
      <c r="T2" s="365"/>
      <c r="U2" s="365"/>
      <c r="V2" s="365"/>
      <c r="W2" s="365"/>
      <c r="X2" s="365"/>
      <c r="Y2" s="365"/>
      <c r="Z2" s="365"/>
      <c r="AA2" s="365"/>
      <c r="AB2" s="365"/>
      <c r="AC2" s="365"/>
      <c r="AD2" s="365"/>
      <c r="AE2" s="365"/>
      <c r="AF2" s="365"/>
      <c r="AG2" s="365"/>
      <c r="AH2" s="365"/>
      <c r="AI2" s="365"/>
      <c r="AJ2" s="365"/>
    </row>
    <row r="5" spans="1:36" ht="15.6" customHeight="1" x14ac:dyDescent="0.25">
      <c r="B5" s="119"/>
      <c r="C5" s="435" t="s">
        <v>153</v>
      </c>
      <c r="D5" s="435"/>
      <c r="E5" s="435"/>
      <c r="F5" s="435"/>
      <c r="G5" s="435"/>
      <c r="H5" s="435"/>
      <c r="I5" s="435"/>
      <c r="J5" s="435"/>
      <c r="K5" s="435"/>
      <c r="L5" s="435"/>
      <c r="M5" s="432" t="s">
        <v>172</v>
      </c>
      <c r="N5" s="432"/>
      <c r="O5" s="432"/>
      <c r="P5" s="432"/>
      <c r="Q5" s="432"/>
      <c r="R5" s="432"/>
      <c r="V5" s="435" t="s">
        <v>161</v>
      </c>
      <c r="W5" s="435"/>
      <c r="X5" s="435"/>
      <c r="Y5" s="435"/>
      <c r="Z5" s="435"/>
      <c r="AA5" s="435"/>
      <c r="AB5" s="435"/>
      <c r="AC5" s="435"/>
      <c r="AD5" s="435"/>
      <c r="AE5" s="435"/>
      <c r="AF5" s="432" t="s">
        <v>172</v>
      </c>
      <c r="AG5" s="432"/>
      <c r="AH5" s="432"/>
      <c r="AI5" s="432"/>
      <c r="AJ5" s="432"/>
    </row>
    <row r="6" spans="1:36" ht="21" customHeight="1" x14ac:dyDescent="0.25">
      <c r="B6" s="119"/>
      <c r="C6" s="436" t="s">
        <v>54</v>
      </c>
      <c r="D6" s="436"/>
      <c r="E6" s="436"/>
      <c r="F6" s="436"/>
      <c r="G6" s="436"/>
      <c r="H6" s="436" t="s">
        <v>55</v>
      </c>
      <c r="I6" s="436"/>
      <c r="J6" s="436"/>
      <c r="K6" s="436"/>
      <c r="L6" s="436"/>
      <c r="M6" s="432"/>
      <c r="N6" s="432"/>
      <c r="O6" s="432"/>
      <c r="P6" s="432"/>
      <c r="Q6" s="432"/>
      <c r="R6" s="432"/>
      <c r="V6" s="436" t="s">
        <v>54</v>
      </c>
      <c r="W6" s="436"/>
      <c r="X6" s="436"/>
      <c r="Y6" s="436"/>
      <c r="Z6" s="436"/>
      <c r="AA6" s="436" t="s">
        <v>55</v>
      </c>
      <c r="AB6" s="436"/>
      <c r="AC6" s="436"/>
      <c r="AD6" s="436"/>
      <c r="AE6" s="436"/>
      <c r="AF6" s="432"/>
      <c r="AG6" s="432"/>
      <c r="AH6" s="432"/>
      <c r="AI6" s="432"/>
      <c r="AJ6" s="432"/>
    </row>
    <row r="7" spans="1:36" ht="15.75" x14ac:dyDescent="0.25">
      <c r="B7" s="119">
        <v>1</v>
      </c>
      <c r="C7" s="433" t="s">
        <v>100</v>
      </c>
      <c r="D7" s="433"/>
      <c r="E7" s="433"/>
      <c r="F7" s="433"/>
      <c r="G7" s="433"/>
      <c r="H7" s="433"/>
      <c r="I7" s="433"/>
      <c r="J7" s="433"/>
      <c r="K7" s="433"/>
      <c r="L7" s="433"/>
      <c r="M7" s="432"/>
      <c r="N7" s="432"/>
      <c r="O7" s="432"/>
      <c r="P7" s="432"/>
      <c r="Q7" s="432"/>
      <c r="R7" s="432"/>
      <c r="U7" s="119">
        <v>1</v>
      </c>
      <c r="V7" s="433" t="s">
        <v>100</v>
      </c>
      <c r="W7" s="433"/>
      <c r="X7" s="433"/>
      <c r="Y7" s="433"/>
      <c r="Z7" s="433"/>
      <c r="AA7" s="433"/>
      <c r="AB7" s="433"/>
      <c r="AC7" s="433"/>
      <c r="AD7" s="433"/>
      <c r="AE7" s="433"/>
      <c r="AF7" s="432"/>
      <c r="AG7" s="432"/>
      <c r="AH7" s="432"/>
      <c r="AI7" s="432"/>
      <c r="AJ7" s="432"/>
    </row>
    <row r="8" spans="1:36" ht="28.15" customHeight="1" x14ac:dyDescent="0.25">
      <c r="B8" s="119">
        <v>1.1000000000000001</v>
      </c>
      <c r="C8" s="438" t="s">
        <v>96</v>
      </c>
      <c r="D8" s="438"/>
      <c r="E8" s="438"/>
      <c r="F8" s="438"/>
      <c r="G8" s="438"/>
      <c r="H8" s="438" t="s">
        <v>144</v>
      </c>
      <c r="I8" s="438"/>
      <c r="J8" s="438"/>
      <c r="K8" s="438"/>
      <c r="L8" s="438"/>
      <c r="M8" s="439" t="s">
        <v>373</v>
      </c>
      <c r="N8" s="439"/>
      <c r="O8" s="439"/>
      <c r="P8" s="439"/>
      <c r="Q8" s="439"/>
      <c r="R8" s="439"/>
      <c r="S8" s="117"/>
      <c r="T8" s="117"/>
      <c r="U8" s="119">
        <v>1.1000000000000001</v>
      </c>
      <c r="V8" s="434" t="s">
        <v>162</v>
      </c>
      <c r="W8" s="434"/>
      <c r="X8" s="434"/>
      <c r="Y8" s="434"/>
      <c r="Z8" s="434"/>
      <c r="AA8" s="434" t="s">
        <v>163</v>
      </c>
      <c r="AB8" s="434"/>
      <c r="AC8" s="434"/>
      <c r="AD8" s="434"/>
      <c r="AE8" s="434"/>
    </row>
    <row r="9" spans="1:36" ht="28.15" customHeight="1" x14ac:dyDescent="0.25">
      <c r="B9" s="119">
        <v>1.2</v>
      </c>
      <c r="C9" s="438" t="s">
        <v>97</v>
      </c>
      <c r="D9" s="438"/>
      <c r="E9" s="438"/>
      <c r="F9" s="438"/>
      <c r="G9" s="438"/>
      <c r="H9" s="438" t="s">
        <v>97</v>
      </c>
      <c r="I9" s="438"/>
      <c r="J9" s="438"/>
      <c r="K9" s="438"/>
      <c r="L9" s="438"/>
      <c r="M9" s="439"/>
      <c r="N9" s="439"/>
      <c r="O9" s="439"/>
      <c r="P9" s="439"/>
      <c r="Q9" s="439"/>
      <c r="R9" s="439"/>
      <c r="S9" s="117"/>
      <c r="T9" s="117"/>
      <c r="U9" s="119">
        <v>1.2</v>
      </c>
      <c r="V9" s="434" t="s">
        <v>164</v>
      </c>
      <c r="W9" s="434"/>
      <c r="X9" s="434"/>
      <c r="Y9" s="434"/>
      <c r="Z9" s="434"/>
      <c r="AA9" s="434" t="s">
        <v>164</v>
      </c>
      <c r="AB9" s="434"/>
      <c r="AC9" s="434"/>
      <c r="AD9" s="434"/>
      <c r="AE9" s="434"/>
    </row>
    <row r="10" spans="1:36" ht="30" customHeight="1" x14ac:dyDescent="0.25">
      <c r="B10" s="119">
        <v>1.3</v>
      </c>
      <c r="C10" s="438" t="s">
        <v>98</v>
      </c>
      <c r="D10" s="438"/>
      <c r="E10" s="438"/>
      <c r="F10" s="438"/>
      <c r="G10" s="438"/>
      <c r="H10" s="438" t="s">
        <v>98</v>
      </c>
      <c r="I10" s="438"/>
      <c r="J10" s="438"/>
      <c r="K10" s="438"/>
      <c r="L10" s="438"/>
      <c r="M10" s="439"/>
      <c r="N10" s="439"/>
      <c r="O10" s="439"/>
      <c r="P10" s="439"/>
      <c r="Q10" s="439"/>
      <c r="R10" s="439"/>
      <c r="S10" s="117"/>
      <c r="T10" s="117"/>
      <c r="U10" s="119">
        <v>1.3</v>
      </c>
      <c r="V10" s="434" t="s">
        <v>165</v>
      </c>
      <c r="W10" s="434"/>
      <c r="X10" s="434"/>
      <c r="Y10" s="434"/>
      <c r="Z10" s="434"/>
      <c r="AA10" s="434" t="s">
        <v>165</v>
      </c>
      <c r="AB10" s="434"/>
      <c r="AC10" s="434"/>
      <c r="AD10" s="434"/>
      <c r="AE10" s="434"/>
    </row>
    <row r="11" spans="1:36" ht="28.9" customHeight="1" x14ac:dyDescent="0.25">
      <c r="B11" s="119">
        <v>1.4</v>
      </c>
      <c r="C11" s="438" t="s">
        <v>99</v>
      </c>
      <c r="D11" s="438"/>
      <c r="E11" s="438"/>
      <c r="F11" s="438"/>
      <c r="G11" s="438"/>
      <c r="H11" s="438" t="s">
        <v>99</v>
      </c>
      <c r="I11" s="438"/>
      <c r="J11" s="438"/>
      <c r="K11" s="438"/>
      <c r="L11" s="438"/>
      <c r="M11" s="439"/>
      <c r="N11" s="439"/>
      <c r="O11" s="439"/>
      <c r="P11" s="439"/>
      <c r="Q11" s="439"/>
      <c r="R11" s="439"/>
      <c r="S11" s="117"/>
      <c r="T11" s="117"/>
      <c r="U11" s="119">
        <v>1.4</v>
      </c>
      <c r="V11" s="428" t="s">
        <v>175</v>
      </c>
      <c r="W11" s="428"/>
      <c r="X11" s="428"/>
      <c r="Y11" s="428"/>
      <c r="Z11" s="428"/>
      <c r="AA11" s="428" t="s">
        <v>175</v>
      </c>
      <c r="AB11" s="428"/>
      <c r="AC11" s="428"/>
      <c r="AD11" s="428"/>
      <c r="AE11" s="428"/>
    </row>
    <row r="12" spans="1:36" ht="43.15" customHeight="1" x14ac:dyDescent="0.25">
      <c r="B12" s="119">
        <v>1.5</v>
      </c>
      <c r="C12" s="438" t="s">
        <v>146</v>
      </c>
      <c r="D12" s="438"/>
      <c r="E12" s="438"/>
      <c r="F12" s="438"/>
      <c r="G12" s="438"/>
      <c r="H12" s="438" t="s">
        <v>147</v>
      </c>
      <c r="I12" s="438"/>
      <c r="J12" s="438"/>
      <c r="K12" s="438"/>
      <c r="L12" s="438"/>
      <c r="M12" s="439"/>
      <c r="N12" s="439"/>
      <c r="O12" s="439"/>
      <c r="P12" s="439"/>
      <c r="Q12" s="439"/>
      <c r="R12" s="439"/>
      <c r="S12" s="117"/>
      <c r="T12" s="117"/>
      <c r="U12" s="119">
        <v>2</v>
      </c>
      <c r="V12" s="433" t="s">
        <v>145</v>
      </c>
      <c r="W12" s="433"/>
      <c r="X12" s="433"/>
      <c r="Y12" s="433"/>
      <c r="Z12" s="433"/>
      <c r="AA12" s="433"/>
      <c r="AB12" s="433"/>
      <c r="AC12" s="433"/>
      <c r="AD12" s="433"/>
      <c r="AE12" s="433"/>
    </row>
    <row r="13" spans="1:36" ht="57.6" customHeight="1" x14ac:dyDescent="0.25">
      <c r="B13" s="119">
        <v>1.6</v>
      </c>
      <c r="C13" s="438" t="s">
        <v>374</v>
      </c>
      <c r="D13" s="438"/>
      <c r="E13" s="438"/>
      <c r="F13" s="438"/>
      <c r="G13" s="438"/>
      <c r="H13" s="438" t="s">
        <v>154</v>
      </c>
      <c r="I13" s="438"/>
      <c r="J13" s="438"/>
      <c r="K13" s="438"/>
      <c r="L13" s="438"/>
      <c r="M13" s="439"/>
      <c r="N13" s="439"/>
      <c r="O13" s="439"/>
      <c r="P13" s="439"/>
      <c r="Q13" s="439"/>
      <c r="R13" s="439"/>
      <c r="S13" s="117"/>
      <c r="T13" s="117"/>
      <c r="U13" s="119">
        <v>2.1</v>
      </c>
      <c r="V13" s="430" t="s">
        <v>391</v>
      </c>
      <c r="W13" s="430"/>
      <c r="X13" s="430"/>
      <c r="Y13" s="430"/>
      <c r="Z13" s="430"/>
      <c r="AA13" s="430" t="s">
        <v>168</v>
      </c>
      <c r="AB13" s="430"/>
      <c r="AC13" s="430"/>
      <c r="AD13" s="430"/>
      <c r="AE13" s="430"/>
      <c r="AF13" s="431"/>
      <c r="AG13" s="431"/>
      <c r="AH13" s="431"/>
      <c r="AI13" s="431"/>
      <c r="AJ13" s="431"/>
    </row>
    <row r="14" spans="1:36" ht="55.9" customHeight="1" x14ac:dyDescent="0.25">
      <c r="B14" s="119">
        <v>1.7</v>
      </c>
      <c r="C14" s="438" t="s">
        <v>158</v>
      </c>
      <c r="D14" s="438"/>
      <c r="E14" s="438"/>
      <c r="F14" s="438"/>
      <c r="G14" s="438"/>
      <c r="H14" s="438" t="s">
        <v>157</v>
      </c>
      <c r="I14" s="438"/>
      <c r="J14" s="438"/>
      <c r="K14" s="438"/>
      <c r="L14" s="438"/>
      <c r="M14" s="427" t="s">
        <v>389</v>
      </c>
      <c r="N14" s="427"/>
      <c r="O14" s="427"/>
      <c r="P14" s="427"/>
      <c r="Q14" s="427"/>
      <c r="R14" s="427"/>
      <c r="S14" s="118"/>
      <c r="T14" s="118"/>
      <c r="V14" s="429" t="s">
        <v>166</v>
      </c>
      <c r="W14" s="429"/>
      <c r="X14" s="429"/>
      <c r="Y14" s="429"/>
      <c r="Z14" s="429"/>
      <c r="AA14" s="429" t="s">
        <v>375</v>
      </c>
      <c r="AB14" s="429"/>
      <c r="AC14" s="429"/>
      <c r="AD14" s="429"/>
      <c r="AE14" s="429"/>
      <c r="AF14" s="427" t="s">
        <v>177</v>
      </c>
      <c r="AG14" s="427"/>
      <c r="AH14" s="427"/>
      <c r="AI14" s="427"/>
      <c r="AJ14" s="427"/>
    </row>
    <row r="15" spans="1:36" ht="46.15" customHeight="1" x14ac:dyDescent="0.25">
      <c r="B15" s="119">
        <v>2</v>
      </c>
      <c r="C15" s="440" t="s">
        <v>145</v>
      </c>
      <c r="D15" s="440"/>
      <c r="E15" s="440"/>
      <c r="F15" s="440"/>
      <c r="G15" s="440"/>
      <c r="H15" s="440"/>
      <c r="I15" s="440"/>
      <c r="J15" s="440"/>
      <c r="K15" s="440"/>
      <c r="L15" s="440"/>
      <c r="V15" s="429" t="s">
        <v>376</v>
      </c>
      <c r="W15" s="429"/>
      <c r="X15" s="429"/>
      <c r="Y15" s="429"/>
      <c r="Z15" s="429"/>
      <c r="AA15" s="429" t="s">
        <v>169</v>
      </c>
      <c r="AB15" s="429"/>
      <c r="AC15" s="429"/>
      <c r="AD15" s="429"/>
      <c r="AE15" s="429"/>
      <c r="AF15" s="431"/>
      <c r="AG15" s="431"/>
      <c r="AH15" s="431"/>
      <c r="AI15" s="431"/>
      <c r="AJ15" s="431"/>
    </row>
    <row r="16" spans="1:36" ht="47.45" customHeight="1" x14ac:dyDescent="0.25">
      <c r="B16" s="119">
        <v>2.1</v>
      </c>
      <c r="C16" s="438" t="s">
        <v>377</v>
      </c>
      <c r="D16" s="438"/>
      <c r="E16" s="438"/>
      <c r="F16" s="438"/>
      <c r="G16" s="438"/>
      <c r="H16" s="438" t="s">
        <v>378</v>
      </c>
      <c r="I16" s="438"/>
      <c r="J16" s="438"/>
      <c r="K16" s="438"/>
      <c r="L16" s="438"/>
      <c r="M16" s="427" t="s">
        <v>152</v>
      </c>
      <c r="N16" s="427"/>
      <c r="O16" s="427"/>
      <c r="P16" s="427"/>
      <c r="Q16" s="427"/>
      <c r="R16" s="427"/>
      <c r="S16" s="118"/>
      <c r="T16" s="118"/>
      <c r="U16" s="119"/>
      <c r="V16" s="429" t="s">
        <v>167</v>
      </c>
      <c r="W16" s="429"/>
      <c r="X16" s="429"/>
      <c r="Y16" s="429"/>
      <c r="Z16" s="429"/>
      <c r="AA16" s="429" t="s">
        <v>173</v>
      </c>
      <c r="AB16" s="429"/>
      <c r="AC16" s="429"/>
      <c r="AD16" s="429"/>
      <c r="AE16" s="429"/>
      <c r="AF16" s="427" t="s">
        <v>179</v>
      </c>
      <c r="AG16" s="427"/>
      <c r="AH16" s="427"/>
      <c r="AI16" s="427"/>
      <c r="AJ16" s="427"/>
    </row>
    <row r="17" spans="2:31" ht="40.9" customHeight="1" x14ac:dyDescent="0.25">
      <c r="B17" s="119">
        <v>2.2000000000000002</v>
      </c>
      <c r="C17" s="438" t="s">
        <v>148</v>
      </c>
      <c r="D17" s="438"/>
      <c r="E17" s="438"/>
      <c r="F17" s="438"/>
      <c r="G17" s="438"/>
      <c r="H17" s="438" t="s">
        <v>151</v>
      </c>
      <c r="I17" s="438"/>
      <c r="J17" s="438"/>
      <c r="K17" s="438"/>
      <c r="L17" s="438"/>
      <c r="M17" s="427" t="s">
        <v>390</v>
      </c>
      <c r="N17" s="427"/>
      <c r="O17" s="427"/>
      <c r="P17" s="427"/>
      <c r="Q17" s="427"/>
      <c r="R17" s="427"/>
      <c r="S17" s="118"/>
      <c r="T17" s="118"/>
      <c r="U17" s="119">
        <v>2.2000000000000002</v>
      </c>
      <c r="V17" s="430" t="s">
        <v>171</v>
      </c>
      <c r="W17" s="430"/>
      <c r="X17" s="430"/>
      <c r="Y17" s="430"/>
      <c r="Z17" s="430"/>
      <c r="AA17" s="430" t="s">
        <v>170</v>
      </c>
      <c r="AB17" s="430"/>
      <c r="AC17" s="430"/>
      <c r="AD17" s="430"/>
      <c r="AE17" s="430"/>
    </row>
    <row r="18" spans="2:31" ht="47.45" customHeight="1" x14ac:dyDescent="0.25">
      <c r="B18" s="119">
        <v>2.2999999999999998</v>
      </c>
      <c r="C18" s="438" t="s">
        <v>149</v>
      </c>
      <c r="D18" s="438"/>
      <c r="E18" s="438"/>
      <c r="F18" s="438"/>
      <c r="G18" s="438"/>
      <c r="H18" s="438" t="s">
        <v>150</v>
      </c>
      <c r="I18" s="438"/>
      <c r="J18" s="438"/>
      <c r="K18" s="438"/>
      <c r="L18" s="438"/>
      <c r="M18" s="26"/>
      <c r="N18" s="26"/>
      <c r="O18" s="26"/>
      <c r="P18" s="26"/>
      <c r="V18" s="429" t="s">
        <v>174</v>
      </c>
      <c r="W18" s="429"/>
      <c r="X18" s="429"/>
      <c r="Y18" s="429"/>
      <c r="Z18" s="429"/>
      <c r="AA18" s="429" t="s">
        <v>176</v>
      </c>
      <c r="AB18" s="429"/>
      <c r="AC18" s="429"/>
      <c r="AD18" s="429"/>
      <c r="AE18" s="429"/>
    </row>
    <row r="19" spans="2:31" ht="72" customHeight="1" x14ac:dyDescent="0.25">
      <c r="B19" s="119">
        <v>2.4</v>
      </c>
      <c r="C19" s="438" t="s">
        <v>379</v>
      </c>
      <c r="D19" s="438"/>
      <c r="E19" s="438"/>
      <c r="F19" s="438"/>
      <c r="G19" s="438"/>
      <c r="H19" s="438" t="s">
        <v>159</v>
      </c>
      <c r="I19" s="438"/>
      <c r="J19" s="438"/>
      <c r="K19" s="438"/>
      <c r="L19" s="438"/>
      <c r="M19" s="26"/>
      <c r="N19" s="26"/>
      <c r="O19" s="26"/>
      <c r="P19" s="26"/>
      <c r="U19" s="119">
        <v>3</v>
      </c>
      <c r="V19" s="426" t="s">
        <v>101</v>
      </c>
      <c r="W19" s="426"/>
      <c r="X19" s="426"/>
      <c r="Y19" s="426"/>
      <c r="Z19" s="426"/>
      <c r="AA19" s="426"/>
      <c r="AB19" s="426"/>
      <c r="AC19" s="426"/>
      <c r="AD19" s="426"/>
      <c r="AE19" s="426"/>
    </row>
    <row r="20" spans="2:31" ht="52.15" customHeight="1" x14ac:dyDescent="0.25">
      <c r="B20" s="119">
        <v>3</v>
      </c>
      <c r="C20" s="426" t="s">
        <v>101</v>
      </c>
      <c r="D20" s="426"/>
      <c r="E20" s="426"/>
      <c r="F20" s="426"/>
      <c r="G20" s="426"/>
      <c r="H20" s="426"/>
      <c r="I20" s="426"/>
      <c r="J20" s="426"/>
      <c r="K20" s="426"/>
      <c r="L20" s="426"/>
      <c r="V20" s="382" t="s">
        <v>388</v>
      </c>
      <c r="W20" s="382"/>
      <c r="X20" s="382"/>
      <c r="Y20" s="382"/>
      <c r="Z20" s="382"/>
      <c r="AA20" s="382"/>
      <c r="AB20" s="382"/>
      <c r="AC20" s="382"/>
      <c r="AD20" s="382"/>
      <c r="AE20" s="382"/>
    </row>
    <row r="21" spans="2:31" ht="14.45" customHeight="1" x14ac:dyDescent="0.25">
      <c r="B21" s="119">
        <v>3.1</v>
      </c>
      <c r="C21" s="437" t="s">
        <v>160</v>
      </c>
      <c r="D21" s="437"/>
      <c r="E21" s="437"/>
      <c r="F21" s="437"/>
      <c r="G21" s="437"/>
      <c r="H21" s="437"/>
      <c r="I21" s="437"/>
      <c r="J21" s="437"/>
      <c r="K21" s="437"/>
      <c r="L21" s="437"/>
    </row>
    <row r="22" spans="2:31" ht="145.5" customHeight="1" x14ac:dyDescent="0.25">
      <c r="B22" s="119">
        <v>3.2</v>
      </c>
      <c r="C22" s="434" t="s">
        <v>387</v>
      </c>
      <c r="D22" s="434"/>
      <c r="E22" s="434"/>
      <c r="F22" s="434"/>
      <c r="G22" s="434"/>
      <c r="H22" s="434"/>
      <c r="I22" s="434"/>
      <c r="J22" s="434"/>
      <c r="K22" s="434"/>
      <c r="L22" s="434"/>
    </row>
    <row r="23" spans="2:31" ht="44.45" customHeight="1" x14ac:dyDescent="0.25">
      <c r="B23" s="119">
        <v>3.3</v>
      </c>
      <c r="C23" s="434" t="s">
        <v>380</v>
      </c>
      <c r="D23" s="434"/>
      <c r="E23" s="434"/>
      <c r="F23" s="434"/>
      <c r="G23" s="434"/>
      <c r="H23" s="434"/>
      <c r="I23" s="434"/>
      <c r="J23" s="434"/>
      <c r="K23" s="434"/>
      <c r="L23" s="434"/>
    </row>
  </sheetData>
  <mergeCells count="69">
    <mergeCell ref="C20:L20"/>
    <mergeCell ref="M16:R16"/>
    <mergeCell ref="M17:R17"/>
    <mergeCell ref="H19:L19"/>
    <mergeCell ref="C19:G19"/>
    <mergeCell ref="M8:R13"/>
    <mergeCell ref="H18:L18"/>
    <mergeCell ref="H17:L17"/>
    <mergeCell ref="H16:L16"/>
    <mergeCell ref="H13:L13"/>
    <mergeCell ref="H12:L12"/>
    <mergeCell ref="C15:L15"/>
    <mergeCell ref="C13:G13"/>
    <mergeCell ref="C16:G16"/>
    <mergeCell ref="C17:G17"/>
    <mergeCell ref="C18:G18"/>
    <mergeCell ref="H14:L14"/>
    <mergeCell ref="C14:G14"/>
    <mergeCell ref="M14:R14"/>
    <mergeCell ref="C21:L21"/>
    <mergeCell ref="C22:L22"/>
    <mergeCell ref="C23:L23"/>
    <mergeCell ref="C5:L5"/>
    <mergeCell ref="C12:G12"/>
    <mergeCell ref="C8:G8"/>
    <mergeCell ref="C9:G9"/>
    <mergeCell ref="C10:G10"/>
    <mergeCell ref="C11:G11"/>
    <mergeCell ref="H8:L8"/>
    <mergeCell ref="H9:L9"/>
    <mergeCell ref="H10:L10"/>
    <mergeCell ref="H11:L11"/>
    <mergeCell ref="C6:G6"/>
    <mergeCell ref="H6:L6"/>
    <mergeCell ref="C7:L7"/>
    <mergeCell ref="AA10:AE10"/>
    <mergeCell ref="V5:AE5"/>
    <mergeCell ref="V6:Z6"/>
    <mergeCell ref="AA6:AE6"/>
    <mergeCell ref="V7:AE7"/>
    <mergeCell ref="V8:Z8"/>
    <mergeCell ref="AA8:AE8"/>
    <mergeCell ref="A2:AJ2"/>
    <mergeCell ref="AF13:AJ13"/>
    <mergeCell ref="AF15:AJ15"/>
    <mergeCell ref="M5:R7"/>
    <mergeCell ref="AF5:AJ7"/>
    <mergeCell ref="V12:AE12"/>
    <mergeCell ref="AF14:AJ14"/>
    <mergeCell ref="AA13:AE13"/>
    <mergeCell ref="AA14:AE14"/>
    <mergeCell ref="AA15:AE15"/>
    <mergeCell ref="V13:Z13"/>
    <mergeCell ref="V14:Z14"/>
    <mergeCell ref="V15:Z15"/>
    <mergeCell ref="AA9:AE9"/>
    <mergeCell ref="V9:Z9"/>
    <mergeCell ref="V10:Z10"/>
    <mergeCell ref="V19:AE19"/>
    <mergeCell ref="V20:AE20"/>
    <mergeCell ref="AF16:AJ16"/>
    <mergeCell ref="V11:Z11"/>
    <mergeCell ref="AA11:AE11"/>
    <mergeCell ref="V16:Z16"/>
    <mergeCell ref="V17:Z17"/>
    <mergeCell ref="V18:Z18"/>
    <mergeCell ref="AA16:AE16"/>
    <mergeCell ref="AA17:AE17"/>
    <mergeCell ref="AA18:AE18"/>
  </mergeCells>
  <pageMargins left="0.70866141732283472" right="0.70866141732283472" top="0.74803149606299213" bottom="0.74803149606299213" header="0.31496062992125984" footer="0.31496062992125984"/>
  <pageSetup paperSize="9" scale="65"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3:P49"/>
  <sheetViews>
    <sheetView topLeftCell="C1" zoomScale="90" zoomScaleNormal="90" workbookViewId="0">
      <pane ySplit="8" topLeftCell="A9" activePane="bottomLeft" state="frozen"/>
      <selection pane="bottomLeft" activeCell="I1" sqref="I1"/>
    </sheetView>
  </sheetViews>
  <sheetFormatPr defaultColWidth="30.7109375" defaultRowHeight="15" x14ac:dyDescent="0.25"/>
  <sheetData>
    <row r="3" spans="1:9" ht="15.75" x14ac:dyDescent="0.25">
      <c r="A3" s="350" t="s">
        <v>132</v>
      </c>
      <c r="B3" s="62"/>
    </row>
    <row r="4" spans="1:9" ht="15.75" x14ac:dyDescent="0.25">
      <c r="A4" s="351" t="s">
        <v>137</v>
      </c>
      <c r="B4" s="62"/>
    </row>
    <row r="5" spans="1:9" ht="15.75" x14ac:dyDescent="0.25">
      <c r="A5" s="352" t="s">
        <v>136</v>
      </c>
      <c r="B5" s="63"/>
    </row>
    <row r="6" spans="1:9" ht="15.75" x14ac:dyDescent="0.25">
      <c r="A6" s="352"/>
      <c r="B6" s="64"/>
      <c r="F6" s="420" t="s">
        <v>125</v>
      </c>
      <c r="G6" s="420"/>
      <c r="H6" s="448" t="s">
        <v>126</v>
      </c>
      <c r="I6" s="448"/>
    </row>
    <row r="7" spans="1:9" ht="15.75" x14ac:dyDescent="0.25">
      <c r="B7" s="61"/>
      <c r="F7" s="104"/>
      <c r="G7" s="105"/>
      <c r="H7" s="106"/>
      <c r="I7" s="65"/>
    </row>
    <row r="8" spans="1:9" ht="15.75" x14ac:dyDescent="0.25">
      <c r="B8" s="455" t="s">
        <v>116</v>
      </c>
      <c r="C8" s="455"/>
      <c r="D8" s="418" t="s">
        <v>117</v>
      </c>
      <c r="E8" s="418"/>
      <c r="F8" s="420" t="s">
        <v>124</v>
      </c>
      <c r="G8" s="420"/>
      <c r="H8" s="448" t="s">
        <v>124</v>
      </c>
      <c r="I8" s="448"/>
    </row>
    <row r="10" spans="1:9" x14ac:dyDescent="0.25">
      <c r="B10" s="454" t="s">
        <v>121</v>
      </c>
      <c r="C10" s="454"/>
      <c r="D10" s="459" t="s">
        <v>360</v>
      </c>
      <c r="E10" s="459"/>
      <c r="F10" s="457" t="s">
        <v>360</v>
      </c>
      <c r="G10" s="457"/>
      <c r="H10" s="451" t="s">
        <v>360</v>
      </c>
      <c r="I10" s="451"/>
    </row>
    <row r="11" spans="1:9" ht="43.9" customHeight="1" x14ac:dyDescent="0.25">
      <c r="B11" s="80" t="s">
        <v>129</v>
      </c>
      <c r="C11" s="108" t="s">
        <v>130</v>
      </c>
      <c r="D11" s="81" t="s">
        <v>127</v>
      </c>
      <c r="E11" s="107" t="s">
        <v>138</v>
      </c>
      <c r="F11" s="78" t="s">
        <v>127</v>
      </c>
      <c r="G11" s="109" t="s">
        <v>138</v>
      </c>
      <c r="H11" s="79" t="s">
        <v>127</v>
      </c>
      <c r="I11" s="110" t="s">
        <v>138</v>
      </c>
    </row>
    <row r="12" spans="1:9" x14ac:dyDescent="0.25">
      <c r="B12" s="458" t="s">
        <v>139</v>
      </c>
      <c r="C12" s="458"/>
      <c r="D12" s="460" t="s">
        <v>139</v>
      </c>
      <c r="E12" s="460"/>
      <c r="F12" s="456" t="s">
        <v>139</v>
      </c>
      <c r="G12" s="456"/>
      <c r="H12" s="445" t="s">
        <v>139</v>
      </c>
      <c r="I12" s="445"/>
    </row>
    <row r="13" spans="1:9" x14ac:dyDescent="0.25">
      <c r="B13" s="458" t="s">
        <v>140</v>
      </c>
      <c r="C13" s="458"/>
      <c r="D13" s="460" t="s">
        <v>140</v>
      </c>
      <c r="E13" s="460"/>
      <c r="F13" s="456" t="s">
        <v>140</v>
      </c>
      <c r="G13" s="456"/>
      <c r="H13" s="445" t="s">
        <v>140</v>
      </c>
      <c r="I13" s="445"/>
    </row>
    <row r="14" spans="1:9" x14ac:dyDescent="0.25">
      <c r="B14" s="5"/>
      <c r="C14" s="5"/>
      <c r="D14" s="91"/>
      <c r="E14" s="91"/>
      <c r="F14" s="99"/>
      <c r="G14" s="99"/>
      <c r="H14" s="44"/>
      <c r="I14" s="44"/>
    </row>
    <row r="15" spans="1:9" ht="30" x14ac:dyDescent="0.25">
      <c r="B15" s="83" t="s">
        <v>122</v>
      </c>
      <c r="C15" s="83" t="s">
        <v>123</v>
      </c>
      <c r="D15" s="92" t="s">
        <v>122</v>
      </c>
      <c r="E15" s="92" t="s">
        <v>123</v>
      </c>
      <c r="F15" s="446" t="s">
        <v>128</v>
      </c>
      <c r="G15" s="446"/>
      <c r="H15" s="449" t="s">
        <v>128</v>
      </c>
      <c r="I15" s="449"/>
    </row>
    <row r="16" spans="1:9" x14ac:dyDescent="0.25">
      <c r="B16" s="84" t="s">
        <v>127</v>
      </c>
      <c r="C16" s="84" t="s">
        <v>127</v>
      </c>
      <c r="D16" s="93" t="s">
        <v>127</v>
      </c>
      <c r="E16" s="93" t="s">
        <v>127</v>
      </c>
      <c r="F16" s="447" t="s">
        <v>127</v>
      </c>
      <c r="G16" s="447"/>
      <c r="H16" s="450" t="s">
        <v>127</v>
      </c>
      <c r="I16" s="450"/>
    </row>
    <row r="17" spans="2:16" ht="57.6" customHeight="1" x14ac:dyDescent="0.25">
      <c r="B17" s="83" t="s">
        <v>131</v>
      </c>
      <c r="C17" s="83" t="s">
        <v>361</v>
      </c>
      <c r="D17" s="92" t="s">
        <v>131</v>
      </c>
      <c r="E17" s="92" t="s">
        <v>361</v>
      </c>
      <c r="F17" s="446" t="s">
        <v>362</v>
      </c>
      <c r="G17" s="446"/>
      <c r="H17" s="449" t="s">
        <v>362</v>
      </c>
      <c r="I17" s="449"/>
    </row>
    <row r="18" spans="2:16" x14ac:dyDescent="0.25">
      <c r="B18" s="5"/>
      <c r="C18" s="5"/>
      <c r="D18" s="91"/>
      <c r="E18" s="91"/>
      <c r="F18" s="99"/>
      <c r="G18" s="99"/>
      <c r="H18" s="44"/>
      <c r="I18" s="44"/>
    </row>
    <row r="19" spans="2:16" x14ac:dyDescent="0.25">
      <c r="B19" s="86" t="s">
        <v>142</v>
      </c>
      <c r="C19" s="86" t="s">
        <v>142</v>
      </c>
      <c r="D19" s="94" t="s">
        <v>118</v>
      </c>
      <c r="E19" s="94" t="s">
        <v>118</v>
      </c>
      <c r="F19" s="441" t="s">
        <v>118</v>
      </c>
      <c r="G19" s="441"/>
      <c r="H19" s="442" t="s">
        <v>118</v>
      </c>
      <c r="I19" s="442"/>
      <c r="J19" s="60"/>
      <c r="K19" s="60"/>
      <c r="L19" s="60"/>
      <c r="M19" s="60"/>
      <c r="N19" s="60"/>
      <c r="O19" s="60"/>
      <c r="P19" s="60"/>
    </row>
    <row r="20" spans="2:16" x14ac:dyDescent="0.25">
      <c r="B20" s="85" t="s">
        <v>119</v>
      </c>
      <c r="C20" s="85" t="s">
        <v>119</v>
      </c>
      <c r="D20" s="94" t="s">
        <v>119</v>
      </c>
      <c r="E20" s="95" t="s">
        <v>120</v>
      </c>
      <c r="F20" s="441" t="s">
        <v>155</v>
      </c>
      <c r="G20" s="441"/>
      <c r="H20" s="442" t="s">
        <v>135</v>
      </c>
      <c r="I20" s="442"/>
      <c r="J20" s="60"/>
      <c r="K20" s="60"/>
      <c r="L20" s="60"/>
      <c r="M20" s="60"/>
      <c r="N20" s="60"/>
      <c r="O20" s="60"/>
      <c r="P20" s="60"/>
    </row>
    <row r="21" spans="2:16" x14ac:dyDescent="0.25">
      <c r="B21" s="88"/>
      <c r="C21" s="89" t="s">
        <v>133</v>
      </c>
      <c r="D21" s="97"/>
      <c r="E21" s="96" t="s">
        <v>134</v>
      </c>
      <c r="F21" s="444" t="s">
        <v>180</v>
      </c>
      <c r="G21" s="444"/>
      <c r="H21" s="443" t="s">
        <v>156</v>
      </c>
      <c r="I21" s="443"/>
      <c r="J21" s="60"/>
      <c r="K21" s="60"/>
      <c r="L21" s="60"/>
      <c r="M21" s="60"/>
      <c r="N21" s="60"/>
      <c r="O21" s="60"/>
      <c r="P21" s="60"/>
    </row>
    <row r="22" spans="2:16" x14ac:dyDescent="0.25">
      <c r="B22" s="87"/>
      <c r="C22" s="88"/>
      <c r="D22" s="98"/>
      <c r="E22" s="97"/>
      <c r="F22" s="101"/>
      <c r="G22" s="100"/>
      <c r="H22" s="103"/>
      <c r="I22" s="102"/>
      <c r="J22" s="60"/>
      <c r="K22" s="60"/>
      <c r="L22" s="60"/>
      <c r="M22" s="60"/>
      <c r="N22" s="60"/>
      <c r="O22" s="60"/>
      <c r="P22" s="60"/>
    </row>
    <row r="24" spans="2:16" ht="15.75" x14ac:dyDescent="0.25">
      <c r="B24" s="452" t="s">
        <v>363</v>
      </c>
      <c r="C24" s="452"/>
      <c r="D24" s="123"/>
      <c r="E24" s="123"/>
      <c r="F24" s="452" t="s">
        <v>363</v>
      </c>
      <c r="G24" s="452"/>
      <c r="H24" s="123"/>
      <c r="I24" s="123"/>
    </row>
    <row r="25" spans="2:16" ht="45" x14ac:dyDescent="0.25">
      <c r="B25" s="127" t="s">
        <v>206</v>
      </c>
      <c r="C25" s="126" t="s">
        <v>207</v>
      </c>
      <c r="F25" s="128" t="s">
        <v>3</v>
      </c>
      <c r="G25" s="129" t="s">
        <v>185</v>
      </c>
      <c r="H25" s="128" t="s">
        <v>3</v>
      </c>
      <c r="I25" s="129" t="s">
        <v>185</v>
      </c>
    </row>
    <row r="26" spans="2:16" ht="60" x14ac:dyDescent="0.25">
      <c r="B26" s="120" t="s">
        <v>208</v>
      </c>
      <c r="C26" s="122" t="s">
        <v>168</v>
      </c>
      <c r="F26" s="120" t="s">
        <v>364</v>
      </c>
      <c r="G26" s="120" t="s">
        <v>190</v>
      </c>
      <c r="H26" s="453" t="s">
        <v>482</v>
      </c>
      <c r="I26" s="120" t="s">
        <v>190</v>
      </c>
    </row>
    <row r="27" spans="2:16" ht="75" x14ac:dyDescent="0.25">
      <c r="B27" s="120" t="s">
        <v>209</v>
      </c>
      <c r="C27" s="120" t="s">
        <v>215</v>
      </c>
      <c r="F27" s="120" t="s">
        <v>181</v>
      </c>
      <c r="G27" s="120" t="s">
        <v>189</v>
      </c>
      <c r="H27" s="453"/>
      <c r="I27" s="120" t="s">
        <v>189</v>
      </c>
    </row>
    <row r="28" spans="2:16" ht="75" x14ac:dyDescent="0.25">
      <c r="B28" s="120" t="s">
        <v>210</v>
      </c>
      <c r="C28" s="120" t="s">
        <v>214</v>
      </c>
      <c r="F28" s="120" t="s">
        <v>365</v>
      </c>
      <c r="G28" s="120" t="s">
        <v>187</v>
      </c>
      <c r="H28" s="453"/>
      <c r="I28" s="120" t="s">
        <v>187</v>
      </c>
    </row>
    <row r="29" spans="2:16" ht="60" x14ac:dyDescent="0.25">
      <c r="B29" s="120" t="s">
        <v>211</v>
      </c>
      <c r="C29" s="120" t="s">
        <v>213</v>
      </c>
      <c r="F29" s="120" t="s">
        <v>182</v>
      </c>
      <c r="G29" s="120" t="s">
        <v>188</v>
      </c>
      <c r="H29" s="453"/>
      <c r="I29" s="120" t="s">
        <v>188</v>
      </c>
    </row>
    <row r="30" spans="2:16" ht="75" x14ac:dyDescent="0.25">
      <c r="B30" s="32" t="s">
        <v>212</v>
      </c>
      <c r="C30" s="32" t="s">
        <v>212</v>
      </c>
      <c r="F30" s="120" t="s">
        <v>183</v>
      </c>
      <c r="G30" s="120" t="s">
        <v>186</v>
      </c>
      <c r="H30" s="453"/>
      <c r="I30" s="120" t="s">
        <v>205</v>
      </c>
    </row>
    <row r="31" spans="2:16" ht="30" x14ac:dyDescent="0.25">
      <c r="F31" s="120" t="s">
        <v>184</v>
      </c>
      <c r="G31" s="120" t="s">
        <v>191</v>
      </c>
      <c r="H31" s="453"/>
      <c r="I31" s="120" t="s">
        <v>191</v>
      </c>
    </row>
    <row r="32" spans="2:16" ht="30" x14ac:dyDescent="0.25">
      <c r="B32" s="124" t="s">
        <v>220</v>
      </c>
      <c r="C32" s="124" t="s">
        <v>219</v>
      </c>
    </row>
    <row r="33" spans="2:9" ht="30" x14ac:dyDescent="0.25">
      <c r="B33" s="120" t="s">
        <v>216</v>
      </c>
      <c r="C33" s="120" t="s">
        <v>225</v>
      </c>
      <c r="F33" s="130" t="s">
        <v>192</v>
      </c>
      <c r="G33" s="130" t="s">
        <v>197</v>
      </c>
      <c r="H33" s="121"/>
      <c r="I33" s="130" t="s">
        <v>197</v>
      </c>
    </row>
    <row r="34" spans="2:9" ht="75" x14ac:dyDescent="0.25">
      <c r="B34" s="120" t="s">
        <v>217</v>
      </c>
      <c r="C34" s="120" t="s">
        <v>224</v>
      </c>
      <c r="F34" s="120" t="s">
        <v>194</v>
      </c>
      <c r="G34" s="120" t="s">
        <v>204</v>
      </c>
      <c r="H34" s="120"/>
      <c r="I34" s="120" t="s">
        <v>366</v>
      </c>
    </row>
    <row r="35" spans="2:9" ht="75" x14ac:dyDescent="0.25">
      <c r="B35" s="120" t="s">
        <v>367</v>
      </c>
      <c r="C35" s="120" t="s">
        <v>223</v>
      </c>
      <c r="F35" s="120" t="s">
        <v>193</v>
      </c>
      <c r="G35" s="120" t="s">
        <v>201</v>
      </c>
      <c r="H35" s="120"/>
      <c r="I35" s="120" t="s">
        <v>368</v>
      </c>
    </row>
    <row r="36" spans="2:9" ht="30" x14ac:dyDescent="0.25">
      <c r="B36" s="120" t="s">
        <v>218</v>
      </c>
      <c r="C36" s="120" t="s">
        <v>222</v>
      </c>
      <c r="F36" s="120" t="s">
        <v>369</v>
      </c>
      <c r="G36" s="120" t="s">
        <v>203</v>
      </c>
      <c r="H36" s="120"/>
      <c r="I36" s="120" t="s">
        <v>202</v>
      </c>
    </row>
    <row r="37" spans="2:9" ht="45" x14ac:dyDescent="0.25">
      <c r="B37" s="120" t="s">
        <v>370</v>
      </c>
      <c r="C37" s="120" t="s">
        <v>370</v>
      </c>
      <c r="E37" s="120"/>
      <c r="F37" s="120" t="s">
        <v>199</v>
      </c>
      <c r="G37" s="120" t="s">
        <v>196</v>
      </c>
      <c r="H37" s="120"/>
      <c r="I37" s="120" t="s">
        <v>196</v>
      </c>
    </row>
    <row r="38" spans="2:9" ht="30" x14ac:dyDescent="0.25">
      <c r="F38" s="120" t="s">
        <v>198</v>
      </c>
      <c r="G38" s="120" t="s">
        <v>195</v>
      </c>
      <c r="H38" s="120"/>
      <c r="I38" s="120" t="s">
        <v>195</v>
      </c>
    </row>
    <row r="39" spans="2:9" ht="45" x14ac:dyDescent="0.25">
      <c r="B39" s="124" t="s">
        <v>221</v>
      </c>
      <c r="C39" s="125" t="s">
        <v>228</v>
      </c>
      <c r="F39" s="120" t="s">
        <v>191</v>
      </c>
      <c r="G39" s="120" t="s">
        <v>232</v>
      </c>
      <c r="I39" s="120" t="s">
        <v>232</v>
      </c>
    </row>
    <row r="40" spans="2:9" ht="30" x14ac:dyDescent="0.25">
      <c r="B40" s="120" t="s">
        <v>226</v>
      </c>
      <c r="C40" s="120" t="s">
        <v>229</v>
      </c>
    </row>
    <row r="41" spans="2:9" ht="45" x14ac:dyDescent="0.25">
      <c r="B41" s="120" t="s">
        <v>261</v>
      </c>
      <c r="C41" s="120" t="s">
        <v>230</v>
      </c>
    </row>
    <row r="42" spans="2:9" ht="60" x14ac:dyDescent="0.25">
      <c r="B42" s="120" t="s">
        <v>227</v>
      </c>
      <c r="C42" s="120" t="s">
        <v>231</v>
      </c>
    </row>
    <row r="43" spans="2:9" ht="45" x14ac:dyDescent="0.25">
      <c r="B43" s="120" t="s">
        <v>370</v>
      </c>
      <c r="C43" s="120" t="s">
        <v>232</v>
      </c>
    </row>
    <row r="44" spans="2:9" ht="30" x14ac:dyDescent="0.25">
      <c r="C44" s="120" t="s">
        <v>371</v>
      </c>
    </row>
    <row r="46" spans="2:9" ht="60" x14ac:dyDescent="0.25">
      <c r="B46" s="124" t="s">
        <v>234</v>
      </c>
      <c r="C46" s="125" t="s">
        <v>233</v>
      </c>
    </row>
    <row r="47" spans="2:9" ht="60" x14ac:dyDescent="0.25">
      <c r="B47" s="120" t="s">
        <v>235</v>
      </c>
      <c r="C47" s="120" t="s">
        <v>236</v>
      </c>
    </row>
    <row r="48" spans="2:9" ht="45" x14ac:dyDescent="0.25">
      <c r="B48" s="120" t="s">
        <v>372</v>
      </c>
      <c r="C48" s="120" t="s">
        <v>237</v>
      </c>
    </row>
    <row r="49" spans="2:3" ht="45" x14ac:dyDescent="0.25">
      <c r="B49" s="120" t="s">
        <v>200</v>
      </c>
      <c r="C49" s="120" t="s">
        <v>238</v>
      </c>
    </row>
  </sheetData>
  <mergeCells count="33">
    <mergeCell ref="F24:G24"/>
    <mergeCell ref="H26:H31"/>
    <mergeCell ref="B24:C24"/>
    <mergeCell ref="B10:C10"/>
    <mergeCell ref="B8:C8"/>
    <mergeCell ref="F12:G12"/>
    <mergeCell ref="F8:G8"/>
    <mergeCell ref="F10:G10"/>
    <mergeCell ref="B12:C12"/>
    <mergeCell ref="D10:E10"/>
    <mergeCell ref="D8:E8"/>
    <mergeCell ref="B13:C13"/>
    <mergeCell ref="D12:E12"/>
    <mergeCell ref="D13:E13"/>
    <mergeCell ref="F13:G13"/>
    <mergeCell ref="H12:I12"/>
    <mergeCell ref="H13:I13"/>
    <mergeCell ref="F15:G15"/>
    <mergeCell ref="F16:G16"/>
    <mergeCell ref="F17:G17"/>
    <mergeCell ref="F6:G6"/>
    <mergeCell ref="H6:I6"/>
    <mergeCell ref="H15:I15"/>
    <mergeCell ref="H16:I16"/>
    <mergeCell ref="H17:I17"/>
    <mergeCell ref="H8:I8"/>
    <mergeCell ref="H10:I10"/>
    <mergeCell ref="F19:G19"/>
    <mergeCell ref="F20:G20"/>
    <mergeCell ref="H19:I19"/>
    <mergeCell ref="H20:I20"/>
    <mergeCell ref="H21:I21"/>
    <mergeCell ref="F21:G21"/>
  </mergeCells>
  <pageMargins left="0.23622047244094491" right="0.23622047244094491" top="0.74803149606299213" bottom="0.74803149606299213" header="0.31496062992125984" footer="0.31496062992125984"/>
  <pageSetup paperSize="9" scale="55"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rdering xmlns="1e0ec87a-2ca9-4846-bcf0-31c9454ca23d">2</Ordering>
    <Spending_x0020_Review_x0020_Type xmlns="1e0ec87a-2ca9-4846-bcf0-31c9454ca23d">Student Spending Review</Spending_x0020_Review_x0020_Type>
    <Category xmlns="1e0ec87a-2ca9-4846-bcf0-31c9454ca23d">General Public Services</Category>
    <Sub_x002d_Category xmlns="1e0ec87a-2ca9-4846-bcf0-31c9454ca23d">Merge the Basic Accounting System and Logistical Information System Oversight Units Operating in the Northern Cape Provincial Treasury</Sub_x002d_Category>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A2807A6C5F8284F8789C15F28D950C6" ma:contentTypeVersion="4" ma:contentTypeDescription="Create a new document." ma:contentTypeScope="" ma:versionID="0f83a24b07d9af32d5f37d6a908cfb59">
  <xsd:schema xmlns:xsd="http://www.w3.org/2001/XMLSchema" xmlns:xs="http://www.w3.org/2001/XMLSchema" xmlns:p="http://schemas.microsoft.com/office/2006/metadata/properties" xmlns:ns2="1e0ec87a-2ca9-4846-bcf0-31c9454ca23d" targetNamespace="http://schemas.microsoft.com/office/2006/metadata/properties" ma:root="true" ma:fieldsID="62edb0bdaae9d34505eb639a58ad0f3b" ns2:_="">
    <xsd:import namespace="1e0ec87a-2ca9-4846-bcf0-31c9454ca23d"/>
    <xsd:element name="properties">
      <xsd:complexType>
        <xsd:sequence>
          <xsd:element name="documentManagement">
            <xsd:complexType>
              <xsd:all>
                <xsd:element ref="ns2:Category" minOccurs="0"/>
                <xsd:element ref="ns2:Sub_x002d_Category" minOccurs="0"/>
                <xsd:element ref="ns2:Spending_x0020_Review_x0020_Type" minOccurs="0"/>
                <xsd:element ref="ns2:Order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0ec87a-2ca9-4846-bcf0-31c9454ca23d" elementFormDefault="qualified">
    <xsd:import namespace="http://schemas.microsoft.com/office/2006/documentManagement/types"/>
    <xsd:import namespace="http://schemas.microsoft.com/office/infopath/2007/PartnerControls"/>
    <xsd:element name="Category" ma:index="8" nillable="true" ma:displayName="Category" ma:format="Dropdown" ma:internalName="Category">
      <xsd:simpleType>
        <xsd:restriction base="dms:Choice">
          <xsd:enumeration value="Economic Development"/>
          <xsd:enumeration value="General Public Services"/>
          <xsd:enumeration value="Health"/>
          <xsd:enumeration value="Social Development"/>
          <xsd:enumeration value="Learning and Culture"/>
          <xsd:enumeration value="Peace and Security"/>
          <xsd:enumeration value="Urban Development and Infrastructure"/>
        </xsd:restriction>
      </xsd:simpleType>
    </xsd:element>
    <xsd:element name="Sub_x002d_Category" ma:index="9" nillable="true" ma:displayName="Sub-Category" ma:format="Dropdown" ma:internalName="Sub_x002d_Category">
      <xsd:simpleType>
        <xsd:restriction base="dms:Choice">
          <xsd:enumeration value="Artisan Development"/>
          <xsd:enumeration value="Government Funding in Research Development and Innovation"/>
          <xsd:enumeration value="Industrial Development Zones"/>
          <xsd:enumeration value="Nature Reserves Provinces"/>
          <xsd:enumeration value="Science Councils Partnering with Private Sector"/>
          <xsd:enumeration value="SEDA Technology Innovators"/>
          <xsd:enumeration value="An Assessment of the Efficacy of Farmer Support Programmes in Gauteng Province"/>
          <xsd:enumeration value="Clothing and Textile Competitiveness Programme"/>
          <xsd:enumeration value="Efficiency of the Expanded Programme of Public Works in DEFF"/>
          <xsd:enumeration value="Special Economic Zones"/>
          <xsd:enumeration value="The Cost of the Operation of the ESSA Database within the Package of Public Employment Services offered by the DoL"/>
          <xsd:enumeration value="Tourism Incentive Programme"/>
          <xsd:enumeration value="Unemployment in the Department of Employment and Labour"/>
          <xsd:enumeration value="Foreign Missions Cost Drivers"/>
          <xsd:enumeration value="Language Services"/>
          <xsd:enumeration value="Office Leases - Provinces"/>
          <xsd:enumeration value="Offices Leases - National"/>
          <xsd:enumeration value="Analysis of the Key Cost Drivers of Foreign Missions on DIRCO's Budget"/>
          <xsd:enumeration value="Information Communication and Technology Expenditure in KZN"/>
          <xsd:enumeration value="Merge the Basic Accounting System and Logistical Information System Oversight Units Operating in the Northern Cape Provincial Treasury"/>
          <xsd:enumeration value="Party Time with Government - A Review of Events and International Trips in KZN Departments"/>
          <xsd:enumeration value="Savings through an Alternative Deployment Strategy in Operation Sukuma Sakhe, linked to the Public Service Volunteer Week"/>
          <xsd:enumeration value="Small Efficiency Gains Translate into BIG Savings! Review of the Effectiveness of Cost-Containment Policy in the Free State"/>
          <xsd:enumeration value="Stats SA Spending on Provincial and District Offices"/>
          <xsd:enumeration value="The Cost-Benefit Analysis of the Vukuzenzele Project (Government Newspaper)"/>
          <xsd:enumeration value="Health Services Revenue Generation - Provinces"/>
          <xsd:enumeration value="Hospital Catering, Laundry and Security Services"/>
          <xsd:enumeration value="NAWONGO Court Judgement"/>
          <xsd:enumeration value="NPO and Social Welfare Registration Process"/>
          <xsd:enumeration value="Nutrition and Food Security for Children Under 5"/>
          <xsd:enumeration value="An Effective and Efficient Roll Out of Human Papilloma Virus (HPV) Vaccine in Schools"/>
          <xsd:enumeration value="Assessing Options to Provide Renal Replacement Therapy"/>
          <xsd:enumeration value="Community Health Workers"/>
          <xsd:enumeration value="Commuted Overtime"/>
          <xsd:enumeration value="Comparison Between Insourcing and Outsourcing of Security Services in the Northern Cape Department of Health"/>
          <xsd:enumeration value="Conversion of MCC to the SAHPRA"/>
          <xsd:enumeration value="Cost Efficiency in the Procurement of Goods and Services"/>
          <xsd:enumeration value="Examining the Cost Effectiveness and Efficiency of Inspections regarding the Enforcement and Compliance to Occupational Health and Safety Act"/>
          <xsd:enumeration value="Finance (Chapter of the District Health Baromoter)"/>
          <xsd:enumeration value="HIV-AIDs, TB, Malaria and Community Outreach Conditional Grant"/>
          <xsd:enumeration value="HPV Vaccination Programme for Girls Aged 9 Years and Older in Gauteng Province"/>
          <xsd:enumeration value="Human Papillomarvirus (HPV) Vaccine Programme"/>
          <xsd:enumeration value="Investigating the Cost of Establishing an In-House for Acute and Chronic Haemodialysis Services at Rob Ferreira Hospital"/>
          <xsd:enumeration value="Investigation into the Cost Drivers in Malaria Programme in Limpopo Department of Health - Mopani and Vhembe Disticts"/>
          <xsd:enumeration value="Why are the Medical Legal Claims Against the State on the Rise"/>
          <xsd:enumeration value="Costing implications of the implementing of the white paper of Post School Education and Training"/>
          <xsd:enumeration value="In-service training of teachers"/>
          <xsd:enumeration value="National School of Government"/>
          <xsd:enumeration value="National Skills Fund"/>
          <xsd:enumeration value="NSFAS"/>
          <xsd:enumeration value="PSETA"/>
          <xsd:enumeration value="School Infrastructure Delivery"/>
          <xsd:enumeration value="TVET"/>
          <xsd:enumeration value="Gap Analysis Between No-Fees School Funding Subsidy in KZN and National Norms and Standards"/>
          <xsd:enumeration value="ICT in Basic Education"/>
          <xsd:enumeration value="Integration of Public Libraries and CHC's in the Northern Cape into a Shared Point"/>
          <xsd:enumeration value="Matric Second Chance Programme"/>
          <xsd:enumeration value="Procurement of LTSM in the Northern Cape Province"/>
          <xsd:enumeration value="Take A Ride To School - Assessment of the Scholar Transport Programme in Gauteng over the  2019 MTEF"/>
          <xsd:enumeration value="The Costs and Benefits of Implementing the School Uniform Programme in Gauteng Province"/>
          <xsd:enumeration value="The Extent of Achieving Universal Access Provision of Grade R and the Associated Costs thereof"/>
          <xsd:enumeration value="The Lack of Reliable Access to Scholar Transport in KZN"/>
          <xsd:enumeration value="Assessment of the biofuels incentive Model"/>
          <xsd:enumeration value="Car Fleets"/>
          <xsd:enumeration value="Housing Programmatic Comparison"/>
          <xsd:enumeration value="Housing rental stock provincial government"/>
          <xsd:enumeration value="Duplication of Administrative and Corporate Services Across DoJCD Administration, Court Services and NPA Admin"/>
          <xsd:enumeration value="Estimating the Cost of Implementing the 24-7 Shift System for Limpopo Road Traffic Law Enforcement Officer"/>
          <xsd:enumeration value="Evaluation of Spending on Security Operations with DCS"/>
          <xsd:enumeration value="Insufficient and Poor Traffic Enforcement"/>
          <xsd:enumeration value="Police Fleet Expenditure - Provision and Utilisation of Fleet Services in the Police Services"/>
          <xsd:enumeration value="Police Infrastructure Footprint (SAPS Accommodation)"/>
          <xsd:enumeration value="Police IT Expenditure - Evaluating the Provision of ICT Solutions in the Police Services"/>
          <xsd:enumeration value="Management (Monitoring and Evaluation) of NPO's Free State Department of Social Development"/>
          <xsd:enumeration value="Social Grants Administration"/>
          <xsd:enumeration value="Determining the Real Impact of Dignity Packs on Learners in Gauteng"/>
          <xsd:enumeration value="An Investigation of the Duplications in the Functions between the DAC and its Agencies"/>
          <xsd:enumeration value="State Houses for the Department of Agriculture, Land Reform and Rural Development"/>
          <xsd:enumeration value="Informal Settlement"/>
          <xsd:enumeration value="Social Housing"/>
          <xsd:enumeration value="Roads Expenditure - Provinces"/>
          <xsd:enumeration value="Public Transport Metros"/>
          <xsd:enumeration value="Water and Sanitation Value Chain"/>
          <xsd:enumeration value="Land Restitution"/>
          <xsd:enumeration value="Micro Agricultural Funding Institution of South Africa"/>
          <xsd:enumeration value="Post-School Education and Training: International Review"/>
          <xsd:enumeration value="Post-School Education and Training: Expenditure and Revenue"/>
          <xsd:enumeration value="Post-School Education and Training: Costing"/>
          <xsd:enumeration value="Post-School Education and Training: Consolidated report"/>
          <xsd:enumeration value="Cost of Mass Participation Programmes in Department of Sports, Arts and Culture"/>
          <xsd:enumeration value="Infrastructure Spending in the Heritage Sector"/>
          <xsd:enumeration value="Possible Merger of the National School of Government  and Public Service Sector Education and Training Authority"/>
          <xsd:enumeration value="Workbooks Programme"/>
          <xsd:enumeration value="Efficiency and Safety in Learner Transportation"/>
          <xsd:enumeration value="The Efficient and Effective Provision of Community Library Services"/>
          <xsd:enumeration value="Learner Transport in South Africa"/>
          <xsd:enumeration value="Causes of Inefficiency in Learner-Teacher Support Material Provision in Limpopo Department of Education"/>
          <xsd:enumeration value="Provision of Scholar Transport in Mpumalanga Province"/>
          <xsd:enumeration value="Building of New Schools and Hostels in the Free State by Department of Education"/>
          <xsd:enumeration value="Worse Academic Performance as a result of Lack of Scholar Transport in the Northern Cape Province"/>
          <xsd:enumeration value="The Fragmented Implementation of Scholar Transport in South Africa"/>
          <xsd:enumeration value="An Assessment of the Cost Implications of the National Career Development Policy"/>
          <xsd:enumeration value="Comprehensive Agriculture Support Programme"/>
          <xsd:enumeration value="Impact of Agriculture Expenditure on Food Security in South Africa"/>
          <xsd:enumeration value="Rural Economic Infrastructure"/>
          <xsd:enumeration value="Does the Department of Public Enterprises have Adequate Capacity for Effective Oversight?"/>
          <xsd:enumeration value="Offender Skills Development Programme To Bring Out Skills That Can Be Leveraged to “Insource” Small Maintenance Projects"/>
          <xsd:enumeration value="Offender Skills Development Programme To Bring Out Skills That Can Be Leveraged to “Insource” Services such as Nutrition"/>
          <xsd:enumeration value="National Development Agency"/>
          <xsd:enumeration value="Foster Care Programme"/>
          <xsd:enumeration value="Making Every Second Count: Emergency Medical Services Responsiveness and Coverage"/>
          <xsd:enumeration value="Emergency Medical Services within the Free State Department of Health Responsible for Rendering Inter-Facility and Planned Patient Transport"/>
          <xsd:enumeration value="Cost and Benefits for Converting Coal to Gas Boilers in Gauteng Hospitals by 2024"/>
          <xsd:enumeration value="Lack of Medicine for the HIV/Aids for TB Treatment in the Frances Baard and ZF Mgcawu District Municipalities"/>
          <xsd:enumeration value="Maternal and Child Health programme"/>
          <xsd:enumeration value="Regional Water Infrastructure Grant (RBIG) Determining the Expenditure Efficiency of the Regional Bulk Infrastructure Grant"/>
          <xsd:enumeration value="Integrated National Electrification Programme (INEP)"/>
          <xsd:enumeration value="SAConnect Project"/>
          <xsd:enumeration value="Municipal Infrastructure Grant Spending Trends and Backlog Reduction in Water and Sanitation Services"/>
          <xsd:enumeration value="Housing Development Agency (HDA) Developing Housing Solutions, Managing Quality"/>
          <xsd:enumeration value="Expenditure Analysis on the Management of Asylum Seekers and Refugees in the Department of Home Affairs"/>
          <xsd:enumeration value="Department of Co-Operative Governance, Human Settlements and Traditional Affairs Limpopo's Quest to Deliver Sustainable and Integrated Human Settlements"/>
          <xsd:enumeration value="Insitutional Analysis of the Government Pensions Administration Agency"/>
          <xsd:enumeration value="Improving Financial Management at North West Municipalities"/>
          <xsd:enumeration value="Rationalisation of the Planning Functions (Department of Performance Monitoring &amp; Evaluation)"/>
          <xsd:enumeration value="The Ineffieciency of the Department of Roads and Public Works"/>
        </xsd:restriction>
      </xsd:simpleType>
    </xsd:element>
    <xsd:element name="Spending_x0020_Review_x0020_Type" ma:index="10" nillable="true" ma:displayName="Spending Review Type" ma:format="Dropdown" ma:internalName="Spending_x0020_Review_x0020_Type">
      <xsd:simpleType>
        <xsd:restriction base="dms:Choice">
          <xsd:enumeration value="Technical Spending Review"/>
          <xsd:enumeration value="Student Spending Review"/>
        </xsd:restriction>
      </xsd:simpleType>
    </xsd:element>
    <xsd:element name="Ordering" ma:index="11" nillable="true" ma:displayName="Ordering" ma:decimals="0" ma:internalName="Ordering">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8B2731-AD54-4E07-8738-11AF33921A23}">
  <ds:schemaRefs>
    <ds:schemaRef ds:uri="http://schemas.microsoft.com/office/2006/metadata/properties"/>
    <ds:schemaRef ds:uri="http://schemas.microsoft.com/office/infopath/2007/PartnerControls"/>
    <ds:schemaRef ds:uri="1e0ec87a-2ca9-4846-bcf0-31c9454ca23d"/>
  </ds:schemaRefs>
</ds:datastoreItem>
</file>

<file path=customXml/itemProps2.xml><?xml version="1.0" encoding="utf-8"?>
<ds:datastoreItem xmlns:ds="http://schemas.openxmlformats.org/officeDocument/2006/customXml" ds:itemID="{93881C02-B02D-46EA-8685-00F2E10E6AE8}">
  <ds:schemaRefs>
    <ds:schemaRef ds:uri="http://schemas.microsoft.com/sharepoint/v3/contenttype/forms"/>
  </ds:schemaRefs>
</ds:datastoreItem>
</file>

<file path=customXml/itemProps3.xml><?xml version="1.0" encoding="utf-8"?>
<ds:datastoreItem xmlns:ds="http://schemas.openxmlformats.org/officeDocument/2006/customXml" ds:itemID="{2EDC2A14-5395-4A1B-AAB3-E93A186E6C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0ec87a-2ca9-4846-bcf0-31c9454ca2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Title</vt:lpstr>
      <vt:lpstr>Introduction</vt:lpstr>
      <vt:lpstr>Gen Assumptions</vt:lpstr>
      <vt:lpstr>Costing</vt:lpstr>
      <vt:lpstr>Expenditure Analysis</vt:lpstr>
      <vt:lpstr>Capacity Building</vt:lpstr>
      <vt:lpstr>Monitoring and Support</vt:lpstr>
      <vt:lpstr>Process flows</vt:lpstr>
      <vt:lpstr>Structure</vt:lpstr>
      <vt:lpstr>Graphs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Expenditure Analysis</dc:title>
  <dc:creator>PVanWyk</dc:creator>
  <cp:lastModifiedBy>Home</cp:lastModifiedBy>
  <cp:lastPrinted>2019-09-02T10:22:16Z</cp:lastPrinted>
  <dcterms:created xsi:type="dcterms:W3CDTF">2019-07-11T09:05:54Z</dcterms:created>
  <dcterms:modified xsi:type="dcterms:W3CDTF">2021-11-11T09:54:38Z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0x0101009A2807A6C5F8284F8789C15F28D950C6</vt:lpwstr>
  </property>
</Properties>
</file>