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C:\CONOR WORK\"/>
    </mc:Choice>
  </mc:AlternateContent>
  <xr:revisionPtr revIDLastSave="0" documentId="8_{4ABAB511-EB08-4F88-A75C-1773FC3D0A9F}" xr6:coauthVersionLast="46" xr6:coauthVersionMax="46" xr10:uidLastSave="{00000000-0000-0000-0000-000000000000}"/>
  <bookViews>
    <workbookView xWindow="-120" yWindow="-120" windowWidth="24240" windowHeight="13140" xr2:uid="{00000000-000D-0000-FFFF-FFFF00000000}"/>
  </bookViews>
  <sheets>
    <sheet name="LTS Cost Model" sheetId="2" r:id="rId1"/>
    <sheet name="(1) Assmpt. OPERATORS" sheetId="3" r:id="rId2"/>
    <sheet name="(2) Assmpt. % COE+ADMIN " sheetId="4" r:id="rId3"/>
    <sheet name="(3) Assmpt. COST PER KM" sheetId="5" r:id="rId4"/>
    <sheet name="(4) Assmpt. COST PER LEARNER" sheetId="6" r:id="rId5"/>
    <sheet name="(5) Assmpt. TARIFF RATIO" sheetId="7" r:id="rId6"/>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7" l="1"/>
  <c r="E29" i="7"/>
  <c r="F28" i="7"/>
  <c r="E28" i="7"/>
  <c r="F27" i="7"/>
  <c r="E27" i="7"/>
  <c r="F26" i="7"/>
  <c r="E26" i="7"/>
  <c r="F25" i="7"/>
  <c r="E25" i="7"/>
  <c r="F24" i="7"/>
  <c r="E24" i="7"/>
  <c r="F23" i="7"/>
  <c r="E23" i="7"/>
  <c r="F22" i="7"/>
  <c r="E22" i="7"/>
  <c r="F21" i="7"/>
  <c r="E21" i="7"/>
  <c r="F20" i="7"/>
  <c r="E20" i="7"/>
  <c r="F19" i="7"/>
  <c r="E19" i="7"/>
  <c r="F18" i="7"/>
  <c r="E18" i="7"/>
  <c r="F17" i="7"/>
  <c r="E17" i="7"/>
  <c r="F16" i="7"/>
  <c r="E16" i="7"/>
  <c r="F15" i="7"/>
  <c r="E15" i="7"/>
  <c r="F14" i="7"/>
  <c r="E14" i="7"/>
  <c r="F13" i="7"/>
  <c r="E13" i="7"/>
  <c r="F12" i="7"/>
  <c r="E12" i="7"/>
  <c r="F11" i="7"/>
  <c r="E11" i="7"/>
  <c r="F10" i="7"/>
  <c r="E10" i="7"/>
  <c r="F9" i="7"/>
  <c r="E9" i="7"/>
  <c r="C23" i="6"/>
  <c r="C19" i="6"/>
  <c r="C11" i="6"/>
  <c r="C7" i="6"/>
  <c r="C6" i="6"/>
  <c r="C17" i="6" s="1"/>
  <c r="C21" i="5"/>
  <c r="C20" i="5" s="1"/>
  <c r="C11" i="5"/>
  <c r="C7" i="5"/>
  <c r="C6" i="5"/>
  <c r="D29" i="4"/>
  <c r="E25" i="4"/>
  <c r="C25" i="4"/>
  <c r="E24" i="4"/>
  <c r="C24" i="4"/>
  <c r="E23" i="4"/>
  <c r="C23" i="4"/>
  <c r="E22" i="4"/>
  <c r="C22" i="4"/>
  <c r="E21" i="4"/>
  <c r="C21" i="4"/>
  <c r="E20" i="4"/>
  <c r="C20" i="4"/>
  <c r="E19" i="4"/>
  <c r="C19" i="4"/>
  <c r="E18" i="4"/>
  <c r="C18" i="4"/>
  <c r="E17" i="4"/>
  <c r="C17" i="4"/>
  <c r="E16" i="4"/>
  <c r="C16" i="4"/>
  <c r="E15" i="4"/>
  <c r="C15" i="4"/>
  <c r="E14" i="4"/>
  <c r="C14" i="4"/>
  <c r="E13" i="4"/>
  <c r="C13" i="4"/>
  <c r="E12" i="4"/>
  <c r="C12" i="4"/>
  <c r="E11" i="4"/>
  <c r="C11" i="4"/>
  <c r="E10" i="4"/>
  <c r="C10" i="4"/>
  <c r="E9" i="4"/>
  <c r="C9" i="4"/>
  <c r="E8" i="4"/>
  <c r="C8" i="4"/>
  <c r="K18" i="3"/>
  <c r="G18" i="3"/>
  <c r="C18" i="3"/>
  <c r="M16" i="3"/>
  <c r="N16" i="3" s="1"/>
  <c r="L16" i="3"/>
  <c r="I16" i="3"/>
  <c r="H16" i="3"/>
  <c r="J16" i="3" s="1"/>
  <c r="E16" i="3"/>
  <c r="D16" i="3"/>
  <c r="M15" i="3"/>
  <c r="L15" i="3"/>
  <c r="N15" i="3" s="1"/>
  <c r="I15" i="3"/>
  <c r="H15" i="3"/>
  <c r="E15" i="3"/>
  <c r="D15" i="3"/>
  <c r="F15" i="3" s="1"/>
  <c r="M14" i="3"/>
  <c r="L14" i="3"/>
  <c r="N14" i="3" s="1"/>
  <c r="I14" i="3"/>
  <c r="J14" i="3" s="1"/>
  <c r="H14" i="3"/>
  <c r="E14" i="3"/>
  <c r="D14" i="3"/>
  <c r="M13" i="3"/>
  <c r="L13" i="3"/>
  <c r="I13" i="3"/>
  <c r="H13" i="3"/>
  <c r="J13" i="3" s="1"/>
  <c r="F13" i="3"/>
  <c r="E13" i="3"/>
  <c r="D13" i="3"/>
  <c r="M12" i="3"/>
  <c r="L12" i="3"/>
  <c r="I12" i="3"/>
  <c r="H12" i="3"/>
  <c r="J12" i="3" s="1"/>
  <c r="E12" i="3"/>
  <c r="D12" i="3"/>
  <c r="F12" i="3" s="1"/>
  <c r="M11" i="3"/>
  <c r="L11" i="3"/>
  <c r="N11" i="3" s="1"/>
  <c r="I11" i="3"/>
  <c r="H11" i="3"/>
  <c r="E11" i="3"/>
  <c r="D11" i="3"/>
  <c r="F11" i="3" s="1"/>
  <c r="M10" i="3"/>
  <c r="L10" i="3"/>
  <c r="I10" i="3"/>
  <c r="H10" i="3"/>
  <c r="J10" i="3" s="1"/>
  <c r="E10" i="3"/>
  <c r="D10" i="3"/>
  <c r="M9" i="3"/>
  <c r="L9" i="3"/>
  <c r="N9" i="3" s="1"/>
  <c r="I9" i="3"/>
  <c r="H9" i="3"/>
  <c r="J9" i="3" s="1"/>
  <c r="E9" i="3"/>
  <c r="F9" i="3" s="1"/>
  <c r="D9" i="3"/>
  <c r="M8" i="3"/>
  <c r="L8" i="3"/>
  <c r="I8" i="3"/>
  <c r="H8" i="3"/>
  <c r="E8" i="3"/>
  <c r="D8" i="3"/>
  <c r="D11" i="2"/>
  <c r="I18" i="3" l="1"/>
  <c r="G10" i="7"/>
  <c r="G14" i="7"/>
  <c r="G18" i="7"/>
  <c r="G22" i="7"/>
  <c r="G26" i="7"/>
  <c r="D18" i="3"/>
  <c r="F14" i="3"/>
  <c r="C17" i="5"/>
  <c r="C26" i="5" s="1"/>
  <c r="G9" i="7"/>
  <c r="G11" i="7"/>
  <c r="G13" i="7"/>
  <c r="G15" i="7"/>
  <c r="G17" i="7"/>
  <c r="G19" i="7"/>
  <c r="G21" i="7"/>
  <c r="G23" i="7"/>
  <c r="G11" i="2" s="1"/>
  <c r="G25" i="7"/>
  <c r="G27" i="7"/>
  <c r="G29" i="7"/>
  <c r="G12" i="7"/>
  <c r="G16" i="7"/>
  <c r="G20" i="7"/>
  <c r="G24" i="7"/>
  <c r="G28" i="7"/>
  <c r="L18" i="3"/>
  <c r="N12" i="3"/>
  <c r="C28" i="6"/>
  <c r="M18" i="3"/>
  <c r="H18" i="3"/>
  <c r="F10" i="3"/>
  <c r="N10" i="3"/>
  <c r="N13" i="3"/>
  <c r="J15" i="3"/>
  <c r="F16" i="3"/>
  <c r="H9" i="7"/>
  <c r="H26" i="7"/>
  <c r="H15" i="7"/>
  <c r="H12" i="7"/>
  <c r="H10" i="7"/>
  <c r="H29" i="7"/>
  <c r="H28" i="7"/>
  <c r="H27" i="7"/>
  <c r="H25" i="7"/>
  <c r="H24" i="7"/>
  <c r="H23" i="7"/>
  <c r="H11" i="2" s="1"/>
  <c r="H22" i="7"/>
  <c r="H21" i="7"/>
  <c r="H20" i="7"/>
  <c r="H19" i="7"/>
  <c r="H18" i="7"/>
  <c r="H17" i="7"/>
  <c r="H16" i="7"/>
  <c r="H14" i="7"/>
  <c r="H13" i="7"/>
  <c r="H11" i="7"/>
  <c r="E18" i="3"/>
  <c r="N8" i="3"/>
  <c r="J11" i="3"/>
  <c r="J8" i="3"/>
  <c r="F8" i="3"/>
  <c r="N18" i="3" l="1"/>
  <c r="L11" i="2"/>
  <c r="N11" i="2" s="1"/>
  <c r="J18" i="3"/>
  <c r="F18" i="3"/>
  <c r="M11" i="2"/>
  <c r="O11" i="2" l="1"/>
</calcChain>
</file>

<file path=xl/sharedStrings.xml><?xml version="1.0" encoding="utf-8"?>
<sst xmlns="http://schemas.openxmlformats.org/spreadsheetml/2006/main" count="129" uniqueCount="88">
  <si>
    <t>Compensation of Employees</t>
  </si>
  <si>
    <t>2012/13</t>
  </si>
  <si>
    <t>2013/14</t>
  </si>
  <si>
    <t>2014/15</t>
  </si>
  <si>
    <t>Total</t>
  </si>
  <si>
    <t>EMPL CONTR:BARGAIN COUNCIL(RES)</t>
  </si>
  <si>
    <t>S&amp;W: BASIC SALARY (RES)</t>
  </si>
  <si>
    <t>S&amp;W: NON PENSIONABLE ALL OTH(RES</t>
  </si>
  <si>
    <t xml:space="preserve">Province </t>
  </si>
  <si>
    <t>Eastern Cape</t>
  </si>
  <si>
    <t>Free State</t>
  </si>
  <si>
    <t>Gauteng</t>
  </si>
  <si>
    <t>KwaZulu Natal</t>
  </si>
  <si>
    <t>Limpopo</t>
  </si>
  <si>
    <t>Mpumalanga</t>
  </si>
  <si>
    <t>Northern Cape</t>
  </si>
  <si>
    <t xml:space="preserve">North West </t>
  </si>
  <si>
    <t>Western cape</t>
  </si>
  <si>
    <t>INPUT</t>
  </si>
  <si>
    <t>PRICE</t>
  </si>
  <si>
    <t>QUANTITY</t>
  </si>
  <si>
    <t>Admin Costs</t>
  </si>
  <si>
    <t>Learner</t>
  </si>
  <si>
    <t>Learners</t>
  </si>
  <si>
    <t>Days</t>
  </si>
  <si>
    <t>COE</t>
  </si>
  <si>
    <t>ADVERT:PROMOTIONAL ITEMS</t>
  </si>
  <si>
    <t>CONS:SP&amp;OS:STATIONERY</t>
  </si>
  <si>
    <t>INF&amp;PLN SER:ENGIN CIVIL SERVICES</t>
  </si>
  <si>
    <t>O/P:PRINTING&amp;PUBLICAT SERV</t>
  </si>
  <si>
    <t>VENUES AND FACILITIES</t>
  </si>
  <si>
    <t>(4) COST MODEL: Learner Transport Programme</t>
  </si>
  <si>
    <t>This model is designed to estimate the cost of running a learner transport programme based on 2014/15 prices as paid by the Eastern Cape Department of Transport</t>
  </si>
  <si>
    <t>The results of this model are heavily influenced by any cost biases linked to any inefficiencies and ineffictiveness in the Eastern Cape Department of Transport. The costs may be much lower in reality</t>
  </si>
  <si>
    <t>PROVINCE</t>
  </si>
  <si>
    <t>Tariff Payable to Operator</t>
  </si>
  <si>
    <t>Estimated COE Expenditure</t>
  </si>
  <si>
    <t>Estimated Admin Expenditure</t>
  </si>
  <si>
    <t>Total Estimated Expenditure</t>
  </si>
  <si>
    <t>CORE</t>
  </si>
  <si>
    <t>SUPPORT</t>
  </si>
  <si>
    <t>Operator Tariff</t>
  </si>
  <si>
    <t>Kilometres</t>
  </si>
  <si>
    <t>% Contribution to Tariff</t>
  </si>
  <si>
    <t>% Contribution to Total Cost</t>
  </si>
  <si>
    <t>Admin</t>
  </si>
  <si>
    <t>Per Learner Per Day</t>
  </si>
  <si>
    <t>Per Kilometre</t>
  </si>
  <si>
    <t>(1) ASSUMPTION: OPERATORS</t>
  </si>
  <si>
    <t>*Amounts paid to operators for the provision of learner transport. These amounts assume that a % of total programme costs are dedicated to Compensation of Empolyees and other Admin Costs. These % proportions are discounted from total programme costs</t>
  </si>
  <si>
    <t>EXPENDITURE ON LEARNER TRANSPORT</t>
  </si>
  <si>
    <t>Total Expenditure</t>
  </si>
  <si>
    <t>Less: COE</t>
  </si>
  <si>
    <t>Less: Admin Costs</t>
  </si>
  <si>
    <t>Operator Costs</t>
  </si>
  <si>
    <t>% Dedicated to COE (see Assumptions)</t>
  </si>
  <si>
    <t>% Dedicated to Admin costs (see Assumptions)</t>
  </si>
  <si>
    <t>(2) ASSUMPTION: % COMPENSATION OF EMPLOYEES AND ADMIN COSTS</t>
  </si>
  <si>
    <t xml:space="preserve">% of total expenditure on Learner Transport Programme dedicated to Comepnsation for Employees and Adminstration Costs. Proportions are based on operational caps norms and standards for conditional grants and other transfers in the public sector. </t>
  </si>
  <si>
    <t>Administration costs</t>
  </si>
  <si>
    <t>Fraction</t>
  </si>
  <si>
    <t>%*</t>
  </si>
  <si>
    <t>* Up to a maximum of 0.1% for each of COE and Admin for a maximum of 0.2% for departmental costs</t>
  </si>
  <si>
    <t>Decimal place controller</t>
  </si>
  <si>
    <t>(3) ASSUMPTION: Cost Per Kilometre Travelled</t>
  </si>
  <si>
    <t>The amount payable to an operator for each kilometre travelled regardless of the number of learners transported. The assumption is based on 2014/15 figures derived from the 2016 special audit report of the Auditor-General on the learner transport programme in the Eastern Cape</t>
  </si>
  <si>
    <t>EASTERN CAPE</t>
  </si>
  <si>
    <t>Total expenditure on learner transport</t>
  </si>
  <si>
    <t>LESS: Compensation of Employees</t>
  </si>
  <si>
    <t>LESS: Administration Costs</t>
  </si>
  <si>
    <t>Total paid to operators</t>
  </si>
  <si>
    <t>Kilometres travelled per day</t>
  </si>
  <si>
    <t>Kilometres travelled per year</t>
  </si>
  <si>
    <t>Average number of school days per year</t>
  </si>
  <si>
    <t>COST PER KILOMETRE TRAVELLED</t>
  </si>
  <si>
    <t>(4) ASSUMPTION: Cost Per Learner Transported</t>
  </si>
  <si>
    <t>The amount payable to an operator for each learner transported regardless of the kilometres travelled. The assumption is based on 2014/15 figures derived from the 2016 special audit report of the Auditor-General on the learner transport programme in the Eastern Cape</t>
  </si>
  <si>
    <t>Average No. of learners transported</t>
  </si>
  <si>
    <t>COST PER LEARNER PER DAY</t>
  </si>
  <si>
    <t>The ratio of learners transported to kilometres travelled in calculating the tariff payable to operators. The ratios assign weights to each component; in intervals of 0.05 % points adding up to 100% of the tariff</t>
  </si>
  <si>
    <t>The assumption is based on total payments to operators as calculated in Assumptions 3 + 4</t>
  </si>
  <si>
    <t>TARIFF PAYABLE PER LEARNER PER KILOMETRE</t>
  </si>
  <si>
    <t>Tariff per learner weight</t>
  </si>
  <si>
    <t>Tariff per kilometre weight</t>
  </si>
  <si>
    <t>Total expenditure on programme</t>
  </si>
  <si>
    <t>Approtioned Total Expenditure (based on weights)</t>
  </si>
  <si>
    <t>Per Learner Per Day Tariff</t>
  </si>
  <si>
    <t>Per Kilometre Tariff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</si>
</sst>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_(* #,##0.00_);_(* \(#,##0.00\);_(* &quot;-&quot;??_);_(@_)"/>
    <numFmt numFmtId="166" formatCode="_(* #,##0_);_(* \(#,##0\);_(* &quot;-&quot;??_);_(@_)"/>
    <numFmt numFmtId="167" formatCode="_ * #,##0_ ;_ * \-#,##0_ ;_ * &quot;-&quot;??_ ;_ @_ "/>
    <numFmt numFmtId="168" formatCode="0.00000"/>
    <numFmt numFmtId="169" formatCode="0.000"/>
    <numFmt numFmtId="170" formatCode="0.0000"/>
  </numFmts>
  <fonts count="16"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i/>
      <sz val="12"/>
      <color theme="1"/>
      <name val="Calibri"/>
      <family val="2"/>
      <scheme val="minor"/>
    </font>
    <font>
      <b/>
      <sz val="14"/>
      <color theme="1"/>
      <name val="Calibri"/>
      <family val="2"/>
      <scheme val="minor"/>
    </font>
    <font>
      <b/>
      <i/>
      <sz val="11"/>
      <color theme="1"/>
      <name val="Calibri"/>
      <family val="2"/>
      <scheme val="minor"/>
    </font>
    <font>
      <sz val="12"/>
      <color theme="1"/>
      <name val="Calibri"/>
      <family val="2"/>
      <scheme val="minor"/>
    </font>
    <font>
      <i/>
      <sz val="11"/>
      <color theme="1"/>
      <name val="Calibri"/>
      <family val="2"/>
      <scheme val="minor"/>
    </font>
    <font>
      <b/>
      <sz val="11"/>
      <color theme="0"/>
      <name val="Calibri"/>
      <family val="2"/>
      <scheme val="minor"/>
    </font>
    <font>
      <b/>
      <sz val="12"/>
      <color theme="0"/>
      <name val="Calibri"/>
      <family val="2"/>
      <scheme val="minor"/>
    </font>
    <font>
      <b/>
      <sz val="10"/>
      <color theme="1"/>
      <name val="Calibri"/>
      <family val="2"/>
      <scheme val="minor"/>
    </font>
    <font>
      <sz val="10"/>
      <color theme="1"/>
      <name val="Calibri"/>
      <family val="2"/>
      <scheme val="minor"/>
    </font>
    <font>
      <b/>
      <sz val="11"/>
      <name val="Calibri"/>
      <family val="2"/>
      <scheme val="minor"/>
    </font>
    <font>
      <b/>
      <sz val="14"/>
      <color theme="0"/>
      <name val="Calibri"/>
      <family val="2"/>
      <scheme val="minor"/>
    </font>
    <font>
      <b/>
      <i/>
      <sz val="12"/>
      <color theme="1"/>
      <name val="Calibri"/>
      <family val="2"/>
      <scheme val="minor"/>
    </font>
  </fonts>
  <fills count="11">
    <fill>
      <patternFill patternType="none"/>
    </fill>
    <fill>
      <patternFill patternType="gray125"/>
    </fill>
    <fill>
      <patternFill patternType="solid">
        <fgColor theme="4" tint="0.59999389629810485"/>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CCFF"/>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800000"/>
        <bgColor indexed="64"/>
      </patternFill>
    </fill>
  </fills>
  <borders count="2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165" fontId="1" fillId="0" borderId="0" applyFont="0" applyFill="0" applyBorder="0" applyAlignment="0" applyProtection="0"/>
  </cellStyleXfs>
  <cellXfs count="125">
    <xf numFmtId="0" fontId="0" fillId="0" borderId="0" xfId="0"/>
    <xf numFmtId="0" fontId="3" fillId="0" borderId="0" xfId="0" applyFont="1"/>
    <xf numFmtId="0" fontId="5" fillId="0" borderId="0" xfId="0" applyFont="1"/>
    <xf numFmtId="166" fontId="0" fillId="0" borderId="2" xfId="1" applyNumberFormat="1" applyFont="1" applyBorder="1"/>
    <xf numFmtId="0" fontId="0" fillId="0" borderId="3" xfId="0" applyBorder="1"/>
    <xf numFmtId="0" fontId="0" fillId="0" borderId="0" xfId="0" applyBorder="1"/>
    <xf numFmtId="166" fontId="0" fillId="0" borderId="0" xfId="1" applyNumberFormat="1" applyFont="1" applyBorder="1"/>
    <xf numFmtId="3" fontId="0" fillId="0" borderId="0" xfId="0" applyNumberFormat="1"/>
    <xf numFmtId="166" fontId="0" fillId="0" borderId="9" xfId="1" applyNumberFormat="1" applyFont="1" applyBorder="1"/>
    <xf numFmtId="166" fontId="2" fillId="0" borderId="12" xfId="0" applyNumberFormat="1" applyFont="1" applyBorder="1"/>
    <xf numFmtId="166" fontId="0" fillId="0" borderId="0" xfId="1" applyNumberFormat="1" applyFont="1"/>
    <xf numFmtId="166" fontId="2" fillId="0" borderId="0" xfId="1" applyNumberFormat="1" applyFont="1"/>
    <xf numFmtId="165" fontId="0" fillId="0" borderId="0" xfId="1" applyFont="1"/>
    <xf numFmtId="0" fontId="7" fillId="0" borderId="0" xfId="0" applyFont="1"/>
    <xf numFmtId="0" fontId="8" fillId="0" borderId="0" xfId="0" applyFont="1"/>
    <xf numFmtId="166" fontId="0" fillId="0" borderId="14" xfId="1" applyNumberFormat="1" applyFont="1" applyBorder="1"/>
    <xf numFmtId="2" fontId="0" fillId="0" borderId="0" xfId="0" applyNumberFormat="1"/>
    <xf numFmtId="166" fontId="0" fillId="0" borderId="10" xfId="1" applyNumberFormat="1" applyFont="1" applyBorder="1"/>
    <xf numFmtId="164" fontId="0" fillId="0" borderId="0" xfId="0" applyNumberFormat="1"/>
    <xf numFmtId="0" fontId="0" fillId="0" borderId="0" xfId="0" applyBorder="1" applyAlignment="1">
      <alignment horizontal="center"/>
    </xf>
    <xf numFmtId="0" fontId="0" fillId="0" borderId="0" xfId="0" applyFont="1"/>
    <xf numFmtId="0" fontId="11" fillId="6" borderId="7" xfId="0" applyFont="1" applyFill="1" applyBorder="1" applyAlignment="1">
      <alignment horizontal="center"/>
    </xf>
    <xf numFmtId="0" fontId="11" fillId="5" borderId="7" xfId="0" applyFont="1" applyFill="1" applyBorder="1" applyAlignment="1">
      <alignment horizontal="center"/>
    </xf>
    <xf numFmtId="0" fontId="12" fillId="0" borderId="0" xfId="0" applyFont="1"/>
    <xf numFmtId="0" fontId="2" fillId="7" borderId="16" xfId="0" applyFont="1" applyFill="1" applyBorder="1" applyAlignment="1">
      <alignment vertical="center"/>
    </xf>
    <xf numFmtId="2" fontId="0" fillId="7" borderId="17" xfId="0" applyNumberFormat="1" applyFill="1" applyBorder="1" applyAlignment="1">
      <alignment vertical="center"/>
    </xf>
    <xf numFmtId="2" fontId="2" fillId="0" borderId="17" xfId="1" applyNumberFormat="1" applyFont="1" applyBorder="1" applyAlignment="1">
      <alignment horizontal="right" vertical="center"/>
    </xf>
    <xf numFmtId="2" fontId="2" fillId="0" borderId="17" xfId="0" applyNumberFormat="1" applyFont="1" applyBorder="1" applyAlignment="1">
      <alignment vertical="center"/>
    </xf>
    <xf numFmtId="166" fontId="0" fillId="8" borderId="17" xfId="1" applyNumberFormat="1" applyFont="1" applyFill="1" applyBorder="1" applyAlignment="1">
      <alignment vertical="center"/>
    </xf>
    <xf numFmtId="166" fontId="2" fillId="0" borderId="17" xfId="1" applyNumberFormat="1" applyFont="1" applyBorder="1" applyAlignment="1">
      <alignment vertical="center"/>
    </xf>
    <xf numFmtId="167" fontId="2" fillId="0" borderId="17" xfId="0" applyNumberFormat="1" applyFont="1" applyBorder="1" applyAlignment="1">
      <alignment vertical="center"/>
    </xf>
    <xf numFmtId="166" fontId="2" fillId="0" borderId="18" xfId="0" applyNumberFormat="1" applyFont="1" applyBorder="1" applyAlignment="1">
      <alignment vertical="center"/>
    </xf>
    <xf numFmtId="0" fontId="0" fillId="0" borderId="0" xfId="0" applyAlignment="1">
      <alignment vertical="center"/>
    </xf>
    <xf numFmtId="0" fontId="2" fillId="5" borderId="13" xfId="0" applyFont="1" applyFill="1" applyBorder="1" applyAlignment="1">
      <alignment horizontal="center"/>
    </xf>
    <xf numFmtId="0" fontId="2" fillId="6" borderId="4" xfId="0" applyFont="1" applyFill="1" applyBorder="1" applyAlignment="1">
      <alignment horizontal="center"/>
    </xf>
    <xf numFmtId="0" fontId="2" fillId="6" borderId="7" xfId="0" applyFont="1" applyFill="1" applyBorder="1" applyAlignment="1">
      <alignment horizontal="center"/>
    </xf>
    <xf numFmtId="0" fontId="2" fillId="6" borderId="1" xfId="0" applyFont="1" applyFill="1" applyBorder="1" applyAlignment="1">
      <alignment horizontal="center"/>
    </xf>
    <xf numFmtId="0" fontId="2" fillId="6" borderId="15" xfId="0" applyFont="1" applyFill="1" applyBorder="1" applyAlignment="1">
      <alignment horizontal="center"/>
    </xf>
    <xf numFmtId="0" fontId="2" fillId="0" borderId="3" xfId="0" applyFont="1" applyBorder="1" applyAlignment="1">
      <alignment horizontal="left" indent="1"/>
    </xf>
    <xf numFmtId="166" fontId="0" fillId="0" borderId="3" xfId="1" applyNumberFormat="1" applyFont="1" applyBorder="1"/>
    <xf numFmtId="166" fontId="2" fillId="0" borderId="14" xfId="1" applyNumberFormat="1" applyFont="1" applyBorder="1"/>
    <xf numFmtId="0" fontId="2" fillId="9" borderId="3" xfId="0" applyFont="1" applyFill="1" applyBorder="1" applyAlignment="1">
      <alignment horizontal="left" indent="1"/>
    </xf>
    <xf numFmtId="166" fontId="0" fillId="9" borderId="3" xfId="1" applyNumberFormat="1" applyFont="1" applyFill="1" applyBorder="1"/>
    <xf numFmtId="166" fontId="0" fillId="9" borderId="0" xfId="1" applyNumberFormat="1" applyFont="1" applyFill="1" applyBorder="1"/>
    <xf numFmtId="166" fontId="2" fillId="9" borderId="14" xfId="1" applyNumberFormat="1" applyFont="1" applyFill="1" applyBorder="1"/>
    <xf numFmtId="166" fontId="0" fillId="9" borderId="14" xfId="1" applyNumberFormat="1" applyFont="1" applyFill="1" applyBorder="1"/>
    <xf numFmtId="0" fontId="2" fillId="0" borderId="8" xfId="0" applyFont="1" applyBorder="1" applyAlignment="1">
      <alignment horizontal="left" indent="1"/>
    </xf>
    <xf numFmtId="166" fontId="0" fillId="0" borderId="8" xfId="1" applyNumberFormat="1" applyFont="1" applyBorder="1"/>
    <xf numFmtId="166" fontId="2" fillId="0" borderId="10" xfId="1" applyNumberFormat="1" applyFont="1" applyBorder="1"/>
    <xf numFmtId="0" fontId="0" fillId="0" borderId="14" xfId="0" applyBorder="1"/>
    <xf numFmtId="0" fontId="2" fillId="0" borderId="19" xfId="0" applyFont="1" applyBorder="1" applyAlignment="1">
      <alignment horizontal="left" indent="1"/>
    </xf>
    <xf numFmtId="166" fontId="2" fillId="0" borderId="19" xfId="0" applyNumberFormat="1" applyFont="1" applyBorder="1"/>
    <xf numFmtId="166" fontId="2" fillId="0" borderId="20" xfId="0" applyNumberFormat="1" applyFont="1" applyBorder="1"/>
    <xf numFmtId="166" fontId="2" fillId="0" borderId="0" xfId="0" applyNumberFormat="1" applyFont="1" applyBorder="1"/>
    <xf numFmtId="0" fontId="9" fillId="10" borderId="0" xfId="0" applyFont="1" applyFill="1"/>
    <xf numFmtId="2" fontId="2" fillId="0" borderId="0" xfId="0" applyNumberFormat="1" applyFont="1"/>
    <xf numFmtId="0" fontId="13" fillId="2" borderId="0" xfId="0" applyFont="1" applyFill="1" applyAlignment="1">
      <alignment horizontal="center" vertical="center" wrapText="1"/>
    </xf>
    <xf numFmtId="168" fontId="0" fillId="0" borderId="0" xfId="0" applyNumberFormat="1"/>
    <xf numFmtId="169" fontId="0" fillId="0" borderId="0" xfId="0" applyNumberFormat="1"/>
    <xf numFmtId="168" fontId="0" fillId="0" borderId="21" xfId="0" applyNumberFormat="1" applyBorder="1"/>
    <xf numFmtId="169" fontId="0" fillId="0" borderId="21" xfId="0" applyNumberFormat="1" applyBorder="1"/>
    <xf numFmtId="170" fontId="0" fillId="0" borderId="0" xfId="0" applyNumberFormat="1"/>
    <xf numFmtId="0" fontId="6" fillId="0" borderId="0" xfId="0" applyFont="1"/>
    <xf numFmtId="0" fontId="14" fillId="3" borderId="0" xfId="0" applyFont="1" applyFill="1" applyAlignment="1">
      <alignment horizontal="center"/>
    </xf>
    <xf numFmtId="0" fontId="12" fillId="0" borderId="22" xfId="0" applyFont="1" applyBorder="1" applyAlignment="1">
      <alignment horizontal="left" indent="1"/>
    </xf>
    <xf numFmtId="166" fontId="0" fillId="0" borderId="23" xfId="1" applyNumberFormat="1" applyFont="1" applyBorder="1"/>
    <xf numFmtId="0" fontId="12" fillId="0" borderId="24" xfId="0" applyFont="1" applyBorder="1" applyAlignment="1">
      <alignment horizontal="left" indent="1"/>
    </xf>
    <xf numFmtId="166" fontId="0" fillId="0" borderId="25" xfId="1" applyNumberFormat="1" applyFont="1" applyBorder="1"/>
    <xf numFmtId="0" fontId="12" fillId="0" borderId="26" xfId="0" applyFont="1" applyBorder="1" applyAlignment="1">
      <alignment horizontal="left" indent="1"/>
    </xf>
    <xf numFmtId="166" fontId="0" fillId="0" borderId="27" xfId="1" applyNumberFormat="1" applyFont="1" applyBorder="1"/>
    <xf numFmtId="0" fontId="4" fillId="0" borderId="0" xfId="0" applyFont="1"/>
    <xf numFmtId="0" fontId="0" fillId="0" borderId="22" xfId="0" applyFont="1" applyBorder="1" applyAlignment="1">
      <alignment horizontal="center"/>
    </xf>
    <xf numFmtId="0" fontId="0" fillId="0" borderId="24" xfId="0" applyFont="1" applyBorder="1" applyAlignment="1">
      <alignment horizontal="center"/>
    </xf>
    <xf numFmtId="0" fontId="0" fillId="0" borderId="26" xfId="0" applyFont="1" applyBorder="1" applyAlignment="1">
      <alignment horizontal="center"/>
    </xf>
    <xf numFmtId="0" fontId="15" fillId="0" borderId="0" xfId="0" applyFont="1"/>
    <xf numFmtId="2" fontId="3" fillId="0" borderId="0" xfId="0" applyNumberFormat="1" applyFont="1"/>
    <xf numFmtId="0" fontId="4" fillId="0" borderId="0" xfId="0" applyFont="1" applyAlignment="1">
      <alignment horizontal="left"/>
    </xf>
    <xf numFmtId="165" fontId="3" fillId="0" borderId="0" xfId="1" applyFont="1"/>
    <xf numFmtId="0" fontId="2" fillId="2" borderId="4" xfId="0" applyFont="1" applyFill="1" applyBorder="1" applyAlignment="1">
      <alignment horizontal="center" vertical="center"/>
    </xf>
    <xf numFmtId="167" fontId="0" fillId="0" borderId="0" xfId="0" applyNumberFormat="1"/>
    <xf numFmtId="165" fontId="0" fillId="0" borderId="0" xfId="1" applyNumberFormat="1" applyFont="1"/>
    <xf numFmtId="2" fontId="0" fillId="0" borderId="21" xfId="0" applyNumberFormat="1" applyBorder="1"/>
    <xf numFmtId="166" fontId="0" fillId="0" borderId="21" xfId="1" applyNumberFormat="1" applyFont="1" applyBorder="1"/>
    <xf numFmtId="167" fontId="0" fillId="0" borderId="21" xfId="0" applyNumberFormat="1" applyBorder="1"/>
    <xf numFmtId="165" fontId="0" fillId="0" borderId="21" xfId="1" applyFont="1" applyBorder="1"/>
    <xf numFmtId="169" fontId="0" fillId="7" borderId="17" xfId="0" applyNumberFormat="1" applyFill="1" applyBorder="1" applyAlignment="1">
      <alignment vertical="center"/>
    </xf>
    <xf numFmtId="0" fontId="10" fillId="3" borderId="4"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9" fillId="4" borderId="5" xfId="0" applyFont="1" applyFill="1" applyBorder="1" applyAlignment="1">
      <alignment horizontal="center" vertical="center"/>
    </xf>
    <xf numFmtId="0" fontId="9" fillId="4" borderId="15" xfId="0" applyFont="1" applyFill="1" applyBorder="1" applyAlignment="1">
      <alignment horizontal="center" vertical="center"/>
    </xf>
    <xf numFmtId="0" fontId="10" fillId="4" borderId="1" xfId="0" applyFont="1" applyFill="1" applyBorder="1" applyAlignment="1">
      <alignment horizontal="center" vertical="center"/>
    </xf>
    <xf numFmtId="0" fontId="10" fillId="4" borderId="13" xfId="0" applyFont="1" applyFill="1" applyBorder="1" applyAlignment="1">
      <alignment horizontal="center" vertical="center"/>
    </xf>
    <xf numFmtId="0" fontId="10" fillId="4" borderId="8" xfId="0" applyFont="1" applyFill="1" applyBorder="1" applyAlignment="1">
      <alignment horizontal="center" vertical="center"/>
    </xf>
    <xf numFmtId="0" fontId="10" fillId="4" borderId="10"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11" xfId="0" applyFont="1" applyFill="1" applyBorder="1" applyAlignment="1">
      <alignment horizontal="center" vertical="center"/>
    </xf>
    <xf numFmtId="0" fontId="2" fillId="5" borderId="4" xfId="0" applyFont="1" applyFill="1" applyBorder="1" applyAlignment="1">
      <alignment horizontal="center" vertical="center" wrapText="1"/>
    </xf>
    <xf numFmtId="0" fontId="2" fillId="5" borderId="4"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11"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13"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11" xfId="0" applyFont="1" applyFill="1" applyBorder="1" applyAlignment="1">
      <alignment horizontal="center" vertical="center" wrapText="1"/>
    </xf>
    <xf numFmtId="0" fontId="13" fillId="5" borderId="7" xfId="0" applyFont="1" applyFill="1" applyBorder="1" applyAlignment="1">
      <alignment horizontal="center" vertical="center"/>
    </xf>
    <xf numFmtId="0" fontId="13" fillId="5" borderId="11" xfId="0" applyFont="1" applyFill="1" applyBorder="1" applyAlignment="1">
      <alignment horizontal="center" vertical="center"/>
    </xf>
    <xf numFmtId="0" fontId="13" fillId="5" borderId="8" xfId="0" applyFont="1" applyFill="1" applyBorder="1" applyAlignment="1">
      <alignment horizontal="center" vertical="center"/>
    </xf>
    <xf numFmtId="0" fontId="9" fillId="3" borderId="5" xfId="0" applyFont="1" applyFill="1" applyBorder="1" applyAlignment="1">
      <alignment horizontal="center"/>
    </xf>
    <xf numFmtId="0" fontId="9" fillId="3" borderId="6" xfId="0" applyFont="1" applyFill="1" applyBorder="1" applyAlignment="1">
      <alignment horizontal="center"/>
    </xf>
    <xf numFmtId="0" fontId="9" fillId="3" borderId="15" xfId="0" applyFont="1" applyFill="1" applyBorder="1" applyAlignment="1">
      <alignment horizontal="center"/>
    </xf>
    <xf numFmtId="0" fontId="2" fillId="5" borderId="3" xfId="0" applyFont="1" applyFill="1" applyBorder="1" applyAlignment="1">
      <alignment horizontal="center"/>
    </xf>
    <xf numFmtId="0" fontId="2" fillId="5" borderId="9" xfId="0" applyFont="1" applyFill="1" applyBorder="1" applyAlignment="1">
      <alignment horizontal="center"/>
    </xf>
    <xf numFmtId="0" fontId="2" fillId="5" borderId="5" xfId="0" applyFont="1" applyFill="1" applyBorder="1" applyAlignment="1">
      <alignment horizontal="center"/>
    </xf>
    <xf numFmtId="0" fontId="2" fillId="5" borderId="6" xfId="0" applyFont="1" applyFill="1" applyBorder="1" applyAlignment="1">
      <alignment horizontal="center"/>
    </xf>
    <xf numFmtId="0" fontId="2" fillId="5" borderId="15" xfId="0" applyFont="1" applyFill="1" applyBorder="1" applyAlignment="1">
      <alignment horizontal="center"/>
    </xf>
    <xf numFmtId="0" fontId="2" fillId="5" borderId="0" xfId="0" applyFont="1" applyFill="1" applyBorder="1" applyAlignment="1">
      <alignment horizontal="center"/>
    </xf>
    <xf numFmtId="0" fontId="2" fillId="5" borderId="14" xfId="0" applyFont="1" applyFill="1" applyBorder="1" applyAlignment="1">
      <alignment horizontal="center"/>
    </xf>
    <xf numFmtId="0" fontId="9" fillId="3" borderId="0" xfId="0" applyFont="1" applyFill="1" applyAlignment="1">
      <alignment horizontal="center" vertical="center" wrapText="1"/>
    </xf>
    <xf numFmtId="0" fontId="9" fillId="3" borderId="9" xfId="0" applyFont="1" applyFill="1" applyBorder="1" applyAlignment="1">
      <alignment horizontal="center"/>
    </xf>
    <xf numFmtId="0" fontId="2" fillId="2" borderId="4" xfId="0" applyFont="1" applyFill="1" applyBorder="1" applyAlignment="1">
      <alignment horizontal="center" vertical="center"/>
    </xf>
    <xf numFmtId="0" fontId="2" fillId="2" borderId="4"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12"/>
  <sheetViews>
    <sheetView tabSelected="1" workbookViewId="0">
      <selection activeCell="D18" sqref="D18"/>
    </sheetView>
  </sheetViews>
  <sheetFormatPr defaultRowHeight="15" x14ac:dyDescent="0.25"/>
  <cols>
    <col min="2" max="2" width="15.7109375" customWidth="1"/>
    <col min="3" max="3" width="10.85546875" customWidth="1"/>
    <col min="4" max="4" width="11.7109375" customWidth="1"/>
    <col min="5" max="6" width="15.7109375" customWidth="1"/>
    <col min="7" max="9" width="18.7109375" customWidth="1"/>
    <col min="10" max="15" width="15.7109375" customWidth="1"/>
  </cols>
  <sheetData>
    <row r="2" spans="2:15" ht="18.75" x14ac:dyDescent="0.3">
      <c r="C2" s="2" t="s">
        <v>31</v>
      </c>
    </row>
    <row r="3" spans="2:15" x14ac:dyDescent="0.25">
      <c r="C3" s="14" t="s">
        <v>32</v>
      </c>
    </row>
    <row r="4" spans="2:15" x14ac:dyDescent="0.25">
      <c r="C4" s="14" t="s">
        <v>33</v>
      </c>
    </row>
    <row r="6" spans="2:15" s="13" customFormat="1" ht="18" customHeight="1" x14ac:dyDescent="0.25">
      <c r="B6" s="98" t="s">
        <v>34</v>
      </c>
      <c r="C6" s="100" t="s">
        <v>18</v>
      </c>
      <c r="D6" s="100"/>
      <c r="E6" s="100"/>
      <c r="F6" s="100"/>
      <c r="G6" s="101" t="s">
        <v>19</v>
      </c>
      <c r="H6" s="102"/>
      <c r="I6" s="101" t="s">
        <v>20</v>
      </c>
      <c r="J6" s="102"/>
      <c r="K6" s="105"/>
      <c r="L6" s="87" t="s">
        <v>35</v>
      </c>
      <c r="M6" s="86" t="s">
        <v>36</v>
      </c>
      <c r="N6" s="86" t="s">
        <v>37</v>
      </c>
      <c r="O6" s="86" t="s">
        <v>38</v>
      </c>
    </row>
    <row r="7" spans="2:15" s="13" customFormat="1" ht="18" customHeight="1" x14ac:dyDescent="0.25">
      <c r="B7" s="99"/>
      <c r="C7" s="100"/>
      <c r="D7" s="100"/>
      <c r="E7" s="100"/>
      <c r="F7" s="100"/>
      <c r="G7" s="103"/>
      <c r="H7" s="104"/>
      <c r="I7" s="103"/>
      <c r="J7" s="104"/>
      <c r="K7" s="106"/>
      <c r="L7" s="107"/>
      <c r="M7" s="86"/>
      <c r="N7" s="86"/>
      <c r="O7" s="86"/>
    </row>
    <row r="8" spans="2:15" s="20" customFormat="1" ht="18" customHeight="1" x14ac:dyDescent="0.25">
      <c r="B8" s="99"/>
      <c r="C8" s="88" t="s">
        <v>39</v>
      </c>
      <c r="D8" s="89"/>
      <c r="E8" s="88" t="s">
        <v>40</v>
      </c>
      <c r="F8" s="89"/>
      <c r="G8" s="90" t="s">
        <v>41</v>
      </c>
      <c r="H8" s="91"/>
      <c r="I8" s="94" t="s">
        <v>24</v>
      </c>
      <c r="J8" s="94" t="s">
        <v>23</v>
      </c>
      <c r="K8" s="94" t="s">
        <v>42</v>
      </c>
      <c r="L8" s="107"/>
      <c r="M8" s="86"/>
      <c r="N8" s="86"/>
      <c r="O8" s="86"/>
    </row>
    <row r="9" spans="2:15" s="20" customFormat="1" ht="42" customHeight="1" x14ac:dyDescent="0.25">
      <c r="B9" s="99"/>
      <c r="C9" s="96" t="s">
        <v>43</v>
      </c>
      <c r="D9" s="96"/>
      <c r="E9" s="97" t="s">
        <v>44</v>
      </c>
      <c r="F9" s="97"/>
      <c r="G9" s="92"/>
      <c r="H9" s="93"/>
      <c r="I9" s="95"/>
      <c r="J9" s="95"/>
      <c r="K9" s="95"/>
      <c r="L9" s="107"/>
      <c r="M9" s="86"/>
      <c r="N9" s="86"/>
      <c r="O9" s="86"/>
    </row>
    <row r="10" spans="2:15" s="23" customFormat="1" ht="18" customHeight="1" x14ac:dyDescent="0.2">
      <c r="B10" s="99"/>
      <c r="C10" s="21" t="s">
        <v>23</v>
      </c>
      <c r="D10" s="21" t="s">
        <v>42</v>
      </c>
      <c r="E10" s="21" t="s">
        <v>25</v>
      </c>
      <c r="F10" s="21" t="s">
        <v>45</v>
      </c>
      <c r="G10" s="22" t="s">
        <v>46</v>
      </c>
      <c r="H10" s="22" t="s">
        <v>47</v>
      </c>
      <c r="I10" s="95"/>
      <c r="J10" s="95"/>
      <c r="K10" s="95"/>
      <c r="L10" s="107"/>
      <c r="M10" s="87"/>
      <c r="N10" s="87"/>
      <c r="O10" s="87"/>
    </row>
    <row r="11" spans="2:15" s="32" customFormat="1" ht="18" customHeight="1" thickBot="1" x14ac:dyDescent="0.3">
      <c r="B11" s="24" t="s">
        <v>14</v>
      </c>
      <c r="C11" s="25">
        <v>0</v>
      </c>
      <c r="D11" s="26">
        <f>IF(C11=0,1,IF(C11=0.05,0.95,IF(C11=0.1,0.9,IF(C11=0.15,0.85,IF(C11=0.2,0.8,IF(C11=0.25,0.75,IF(C11=0.3,0.7,IF(C11=0.35,0.65,IF(C11=0.4,0.6,IF(C11=0.45,0.55,IF(C11=0.5,0.5,IF(C11=0.55,0.45,IF(C11=0.6,0.4,IF(C11=0.65,0.35,IF(C11=0.7,0.3,IF(C11=0.75,0.25,IF(C11=0.8,0.2,IF(C11=0.85,0.15,IF(C11=0.9,0.1,IF(C11=0.95,0.05,IF(C11=1,0,"Select")))))))))))))))))))))</f>
        <v>1</v>
      </c>
      <c r="E11" s="85">
        <v>0.01</v>
      </c>
      <c r="F11" s="85">
        <v>0.01</v>
      </c>
      <c r="G11" s="27">
        <f>VLOOKUP(C11,'(5) Assmpt. TARIFF RATIO'!$B$9:$H$29,6,FALSE)</f>
        <v>0</v>
      </c>
      <c r="H11" s="27">
        <f>VLOOKUP(D11,'(5) Assmpt. TARIFF RATIO'!$C$9:$H$29,6,FALSE)</f>
        <v>22.679749295172709</v>
      </c>
      <c r="I11" s="28">
        <v>199</v>
      </c>
      <c r="J11" s="28">
        <v>57176</v>
      </c>
      <c r="K11" s="28">
        <v>80919</v>
      </c>
      <c r="L11" s="29">
        <f>(G11*I11*J11)+(K11*I11*H11)</f>
        <v>365209304.00999999</v>
      </c>
      <c r="M11" s="30">
        <f>E11*100/100*L11</f>
        <v>3652093.0400999999</v>
      </c>
      <c r="N11" s="30">
        <f>F11*L11</f>
        <v>3652093.0400999999</v>
      </c>
      <c r="O11" s="31">
        <f>L11+M11+N11</f>
        <v>372513490.09019995</v>
      </c>
    </row>
    <row r="12" spans="2:15" ht="15.75" thickTop="1" x14ac:dyDescent="0.25">
      <c r="C12" s="16"/>
      <c r="D12" s="16"/>
    </row>
  </sheetData>
  <mergeCells count="16">
    <mergeCell ref="B6:B10"/>
    <mergeCell ref="C6:F7"/>
    <mergeCell ref="G6:H7"/>
    <mergeCell ref="I6:K7"/>
    <mergeCell ref="L6:L10"/>
    <mergeCell ref="N6:N10"/>
    <mergeCell ref="O6:O10"/>
    <mergeCell ref="C8:D8"/>
    <mergeCell ref="E8:F8"/>
    <mergeCell ref="G8:H9"/>
    <mergeCell ref="I8:I10"/>
    <mergeCell ref="J8:J10"/>
    <mergeCell ref="K8:K10"/>
    <mergeCell ref="C9:D9"/>
    <mergeCell ref="E9:F9"/>
    <mergeCell ref="M6:M10"/>
  </mergeCell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'(1) Assmpt. OPERATORS'!$B$8:$B$16</xm:f>
          </x14:formula1>
          <xm:sqref>B11</xm:sqref>
        </x14:dataValidation>
        <x14:dataValidation type="list" allowBlank="1" showInputMessage="1" showErrorMessage="1" xr:uid="{00000000-0002-0000-0000-000001000000}">
          <x14:formula1>
            <xm:f>'(2) Assmpt. % COE+ADMIN '!$E$8:$E$25</xm:f>
          </x14:formula1>
          <xm:sqref>F11</xm:sqref>
        </x14:dataValidation>
        <x14:dataValidation type="list" allowBlank="1" showInputMessage="1" showErrorMessage="1" xr:uid="{00000000-0002-0000-0000-000002000000}">
          <x14:formula1>
            <xm:f>'(2) Assmpt. % COE+ADMIN '!$C$8:$C$25</xm:f>
          </x14:formula1>
          <xm:sqref>E11</xm:sqref>
        </x14:dataValidation>
        <x14:dataValidation type="list" allowBlank="1" showInputMessage="1" showErrorMessage="1" xr:uid="{00000000-0002-0000-0000-000003000000}">
          <x14:formula1>
            <xm:f>'(5) Assmpt. TARIFF RATIO'!$B$9:$B$29</xm:f>
          </x14:formula1>
          <xm:sqref>C11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O22"/>
  <sheetViews>
    <sheetView workbookViewId="0">
      <selection activeCell="F24" sqref="F24"/>
    </sheetView>
  </sheetViews>
  <sheetFormatPr defaultRowHeight="15" x14ac:dyDescent="0.25"/>
  <cols>
    <col min="2" max="2" width="43.42578125" bestFit="1" customWidth="1"/>
    <col min="3" max="14" width="16.7109375" customWidth="1"/>
    <col min="15" max="15" width="10.7109375" customWidth="1"/>
  </cols>
  <sheetData>
    <row r="2" spans="2:15" ht="18.75" x14ac:dyDescent="0.3">
      <c r="B2" s="2" t="s">
        <v>48</v>
      </c>
    </row>
    <row r="3" spans="2:15" x14ac:dyDescent="0.25">
      <c r="B3" s="14" t="s">
        <v>49</v>
      </c>
    </row>
    <row r="5" spans="2:15" x14ac:dyDescent="0.25">
      <c r="B5" s="108" t="s">
        <v>8</v>
      </c>
      <c r="C5" s="111" t="s">
        <v>50</v>
      </c>
      <c r="D5" s="112"/>
      <c r="E5" s="112"/>
      <c r="F5" s="112"/>
      <c r="G5" s="112"/>
      <c r="H5" s="112"/>
      <c r="I5" s="112"/>
      <c r="J5" s="112"/>
      <c r="K5" s="112"/>
      <c r="L5" s="112"/>
      <c r="M5" s="112"/>
      <c r="N5" s="113"/>
      <c r="O5" s="19"/>
    </row>
    <row r="6" spans="2:15" x14ac:dyDescent="0.25">
      <c r="B6" s="109"/>
      <c r="C6" s="114" t="s">
        <v>1</v>
      </c>
      <c r="D6" s="115"/>
      <c r="E6" s="115"/>
      <c r="F6" s="33"/>
      <c r="G6" s="116" t="s">
        <v>2</v>
      </c>
      <c r="H6" s="117"/>
      <c r="I6" s="117"/>
      <c r="J6" s="118"/>
      <c r="K6" s="115" t="s">
        <v>3</v>
      </c>
      <c r="L6" s="115"/>
      <c r="M6" s="119"/>
      <c r="N6" s="120"/>
      <c r="O6" s="19"/>
    </row>
    <row r="7" spans="2:15" x14ac:dyDescent="0.25">
      <c r="B7" s="110"/>
      <c r="C7" s="34" t="s">
        <v>51</v>
      </c>
      <c r="D7" s="35" t="s">
        <v>52</v>
      </c>
      <c r="E7" s="36" t="s">
        <v>53</v>
      </c>
      <c r="F7" s="34" t="s">
        <v>54</v>
      </c>
      <c r="G7" s="34" t="s">
        <v>51</v>
      </c>
      <c r="H7" s="34" t="s">
        <v>52</v>
      </c>
      <c r="I7" s="34" t="s">
        <v>53</v>
      </c>
      <c r="J7" s="34" t="s">
        <v>54</v>
      </c>
      <c r="K7" s="37" t="s">
        <v>51</v>
      </c>
      <c r="L7" s="34" t="s">
        <v>52</v>
      </c>
      <c r="M7" s="34" t="s">
        <v>53</v>
      </c>
      <c r="N7" s="34" t="s">
        <v>54</v>
      </c>
      <c r="O7" s="19"/>
    </row>
    <row r="8" spans="2:15" x14ac:dyDescent="0.25">
      <c r="B8" s="38" t="s">
        <v>9</v>
      </c>
      <c r="C8" s="39">
        <v>366070</v>
      </c>
      <c r="D8" s="3">
        <f>C8*$D$21/100</f>
        <v>366.07</v>
      </c>
      <c r="E8" s="3">
        <f>C8*$D$22/100</f>
        <v>366.07</v>
      </c>
      <c r="F8" s="40">
        <f>C8-D8-E8</f>
        <v>365337.86</v>
      </c>
      <c r="G8" s="39">
        <v>391995</v>
      </c>
      <c r="H8" s="6">
        <f>G8*$D$21/100</f>
        <v>391.995</v>
      </c>
      <c r="I8" s="6">
        <f>G8*$D$22/100</f>
        <v>391.995</v>
      </c>
      <c r="J8" s="15">
        <f>SUM(G8:I8)</f>
        <v>392778.99</v>
      </c>
      <c r="K8" s="6">
        <v>374974</v>
      </c>
      <c r="L8" s="6">
        <f>K8*$D$21/100</f>
        <v>374.97399999999999</v>
      </c>
      <c r="M8" s="6">
        <f>K8*$D$22/100</f>
        <v>374.97399999999999</v>
      </c>
      <c r="N8" s="15">
        <f>SUM(K8:M8)</f>
        <v>375723.94799999997</v>
      </c>
      <c r="O8" s="6"/>
    </row>
    <row r="9" spans="2:15" x14ac:dyDescent="0.25">
      <c r="B9" s="41" t="s">
        <v>10</v>
      </c>
      <c r="C9" s="42">
        <v>87131</v>
      </c>
      <c r="D9" s="43">
        <f t="shared" ref="D9:D16" si="0">C9*$D$21/100</f>
        <v>87.131</v>
      </c>
      <c r="E9" s="43">
        <f t="shared" ref="E9:E16" si="1">C9*$D$22/100</f>
        <v>87.131</v>
      </c>
      <c r="F9" s="44">
        <f t="shared" ref="F9:F16" si="2">C9-D9-E9</f>
        <v>86956.738000000012</v>
      </c>
      <c r="G9" s="42">
        <v>101613</v>
      </c>
      <c r="H9" s="43">
        <f>G9*$D$21/100</f>
        <v>101.61300000000001</v>
      </c>
      <c r="I9" s="43">
        <f t="shared" ref="I9:I16" si="3">G9*$D$22/100</f>
        <v>101.61300000000001</v>
      </c>
      <c r="J9" s="45">
        <f t="shared" ref="J9:J16" si="4">SUM(G9:I9)</f>
        <v>101816.226</v>
      </c>
      <c r="K9" s="43">
        <v>128212</v>
      </c>
      <c r="L9" s="43">
        <f t="shared" ref="L9:L16" si="5">K9*$D$21/100</f>
        <v>128.21200000000002</v>
      </c>
      <c r="M9" s="43">
        <f t="shared" ref="M9:M16" si="6">K9*$D$22/100</f>
        <v>128.21200000000002</v>
      </c>
      <c r="N9" s="45">
        <f t="shared" ref="N9:N16" si="7">SUM(K9:M9)</f>
        <v>128468.424</v>
      </c>
      <c r="O9" s="6"/>
    </row>
    <row r="10" spans="2:15" x14ac:dyDescent="0.25">
      <c r="B10" s="38" t="s">
        <v>11</v>
      </c>
      <c r="C10" s="39">
        <v>238754</v>
      </c>
      <c r="D10" s="6">
        <f t="shared" si="0"/>
        <v>238.75400000000002</v>
      </c>
      <c r="E10" s="6">
        <f t="shared" si="1"/>
        <v>238.75400000000002</v>
      </c>
      <c r="F10" s="40">
        <f t="shared" si="2"/>
        <v>238276.49200000003</v>
      </c>
      <c r="G10" s="39">
        <v>302917</v>
      </c>
      <c r="H10" s="6">
        <f t="shared" ref="H10:H16" si="8">G10*$D$21/100</f>
        <v>302.91700000000003</v>
      </c>
      <c r="I10" s="6">
        <f t="shared" si="3"/>
        <v>302.91700000000003</v>
      </c>
      <c r="J10" s="15">
        <f t="shared" si="4"/>
        <v>303522.83400000003</v>
      </c>
      <c r="K10" s="6">
        <v>414511</v>
      </c>
      <c r="L10" s="6">
        <f t="shared" si="5"/>
        <v>414.51100000000008</v>
      </c>
      <c r="M10" s="6">
        <f t="shared" si="6"/>
        <v>414.51100000000008</v>
      </c>
      <c r="N10" s="15">
        <f t="shared" si="7"/>
        <v>415340.022</v>
      </c>
      <c r="O10" s="6"/>
    </row>
    <row r="11" spans="2:15" x14ac:dyDescent="0.25">
      <c r="B11" s="41" t="s">
        <v>12</v>
      </c>
      <c r="C11" s="42">
        <v>95273</v>
      </c>
      <c r="D11" s="43">
        <f t="shared" si="0"/>
        <v>95.27300000000001</v>
      </c>
      <c r="E11" s="43">
        <f t="shared" si="1"/>
        <v>95.27300000000001</v>
      </c>
      <c r="F11" s="44">
        <f t="shared" si="2"/>
        <v>95082.453999999998</v>
      </c>
      <c r="G11" s="42">
        <v>122811</v>
      </c>
      <c r="H11" s="43">
        <f t="shared" si="8"/>
        <v>122.81100000000001</v>
      </c>
      <c r="I11" s="43">
        <f t="shared" si="3"/>
        <v>122.81100000000001</v>
      </c>
      <c r="J11" s="45">
        <f t="shared" si="4"/>
        <v>123056.622</v>
      </c>
      <c r="K11" s="43">
        <v>142993</v>
      </c>
      <c r="L11" s="43">
        <f t="shared" si="5"/>
        <v>142.99300000000002</v>
      </c>
      <c r="M11" s="43">
        <f t="shared" si="6"/>
        <v>142.99300000000002</v>
      </c>
      <c r="N11" s="45">
        <f t="shared" si="7"/>
        <v>143278.98599999998</v>
      </c>
      <c r="O11" s="6"/>
    </row>
    <row r="12" spans="2:15" x14ac:dyDescent="0.25">
      <c r="B12" s="38" t="s">
        <v>13</v>
      </c>
      <c r="C12" s="39">
        <v>104675</v>
      </c>
      <c r="D12" s="6">
        <f t="shared" si="0"/>
        <v>104.675</v>
      </c>
      <c r="E12" s="6">
        <f t="shared" si="1"/>
        <v>104.675</v>
      </c>
      <c r="F12" s="40">
        <f t="shared" si="2"/>
        <v>104465.65</v>
      </c>
      <c r="G12" s="39">
        <v>104634</v>
      </c>
      <c r="H12" s="6">
        <f t="shared" si="8"/>
        <v>104.63400000000001</v>
      </c>
      <c r="I12" s="6">
        <f t="shared" si="3"/>
        <v>104.63400000000001</v>
      </c>
      <c r="J12" s="15">
        <f t="shared" si="4"/>
        <v>104843.26800000001</v>
      </c>
      <c r="K12" s="6">
        <v>116428</v>
      </c>
      <c r="L12" s="6">
        <f t="shared" si="5"/>
        <v>116.42800000000001</v>
      </c>
      <c r="M12" s="6">
        <f t="shared" si="6"/>
        <v>116.42800000000001</v>
      </c>
      <c r="N12" s="15">
        <f t="shared" si="7"/>
        <v>116660.856</v>
      </c>
      <c r="O12" s="6"/>
    </row>
    <row r="13" spans="2:15" x14ac:dyDescent="0.25">
      <c r="B13" s="41" t="s">
        <v>14</v>
      </c>
      <c r="C13" s="42">
        <v>456917</v>
      </c>
      <c r="D13" s="43">
        <f t="shared" si="0"/>
        <v>456.91700000000003</v>
      </c>
      <c r="E13" s="43">
        <f t="shared" si="1"/>
        <v>456.91700000000003</v>
      </c>
      <c r="F13" s="44">
        <f t="shared" si="2"/>
        <v>456003.16599999997</v>
      </c>
      <c r="G13" s="42">
        <v>474769</v>
      </c>
      <c r="H13" s="43">
        <f t="shared" si="8"/>
        <v>474.76900000000001</v>
      </c>
      <c r="I13" s="43">
        <f t="shared" si="3"/>
        <v>474.76900000000001</v>
      </c>
      <c r="J13" s="45">
        <f t="shared" si="4"/>
        <v>475718.53799999994</v>
      </c>
      <c r="K13" s="43">
        <v>407872</v>
      </c>
      <c r="L13" s="43">
        <f t="shared" si="5"/>
        <v>407.87200000000007</v>
      </c>
      <c r="M13" s="43">
        <f t="shared" si="6"/>
        <v>407.87200000000007</v>
      </c>
      <c r="N13" s="45">
        <f t="shared" si="7"/>
        <v>408687.74399999995</v>
      </c>
      <c r="O13" s="6"/>
    </row>
    <row r="14" spans="2:15" x14ac:dyDescent="0.25">
      <c r="B14" s="38" t="s">
        <v>15</v>
      </c>
      <c r="C14" s="39">
        <v>5507</v>
      </c>
      <c r="D14" s="6">
        <f t="shared" si="0"/>
        <v>5.5070000000000006</v>
      </c>
      <c r="E14" s="6">
        <f t="shared" si="1"/>
        <v>5.5070000000000006</v>
      </c>
      <c r="F14" s="40">
        <f t="shared" si="2"/>
        <v>5495.9860000000008</v>
      </c>
      <c r="G14" s="39">
        <v>44390</v>
      </c>
      <c r="H14" s="6">
        <f t="shared" si="8"/>
        <v>44.39</v>
      </c>
      <c r="I14" s="6">
        <f t="shared" si="3"/>
        <v>44.39</v>
      </c>
      <c r="J14" s="15">
        <f t="shared" si="4"/>
        <v>44478.78</v>
      </c>
      <c r="K14" s="6">
        <v>47098</v>
      </c>
      <c r="L14" s="6">
        <f t="shared" si="5"/>
        <v>47.097999999999999</v>
      </c>
      <c r="M14" s="6">
        <f t="shared" si="6"/>
        <v>47.097999999999999</v>
      </c>
      <c r="N14" s="15">
        <f t="shared" si="7"/>
        <v>47192.195999999996</v>
      </c>
      <c r="O14" s="6"/>
    </row>
    <row r="15" spans="2:15" x14ac:dyDescent="0.25">
      <c r="B15" s="41" t="s">
        <v>16</v>
      </c>
      <c r="C15" s="42">
        <v>14018</v>
      </c>
      <c r="D15" s="43">
        <f t="shared" si="0"/>
        <v>14.018000000000002</v>
      </c>
      <c r="E15" s="43">
        <f t="shared" si="1"/>
        <v>14.018000000000002</v>
      </c>
      <c r="F15" s="44">
        <f t="shared" si="2"/>
        <v>13989.964</v>
      </c>
      <c r="G15" s="42">
        <v>14817</v>
      </c>
      <c r="H15" s="43">
        <f t="shared" si="8"/>
        <v>14.817</v>
      </c>
      <c r="I15" s="43">
        <f t="shared" si="3"/>
        <v>14.817</v>
      </c>
      <c r="J15" s="45">
        <f t="shared" si="4"/>
        <v>14846.633999999998</v>
      </c>
      <c r="K15" s="43">
        <v>14817</v>
      </c>
      <c r="L15" s="43">
        <f t="shared" si="5"/>
        <v>14.817</v>
      </c>
      <c r="M15" s="43">
        <f t="shared" si="6"/>
        <v>14.817</v>
      </c>
      <c r="N15" s="45">
        <f t="shared" si="7"/>
        <v>14846.633999999998</v>
      </c>
      <c r="O15" s="6"/>
    </row>
    <row r="16" spans="2:15" x14ac:dyDescent="0.25">
      <c r="B16" s="46" t="s">
        <v>17</v>
      </c>
      <c r="C16" s="47">
        <v>193757</v>
      </c>
      <c r="D16" s="8">
        <f t="shared" si="0"/>
        <v>193.75700000000001</v>
      </c>
      <c r="E16" s="8">
        <f t="shared" si="1"/>
        <v>193.75700000000001</v>
      </c>
      <c r="F16" s="48">
        <f t="shared" si="2"/>
        <v>193369.48599999998</v>
      </c>
      <c r="G16" s="47">
        <v>211284</v>
      </c>
      <c r="H16" s="8">
        <f t="shared" si="8"/>
        <v>211.28400000000002</v>
      </c>
      <c r="I16" s="8">
        <f t="shared" si="3"/>
        <v>211.28400000000002</v>
      </c>
      <c r="J16" s="17">
        <f t="shared" si="4"/>
        <v>211706.56800000003</v>
      </c>
      <c r="K16" s="8">
        <v>229969</v>
      </c>
      <c r="L16" s="8">
        <f t="shared" si="5"/>
        <v>229.96900000000002</v>
      </c>
      <c r="M16" s="8">
        <f t="shared" si="6"/>
        <v>229.96900000000002</v>
      </c>
      <c r="N16" s="17">
        <f t="shared" si="7"/>
        <v>230428.93800000002</v>
      </c>
      <c r="O16" s="6"/>
    </row>
    <row r="17" spans="2:15" x14ac:dyDescent="0.25">
      <c r="C17" s="4"/>
      <c r="F17" s="49"/>
      <c r="G17" s="4"/>
      <c r="H17" s="5"/>
      <c r="I17" s="5"/>
      <c r="J17" s="49"/>
      <c r="N17" s="49"/>
    </row>
    <row r="18" spans="2:15" ht="15.75" thickBot="1" x14ac:dyDescent="0.3">
      <c r="B18" s="50" t="s">
        <v>4</v>
      </c>
      <c r="C18" s="51">
        <f t="shared" ref="C18:E18" si="9">SUM(C8:C16)</f>
        <v>1562102</v>
      </c>
      <c r="D18" s="9">
        <f t="shared" si="9"/>
        <v>1562.1020000000003</v>
      </c>
      <c r="E18" s="9">
        <f t="shared" si="9"/>
        <v>1562.1020000000003</v>
      </c>
      <c r="F18" s="52">
        <f>SUM(F8:F16)</f>
        <v>1558977.7960000001</v>
      </c>
      <c r="G18" s="51">
        <f>SUM(G8:G16)</f>
        <v>1769230</v>
      </c>
      <c r="H18" s="9">
        <f t="shared" ref="H18:J18" si="10">SUM(H8:H16)</f>
        <v>1769.2300000000002</v>
      </c>
      <c r="I18" s="9">
        <f t="shared" si="10"/>
        <v>1769.2300000000002</v>
      </c>
      <c r="J18" s="52">
        <f t="shared" si="10"/>
        <v>1772768.4600000002</v>
      </c>
      <c r="K18" s="9">
        <f>SUM(K8:K16)</f>
        <v>1876874</v>
      </c>
      <c r="L18" s="9">
        <f t="shared" ref="L18:N18" si="11">SUM(L8:L16)</f>
        <v>1876.8740000000003</v>
      </c>
      <c r="M18" s="9">
        <f t="shared" si="11"/>
        <v>1876.8740000000003</v>
      </c>
      <c r="N18" s="52">
        <f t="shared" si="11"/>
        <v>1880627.7479999999</v>
      </c>
      <c r="O18" s="53"/>
    </row>
    <row r="21" spans="2:15" x14ac:dyDescent="0.25">
      <c r="B21" s="54" t="s">
        <v>55</v>
      </c>
      <c r="D21" s="55">
        <v>0.1</v>
      </c>
    </row>
    <row r="22" spans="2:15" x14ac:dyDescent="0.25">
      <c r="B22" s="54" t="s">
        <v>56</v>
      </c>
      <c r="D22" s="55">
        <v>0.1</v>
      </c>
    </row>
  </sheetData>
  <mergeCells count="5">
    <mergeCell ref="B5:B7"/>
    <mergeCell ref="C5:N5"/>
    <mergeCell ref="C6:E6"/>
    <mergeCell ref="G6:J6"/>
    <mergeCell ref="K6:N6"/>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'(2) Assmpt. % COE+ADMIN '!$E$8:$E$25</xm:f>
          </x14:formula1>
          <xm:sqref>D22</xm:sqref>
        </x14:dataValidation>
        <x14:dataValidation type="list" allowBlank="1" showInputMessage="1" showErrorMessage="1" xr:uid="{00000000-0002-0000-0100-000001000000}">
          <x14:formula1>
            <xm:f>'(2) Assmpt. % COE+ADMIN '!$C$8:$C$25</xm:f>
          </x14:formula1>
          <xm:sqref>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29"/>
  <sheetViews>
    <sheetView workbookViewId="0">
      <selection activeCell="F24" sqref="F24"/>
    </sheetView>
  </sheetViews>
  <sheetFormatPr defaultRowHeight="15" x14ac:dyDescent="0.25"/>
  <cols>
    <col min="2" max="5" width="14.7109375" customWidth="1"/>
  </cols>
  <sheetData>
    <row r="2" spans="2:5" ht="18.75" x14ac:dyDescent="0.3">
      <c r="B2" s="2" t="s">
        <v>57</v>
      </c>
      <c r="C2" s="2"/>
      <c r="D2" s="2"/>
    </row>
    <row r="3" spans="2:5" x14ac:dyDescent="0.25">
      <c r="B3" s="14" t="s">
        <v>58</v>
      </c>
      <c r="C3" s="14"/>
      <c r="D3" s="14"/>
    </row>
    <row r="6" spans="2:5" ht="30" customHeight="1" x14ac:dyDescent="0.25">
      <c r="B6" s="121" t="s">
        <v>0</v>
      </c>
      <c r="C6" s="121"/>
      <c r="D6" s="121" t="s">
        <v>59</v>
      </c>
      <c r="E6" s="121" t="s">
        <v>21</v>
      </c>
    </row>
    <row r="7" spans="2:5" x14ac:dyDescent="0.25">
      <c r="B7" s="56" t="s">
        <v>60</v>
      </c>
      <c r="C7" s="56" t="s">
        <v>61</v>
      </c>
      <c r="D7" s="56" t="s">
        <v>60</v>
      </c>
      <c r="E7" s="56" t="s">
        <v>61</v>
      </c>
    </row>
    <row r="8" spans="2:5" x14ac:dyDescent="0.25">
      <c r="B8" s="57">
        <v>1E-4</v>
      </c>
      <c r="C8" s="58">
        <f t="shared" ref="C8:C25" si="0">B8*100</f>
        <v>0.01</v>
      </c>
      <c r="D8" s="57">
        <v>1E-4</v>
      </c>
      <c r="E8" s="58">
        <f>D8*100</f>
        <v>0.01</v>
      </c>
    </row>
    <row r="9" spans="2:5" x14ac:dyDescent="0.25">
      <c r="B9" s="57">
        <v>1.5000000000000001E-4</v>
      </c>
      <c r="C9" s="58">
        <f t="shared" si="0"/>
        <v>1.5000000000000001E-2</v>
      </c>
      <c r="D9" s="57">
        <v>1.5000000000000001E-4</v>
      </c>
      <c r="E9" s="58">
        <f t="shared" ref="E9:E25" si="1">D9*100</f>
        <v>1.5000000000000001E-2</v>
      </c>
    </row>
    <row r="10" spans="2:5" x14ac:dyDescent="0.25">
      <c r="B10" s="57">
        <v>2.0000000000000001E-4</v>
      </c>
      <c r="C10" s="58">
        <f t="shared" si="0"/>
        <v>0.02</v>
      </c>
      <c r="D10" s="57">
        <v>2.0000000000000001E-4</v>
      </c>
      <c r="E10" s="58">
        <f t="shared" si="1"/>
        <v>0.02</v>
      </c>
    </row>
    <row r="11" spans="2:5" x14ac:dyDescent="0.25">
      <c r="B11" s="57">
        <v>2.5000000000000001E-4</v>
      </c>
      <c r="C11" s="58">
        <f t="shared" si="0"/>
        <v>2.5000000000000001E-2</v>
      </c>
      <c r="D11" s="57">
        <v>2.5000000000000001E-4</v>
      </c>
      <c r="E11" s="58">
        <f t="shared" si="1"/>
        <v>2.5000000000000001E-2</v>
      </c>
    </row>
    <row r="12" spans="2:5" x14ac:dyDescent="0.25">
      <c r="B12" s="57">
        <v>3.0000000000000003E-4</v>
      </c>
      <c r="C12" s="58">
        <f t="shared" si="0"/>
        <v>3.0000000000000002E-2</v>
      </c>
      <c r="D12" s="57">
        <v>3.0000000000000003E-4</v>
      </c>
      <c r="E12" s="58">
        <f t="shared" si="1"/>
        <v>3.0000000000000002E-2</v>
      </c>
    </row>
    <row r="13" spans="2:5" x14ac:dyDescent="0.25">
      <c r="B13" s="57">
        <v>3.5E-4</v>
      </c>
      <c r="C13" s="58">
        <f t="shared" si="0"/>
        <v>3.4999999999999996E-2</v>
      </c>
      <c r="D13" s="57">
        <v>3.5E-4</v>
      </c>
      <c r="E13" s="58">
        <f t="shared" si="1"/>
        <v>3.4999999999999996E-2</v>
      </c>
    </row>
    <row r="14" spans="2:5" x14ac:dyDescent="0.25">
      <c r="B14" s="57">
        <v>4.0000000000000002E-4</v>
      </c>
      <c r="C14" s="58">
        <f t="shared" si="0"/>
        <v>0.04</v>
      </c>
      <c r="D14" s="57">
        <v>4.0000000000000002E-4</v>
      </c>
      <c r="E14" s="58">
        <f t="shared" si="1"/>
        <v>0.04</v>
      </c>
    </row>
    <row r="15" spans="2:5" x14ac:dyDescent="0.25">
      <c r="B15" s="57">
        <v>4.4999999999999999E-4</v>
      </c>
      <c r="C15" s="58">
        <f t="shared" si="0"/>
        <v>4.4999999999999998E-2</v>
      </c>
      <c r="D15" s="57">
        <v>4.4999999999999999E-4</v>
      </c>
      <c r="E15" s="58">
        <f t="shared" si="1"/>
        <v>4.4999999999999998E-2</v>
      </c>
    </row>
    <row r="16" spans="2:5" x14ac:dyDescent="0.25">
      <c r="B16" s="57">
        <v>5.0000000000000001E-4</v>
      </c>
      <c r="C16" s="58">
        <f t="shared" si="0"/>
        <v>0.05</v>
      </c>
      <c r="D16" s="57">
        <v>5.0000000000000001E-4</v>
      </c>
      <c r="E16" s="58">
        <f t="shared" si="1"/>
        <v>0.05</v>
      </c>
    </row>
    <row r="17" spans="2:5" x14ac:dyDescent="0.25">
      <c r="B17" s="57">
        <v>6.0000000000000006E-4</v>
      </c>
      <c r="C17" s="58">
        <f t="shared" si="0"/>
        <v>6.0000000000000005E-2</v>
      </c>
      <c r="D17" s="57">
        <v>6.0000000000000006E-4</v>
      </c>
      <c r="E17" s="58">
        <f t="shared" si="1"/>
        <v>6.0000000000000005E-2</v>
      </c>
    </row>
    <row r="18" spans="2:5" x14ac:dyDescent="0.25">
      <c r="B18" s="57">
        <v>6.4999999999999997E-4</v>
      </c>
      <c r="C18" s="58">
        <f t="shared" si="0"/>
        <v>6.5000000000000002E-2</v>
      </c>
      <c r="D18" s="57">
        <v>6.4999999999999997E-4</v>
      </c>
      <c r="E18" s="58">
        <f t="shared" si="1"/>
        <v>6.5000000000000002E-2</v>
      </c>
    </row>
    <row r="19" spans="2:5" x14ac:dyDescent="0.25">
      <c r="B19" s="57">
        <v>6.9999999999999999E-4</v>
      </c>
      <c r="C19" s="58">
        <f t="shared" si="0"/>
        <v>6.9999999999999993E-2</v>
      </c>
      <c r="D19" s="57">
        <v>6.9999999999999999E-4</v>
      </c>
      <c r="E19" s="58">
        <f t="shared" si="1"/>
        <v>6.9999999999999993E-2</v>
      </c>
    </row>
    <row r="20" spans="2:5" x14ac:dyDescent="0.25">
      <c r="B20" s="57">
        <v>7.5000000000000002E-4</v>
      </c>
      <c r="C20" s="58">
        <f t="shared" si="0"/>
        <v>7.4999999999999997E-2</v>
      </c>
      <c r="D20" s="57">
        <v>7.5000000000000002E-4</v>
      </c>
      <c r="E20" s="58">
        <f t="shared" si="1"/>
        <v>7.4999999999999997E-2</v>
      </c>
    </row>
    <row r="21" spans="2:5" x14ac:dyDescent="0.25">
      <c r="B21" s="57">
        <v>8.0000000000000004E-4</v>
      </c>
      <c r="C21" s="58">
        <f t="shared" si="0"/>
        <v>0.08</v>
      </c>
      <c r="D21" s="57">
        <v>8.0000000000000004E-4</v>
      </c>
      <c r="E21" s="58">
        <f t="shared" si="1"/>
        <v>0.08</v>
      </c>
    </row>
    <row r="22" spans="2:5" x14ac:dyDescent="0.25">
      <c r="B22" s="57">
        <v>8.5000000000000006E-4</v>
      </c>
      <c r="C22" s="58">
        <f t="shared" si="0"/>
        <v>8.5000000000000006E-2</v>
      </c>
      <c r="D22" s="57">
        <v>8.5000000000000006E-4</v>
      </c>
      <c r="E22" s="58">
        <f t="shared" si="1"/>
        <v>8.5000000000000006E-2</v>
      </c>
    </row>
    <row r="23" spans="2:5" x14ac:dyDescent="0.25">
      <c r="B23" s="57">
        <v>8.9999999999999998E-4</v>
      </c>
      <c r="C23" s="58">
        <f t="shared" si="0"/>
        <v>0.09</v>
      </c>
      <c r="D23" s="57">
        <v>8.9999999999999998E-4</v>
      </c>
      <c r="E23" s="58">
        <f t="shared" si="1"/>
        <v>0.09</v>
      </c>
    </row>
    <row r="24" spans="2:5" x14ac:dyDescent="0.25">
      <c r="B24" s="57">
        <v>9.5E-4</v>
      </c>
      <c r="C24" s="58">
        <f t="shared" si="0"/>
        <v>9.5000000000000001E-2</v>
      </c>
      <c r="D24" s="57">
        <v>9.5E-4</v>
      </c>
      <c r="E24" s="58">
        <f t="shared" si="1"/>
        <v>9.5000000000000001E-2</v>
      </c>
    </row>
    <row r="25" spans="2:5" ht="15.75" thickBot="1" x14ac:dyDescent="0.3">
      <c r="B25" s="59">
        <v>1E-3</v>
      </c>
      <c r="C25" s="60">
        <f t="shared" si="0"/>
        <v>0.1</v>
      </c>
      <c r="D25" s="59">
        <v>1E-3</v>
      </c>
      <c r="E25" s="60">
        <f t="shared" si="1"/>
        <v>0.1</v>
      </c>
    </row>
    <row r="26" spans="2:5" ht="15.75" thickTop="1" x14ac:dyDescent="0.25">
      <c r="B26" s="61"/>
      <c r="C26" s="58"/>
      <c r="D26" s="58"/>
    </row>
    <row r="27" spans="2:5" x14ac:dyDescent="0.25">
      <c r="B27" s="61" t="s">
        <v>62</v>
      </c>
      <c r="C27" s="58"/>
      <c r="D27" s="58"/>
    </row>
    <row r="29" spans="2:5" x14ac:dyDescent="0.25">
      <c r="B29" s="62" t="s">
        <v>63</v>
      </c>
      <c r="D29">
        <f>10</f>
        <v>10</v>
      </c>
    </row>
  </sheetData>
  <mergeCells count="2">
    <mergeCell ref="B6:C6"/>
    <mergeCell ref="D6:E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L53"/>
  <sheetViews>
    <sheetView workbookViewId="0">
      <selection activeCell="J38" sqref="J38"/>
    </sheetView>
  </sheetViews>
  <sheetFormatPr defaultRowHeight="15" x14ac:dyDescent="0.25"/>
  <cols>
    <col min="2" max="2" width="38.7109375" customWidth="1"/>
    <col min="3" max="3" width="13.7109375" customWidth="1"/>
  </cols>
  <sheetData>
    <row r="2" spans="2:3" ht="18.75" x14ac:dyDescent="0.3">
      <c r="B2" s="2" t="s">
        <v>64</v>
      </c>
    </row>
    <row r="3" spans="2:3" x14ac:dyDescent="0.25">
      <c r="B3" s="14" t="s">
        <v>65</v>
      </c>
    </row>
    <row r="5" spans="2:3" ht="18.75" x14ac:dyDescent="0.3">
      <c r="B5" s="63" t="s">
        <v>66</v>
      </c>
      <c r="C5" s="63" t="s">
        <v>3</v>
      </c>
    </row>
    <row r="6" spans="2:3" ht="15.75" x14ac:dyDescent="0.25">
      <c r="B6" s="1" t="s">
        <v>67</v>
      </c>
      <c r="C6" s="11">
        <f>374973507</f>
        <v>374973507</v>
      </c>
    </row>
    <row r="7" spans="2:3" ht="16.5" thickBot="1" x14ac:dyDescent="0.3">
      <c r="B7" s="1" t="s">
        <v>68</v>
      </c>
      <c r="C7" s="11">
        <f>SUM(C8:C10)</f>
        <v>374409.99</v>
      </c>
    </row>
    <row r="8" spans="2:3" x14ac:dyDescent="0.25">
      <c r="B8" s="64" t="s">
        <v>5</v>
      </c>
      <c r="C8" s="65">
        <v>44.48</v>
      </c>
    </row>
    <row r="9" spans="2:3" x14ac:dyDescent="0.25">
      <c r="B9" s="66" t="s">
        <v>6</v>
      </c>
      <c r="C9" s="67">
        <v>271313.88</v>
      </c>
    </row>
    <row r="10" spans="2:3" ht="15.75" thickBot="1" x14ac:dyDescent="0.3">
      <c r="B10" s="68" t="s">
        <v>7</v>
      </c>
      <c r="C10" s="69">
        <v>103051.63</v>
      </c>
    </row>
    <row r="11" spans="2:3" ht="16.5" thickBot="1" x14ac:dyDescent="0.3">
      <c r="B11" s="1" t="s">
        <v>69</v>
      </c>
      <c r="C11" s="11">
        <f>SUM(C12:C16)</f>
        <v>9389793</v>
      </c>
    </row>
    <row r="12" spans="2:3" x14ac:dyDescent="0.25">
      <c r="B12" s="64" t="s">
        <v>26</v>
      </c>
      <c r="C12" s="65">
        <v>5880679.8300000001</v>
      </c>
    </row>
    <row r="13" spans="2:3" x14ac:dyDescent="0.25">
      <c r="B13" s="66" t="s">
        <v>27</v>
      </c>
      <c r="C13" s="67">
        <v>188800</v>
      </c>
    </row>
    <row r="14" spans="2:3" x14ac:dyDescent="0.25">
      <c r="B14" s="66" t="s">
        <v>28</v>
      </c>
      <c r="C14" s="67">
        <v>332948.17</v>
      </c>
    </row>
    <row r="15" spans="2:3" x14ac:dyDescent="0.25">
      <c r="B15" s="66" t="s">
        <v>29</v>
      </c>
      <c r="C15" s="67">
        <v>24200</v>
      </c>
    </row>
    <row r="16" spans="2:3" ht="15.75" thickBot="1" x14ac:dyDescent="0.3">
      <c r="B16" s="68" t="s">
        <v>30</v>
      </c>
      <c r="C16" s="69">
        <v>2963165</v>
      </c>
    </row>
    <row r="17" spans="2:3" ht="15.75" x14ac:dyDescent="0.25">
      <c r="B17" s="1" t="s">
        <v>70</v>
      </c>
      <c r="C17" s="11">
        <f>C6-C7-C11</f>
        <v>365209304.00999999</v>
      </c>
    </row>
    <row r="18" spans="2:3" ht="15.75" x14ac:dyDescent="0.25">
      <c r="B18" s="13"/>
      <c r="C18" s="10"/>
    </row>
    <row r="19" spans="2:3" ht="15.75" x14ac:dyDescent="0.25">
      <c r="B19" s="70" t="s">
        <v>71</v>
      </c>
      <c r="C19" s="10">
        <v>80919</v>
      </c>
    </row>
    <row r="20" spans="2:3" ht="15.75" x14ac:dyDescent="0.25">
      <c r="B20" s="70" t="s">
        <v>72</v>
      </c>
      <c r="C20" s="10">
        <f>C19*C21</f>
        <v>16102881</v>
      </c>
    </row>
    <row r="21" spans="2:3" ht="16.5" thickBot="1" x14ac:dyDescent="0.3">
      <c r="B21" s="70" t="s">
        <v>73</v>
      </c>
      <c r="C21" s="10">
        <f>AVERAGE(C22:C24)</f>
        <v>199</v>
      </c>
    </row>
    <row r="22" spans="2:3" x14ac:dyDescent="0.25">
      <c r="B22" s="71" t="s">
        <v>1</v>
      </c>
      <c r="C22" s="65">
        <v>197</v>
      </c>
    </row>
    <row r="23" spans="2:3" x14ac:dyDescent="0.25">
      <c r="B23" s="72" t="s">
        <v>2</v>
      </c>
      <c r="C23" s="67">
        <v>199</v>
      </c>
    </row>
    <row r="24" spans="2:3" ht="15.75" thickBot="1" x14ac:dyDescent="0.3">
      <c r="B24" s="73" t="s">
        <v>3</v>
      </c>
      <c r="C24" s="69">
        <v>201</v>
      </c>
    </row>
    <row r="25" spans="2:3" x14ac:dyDescent="0.25">
      <c r="C25" s="10"/>
    </row>
    <row r="26" spans="2:3" ht="15.75" x14ac:dyDescent="0.25">
      <c r="B26" s="74" t="s">
        <v>74</v>
      </c>
      <c r="C26" s="75">
        <f>C17/C20</f>
        <v>22.679749295172709</v>
      </c>
    </row>
    <row r="41" spans="10:12" x14ac:dyDescent="0.25">
      <c r="J41" s="7"/>
      <c r="K41" s="7"/>
      <c r="L41" s="6"/>
    </row>
    <row r="50" spans="2:3" x14ac:dyDescent="0.25">
      <c r="C50" s="10"/>
    </row>
    <row r="51" spans="2:3" x14ac:dyDescent="0.25">
      <c r="B51" s="7"/>
      <c r="C51" s="10"/>
    </row>
    <row r="52" spans="2:3" x14ac:dyDescent="0.25">
      <c r="C52" s="10"/>
    </row>
    <row r="53" spans="2:3" x14ac:dyDescent="0.25">
      <c r="C53" s="1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C28"/>
  <sheetViews>
    <sheetView workbookViewId="0">
      <selection activeCell="F24" sqref="F24"/>
    </sheetView>
  </sheetViews>
  <sheetFormatPr defaultRowHeight="15" x14ac:dyDescent="0.25"/>
  <cols>
    <col min="2" max="2" width="38.7109375" customWidth="1"/>
    <col min="3" max="3" width="13.7109375" customWidth="1"/>
  </cols>
  <sheetData>
    <row r="2" spans="2:3" ht="18.75" x14ac:dyDescent="0.3">
      <c r="B2" s="2" t="s">
        <v>75</v>
      </c>
    </row>
    <row r="3" spans="2:3" x14ac:dyDescent="0.25">
      <c r="B3" s="14" t="s">
        <v>76</v>
      </c>
    </row>
    <row r="5" spans="2:3" ht="18.75" x14ac:dyDescent="0.3">
      <c r="B5" s="63" t="s">
        <v>66</v>
      </c>
      <c r="C5" s="63" t="s">
        <v>3</v>
      </c>
    </row>
    <row r="6" spans="2:3" ht="15.75" x14ac:dyDescent="0.25">
      <c r="B6" s="1" t="s">
        <v>67</v>
      </c>
      <c r="C6" s="11">
        <f>374973507</f>
        <v>374973507</v>
      </c>
    </row>
    <row r="7" spans="2:3" ht="16.5" thickBot="1" x14ac:dyDescent="0.3">
      <c r="B7" s="1" t="s">
        <v>68</v>
      </c>
      <c r="C7" s="11">
        <f>SUM(C8:C10)</f>
        <v>374409.99</v>
      </c>
    </row>
    <row r="8" spans="2:3" x14ac:dyDescent="0.25">
      <c r="B8" s="64" t="s">
        <v>5</v>
      </c>
      <c r="C8" s="65">
        <v>44.48</v>
      </c>
    </row>
    <row r="9" spans="2:3" x14ac:dyDescent="0.25">
      <c r="B9" s="66" t="s">
        <v>6</v>
      </c>
      <c r="C9" s="67">
        <v>271313.88</v>
      </c>
    </row>
    <row r="10" spans="2:3" ht="15.75" thickBot="1" x14ac:dyDescent="0.3">
      <c r="B10" s="68" t="s">
        <v>7</v>
      </c>
      <c r="C10" s="69">
        <v>103051.63</v>
      </c>
    </row>
    <row r="11" spans="2:3" ht="16.5" thickBot="1" x14ac:dyDescent="0.3">
      <c r="B11" s="1" t="s">
        <v>69</v>
      </c>
      <c r="C11" s="11">
        <f>SUM(C12:C16)</f>
        <v>9389793</v>
      </c>
    </row>
    <row r="12" spans="2:3" x14ac:dyDescent="0.25">
      <c r="B12" s="64" t="s">
        <v>26</v>
      </c>
      <c r="C12" s="65">
        <v>5880679.8300000001</v>
      </c>
    </row>
    <row r="13" spans="2:3" x14ac:dyDescent="0.25">
      <c r="B13" s="66" t="s">
        <v>27</v>
      </c>
      <c r="C13" s="67">
        <v>188800</v>
      </c>
    </row>
    <row r="14" spans="2:3" x14ac:dyDescent="0.25">
      <c r="B14" s="66" t="s">
        <v>28</v>
      </c>
      <c r="C14" s="67">
        <v>332948.17</v>
      </c>
    </row>
    <row r="15" spans="2:3" x14ac:dyDescent="0.25">
      <c r="B15" s="66" t="s">
        <v>29</v>
      </c>
      <c r="C15" s="67">
        <v>24200</v>
      </c>
    </row>
    <row r="16" spans="2:3" ht="15.75" thickBot="1" x14ac:dyDescent="0.3">
      <c r="B16" s="68" t="s">
        <v>30</v>
      </c>
      <c r="C16" s="69">
        <v>2963165</v>
      </c>
    </row>
    <row r="17" spans="2:3" ht="15.75" x14ac:dyDescent="0.25">
      <c r="B17" s="1" t="s">
        <v>70</v>
      </c>
      <c r="C17" s="11">
        <f>C6-C7-C11</f>
        <v>365209304.00999999</v>
      </c>
    </row>
    <row r="18" spans="2:3" ht="15.75" x14ac:dyDescent="0.25">
      <c r="B18" s="13"/>
      <c r="C18" s="10"/>
    </row>
    <row r="19" spans="2:3" ht="16.5" thickBot="1" x14ac:dyDescent="0.3">
      <c r="B19" s="70" t="s">
        <v>73</v>
      </c>
      <c r="C19" s="10">
        <f>AVERAGE(C20:C22)</f>
        <v>199</v>
      </c>
    </row>
    <row r="20" spans="2:3" x14ac:dyDescent="0.25">
      <c r="B20" s="71" t="s">
        <v>1</v>
      </c>
      <c r="C20" s="65">
        <v>197</v>
      </c>
    </row>
    <row r="21" spans="2:3" x14ac:dyDescent="0.25">
      <c r="B21" s="72" t="s">
        <v>2</v>
      </c>
      <c r="C21" s="67">
        <v>199</v>
      </c>
    </row>
    <row r="22" spans="2:3" ht="15.75" thickBot="1" x14ac:dyDescent="0.3">
      <c r="B22" s="73" t="s">
        <v>3</v>
      </c>
      <c r="C22" s="69">
        <v>201</v>
      </c>
    </row>
    <row r="23" spans="2:3" ht="16.5" thickBot="1" x14ac:dyDescent="0.3">
      <c r="B23" s="76" t="s">
        <v>77</v>
      </c>
      <c r="C23" s="10">
        <f>AVERAGE(C24:C26)</f>
        <v>55728</v>
      </c>
    </row>
    <row r="24" spans="2:3" x14ac:dyDescent="0.25">
      <c r="B24" s="71" t="s">
        <v>1</v>
      </c>
      <c r="C24" s="65">
        <v>54471</v>
      </c>
    </row>
    <row r="25" spans="2:3" x14ac:dyDescent="0.25">
      <c r="B25" s="72" t="s">
        <v>2</v>
      </c>
      <c r="C25" s="67">
        <v>55537</v>
      </c>
    </row>
    <row r="26" spans="2:3" ht="15.75" thickBot="1" x14ac:dyDescent="0.3">
      <c r="B26" s="73" t="s">
        <v>3</v>
      </c>
      <c r="C26" s="69">
        <v>57176</v>
      </c>
    </row>
    <row r="27" spans="2:3" x14ac:dyDescent="0.25">
      <c r="C27" s="10"/>
    </row>
    <row r="28" spans="2:3" ht="15.75" x14ac:dyDescent="0.25">
      <c r="B28" s="74" t="s">
        <v>78</v>
      </c>
      <c r="C28" s="77">
        <f>C17/C23/C19</f>
        <v>32.931787130635954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L30"/>
  <sheetViews>
    <sheetView workbookViewId="0">
      <selection activeCell="F24" sqref="F24"/>
    </sheetView>
  </sheetViews>
  <sheetFormatPr defaultRowHeight="15" x14ac:dyDescent="0.25"/>
  <cols>
    <col min="2" max="4" width="25.7109375" customWidth="1"/>
    <col min="5" max="6" width="14.5703125" customWidth="1"/>
    <col min="7" max="8" width="13.5703125" customWidth="1"/>
    <col min="12" max="12" width="14.42578125" bestFit="1" customWidth="1"/>
  </cols>
  <sheetData>
    <row r="2" spans="2:12" ht="18.75" x14ac:dyDescent="0.3">
      <c r="B2" s="2" t="s">
        <v>75</v>
      </c>
    </row>
    <row r="3" spans="2:12" x14ac:dyDescent="0.25">
      <c r="B3" s="14" t="s">
        <v>79</v>
      </c>
    </row>
    <row r="4" spans="2:12" x14ac:dyDescent="0.25">
      <c r="B4" s="14" t="s">
        <v>80</v>
      </c>
    </row>
    <row r="6" spans="2:12" x14ac:dyDescent="0.25">
      <c r="B6" s="122" t="s">
        <v>81</v>
      </c>
      <c r="C6" s="122"/>
      <c r="D6" s="122"/>
      <c r="E6" s="122"/>
      <c r="F6" s="122"/>
      <c r="G6" s="122"/>
      <c r="H6" s="122"/>
    </row>
    <row r="7" spans="2:12" x14ac:dyDescent="0.25">
      <c r="B7" s="123" t="s">
        <v>82</v>
      </c>
      <c r="C7" s="123" t="s">
        <v>83</v>
      </c>
      <c r="D7" s="124" t="s">
        <v>84</v>
      </c>
      <c r="E7" s="124" t="s">
        <v>85</v>
      </c>
      <c r="F7" s="124"/>
      <c r="G7" s="124" t="s">
        <v>86</v>
      </c>
      <c r="H7" s="124" t="s">
        <v>87</v>
      </c>
    </row>
    <row r="8" spans="2:12" x14ac:dyDescent="0.25">
      <c r="B8" s="123"/>
      <c r="C8" s="123"/>
      <c r="D8" s="124"/>
      <c r="E8" s="78" t="s">
        <v>22</v>
      </c>
      <c r="F8" s="78" t="s">
        <v>42</v>
      </c>
      <c r="G8" s="124"/>
      <c r="H8" s="124" t="s">
        <v>87</v>
      </c>
    </row>
    <row r="9" spans="2:12" x14ac:dyDescent="0.25">
      <c r="B9" s="16">
        <v>0</v>
      </c>
      <c r="C9" s="16">
        <v>1</v>
      </c>
      <c r="D9" s="10">
        <v>365209304.00999999</v>
      </c>
      <c r="E9" s="79">
        <f t="shared" ref="E9:E29" si="0">(B9*D9)</f>
        <v>0</v>
      </c>
      <c r="F9" s="10">
        <f t="shared" ref="F9:F29" si="1">C9*D9</f>
        <v>365209304.00999999</v>
      </c>
      <c r="G9" s="80">
        <f>E9/'(4) Assmpt. COST PER LEARNER'!$C$23/'(4) Assmpt. COST PER LEARNER'!$C$19</f>
        <v>0</v>
      </c>
      <c r="H9" s="12">
        <f>F9/'(3) Assmpt. COST PER KM'!$C$20</f>
        <v>22.679749295172709</v>
      </c>
    </row>
    <row r="10" spans="2:12" x14ac:dyDescent="0.25">
      <c r="B10" s="16">
        <v>0.05</v>
      </c>
      <c r="C10" s="16">
        <v>0.95</v>
      </c>
      <c r="D10" s="10">
        <v>365209304.00999999</v>
      </c>
      <c r="E10" s="79">
        <f t="shared" si="0"/>
        <v>18260465.2005</v>
      </c>
      <c r="F10" s="10">
        <f t="shared" si="1"/>
        <v>346948838.80949998</v>
      </c>
      <c r="G10" s="12">
        <f>E10/'(4) Assmpt. COST PER LEARNER'!$C$23/'(4) Assmpt. COST PER LEARNER'!$C$19</f>
        <v>1.6465893565317977</v>
      </c>
      <c r="H10" s="12">
        <f>F10/'(3) Assmpt. COST PER KM'!$C$20</f>
        <v>21.545761830414072</v>
      </c>
    </row>
    <row r="11" spans="2:12" x14ac:dyDescent="0.25">
      <c r="B11" s="16">
        <v>0.1</v>
      </c>
      <c r="C11" s="16">
        <v>0.9</v>
      </c>
      <c r="D11" s="10">
        <v>365209304.00999999</v>
      </c>
      <c r="E11" s="79">
        <f t="shared" si="0"/>
        <v>36520930.401000001</v>
      </c>
      <c r="F11" s="10">
        <f t="shared" si="1"/>
        <v>328688373.60900003</v>
      </c>
      <c r="G11" s="12">
        <f>E11/'(4) Assmpt. COST PER LEARNER'!$C$23/'(4) Assmpt. COST PER LEARNER'!$C$19</f>
        <v>3.2931787130635954</v>
      </c>
      <c r="H11" s="12">
        <f>F11/'(3) Assmpt. COST PER KM'!$C$20</f>
        <v>20.41177436565544</v>
      </c>
    </row>
    <row r="12" spans="2:12" x14ac:dyDescent="0.25">
      <c r="B12" s="16">
        <v>0.15</v>
      </c>
      <c r="C12" s="16">
        <v>0.85</v>
      </c>
      <c r="D12" s="10">
        <v>365209304.00999999</v>
      </c>
      <c r="E12" s="79">
        <f t="shared" si="0"/>
        <v>54781395.601499997</v>
      </c>
      <c r="F12" s="10">
        <f t="shared" si="1"/>
        <v>310427908.40849996</v>
      </c>
      <c r="G12" s="12">
        <f>E12/'(4) Assmpt. COST PER LEARNER'!$C$23/'(4) Assmpt. COST PER LEARNER'!$C$19</f>
        <v>4.9397680695953925</v>
      </c>
      <c r="H12" s="12">
        <f>F12/'(3) Assmpt. COST PER KM'!$C$20</f>
        <v>19.2777869008968</v>
      </c>
      <c r="L12" s="18"/>
    </row>
    <row r="13" spans="2:12" x14ac:dyDescent="0.25">
      <c r="B13" s="16">
        <v>0.2</v>
      </c>
      <c r="C13" s="16">
        <v>0.8</v>
      </c>
      <c r="D13" s="10">
        <v>365209304.00999999</v>
      </c>
      <c r="E13" s="79">
        <f t="shared" si="0"/>
        <v>73041860.802000001</v>
      </c>
      <c r="F13" s="10">
        <f t="shared" si="1"/>
        <v>292167443.208</v>
      </c>
      <c r="G13" s="12">
        <f>E13/'(4) Assmpt. COST PER LEARNER'!$C$23/'(4) Assmpt. COST PER LEARNER'!$C$19</f>
        <v>6.5863574261271909</v>
      </c>
      <c r="H13" s="12">
        <f>F13/'(3) Assmpt. COST PER KM'!$C$20</f>
        <v>18.143799436138167</v>
      </c>
      <c r="L13" s="18"/>
    </row>
    <row r="14" spans="2:12" x14ac:dyDescent="0.25">
      <c r="B14" s="16">
        <v>0.25</v>
      </c>
      <c r="C14" s="16">
        <v>0.75</v>
      </c>
      <c r="D14" s="10">
        <v>365209304.00999999</v>
      </c>
      <c r="E14" s="79">
        <f t="shared" si="0"/>
        <v>91302326.002499998</v>
      </c>
      <c r="F14" s="10">
        <f t="shared" si="1"/>
        <v>273906978.00749999</v>
      </c>
      <c r="G14" s="12">
        <f>E14/'(4) Assmpt. COST PER LEARNER'!$C$23/'(4) Assmpt. COST PER LEARNER'!$C$19</f>
        <v>8.2329467826589884</v>
      </c>
      <c r="H14" s="12">
        <f>F14/'(3) Assmpt. COST PER KM'!$C$20</f>
        <v>17.009811971379531</v>
      </c>
      <c r="L14" s="18"/>
    </row>
    <row r="15" spans="2:12" x14ac:dyDescent="0.25">
      <c r="B15" s="16">
        <v>0.3</v>
      </c>
      <c r="C15" s="16">
        <v>0.7</v>
      </c>
      <c r="D15" s="10">
        <v>365209304.00999999</v>
      </c>
      <c r="E15" s="79">
        <f t="shared" si="0"/>
        <v>109562791.20299999</v>
      </c>
      <c r="F15" s="10">
        <f t="shared" si="1"/>
        <v>255646512.80699998</v>
      </c>
      <c r="G15" s="12">
        <f>E15/'(4) Assmpt. COST PER LEARNER'!$C$23/'(4) Assmpt. COST PER LEARNER'!$C$19</f>
        <v>9.879536139190785</v>
      </c>
      <c r="H15" s="12">
        <f>F15/'(3) Assmpt. COST PER KM'!$C$20</f>
        <v>15.875824506620894</v>
      </c>
    </row>
    <row r="16" spans="2:12" x14ac:dyDescent="0.25">
      <c r="B16" s="16">
        <v>0.35</v>
      </c>
      <c r="C16" s="16">
        <v>0.65</v>
      </c>
      <c r="D16" s="10">
        <v>365209304.00999999</v>
      </c>
      <c r="E16" s="79">
        <f t="shared" si="0"/>
        <v>127823256.40349999</v>
      </c>
      <c r="F16" s="10">
        <f t="shared" si="1"/>
        <v>237386047.6065</v>
      </c>
      <c r="G16" s="12">
        <f>E16/'(4) Assmpt. COST PER LEARNER'!$C$23/'(4) Assmpt. COST PER LEARNER'!$C$19</f>
        <v>11.526125495722583</v>
      </c>
      <c r="H16" s="12">
        <f>F16/'(3) Assmpt. COST PER KM'!$C$20</f>
        <v>14.74183704186226</v>
      </c>
    </row>
    <row r="17" spans="2:8" x14ac:dyDescent="0.25">
      <c r="B17" s="16">
        <v>0.4</v>
      </c>
      <c r="C17" s="16">
        <v>0.6</v>
      </c>
      <c r="D17" s="10">
        <v>365209304.00999999</v>
      </c>
      <c r="E17" s="79">
        <f t="shared" si="0"/>
        <v>146083721.604</v>
      </c>
      <c r="F17" s="10">
        <f t="shared" si="1"/>
        <v>219125582.40599999</v>
      </c>
      <c r="G17" s="12">
        <f>E17/'(4) Assmpt. COST PER LEARNER'!$C$23/'(4) Assmpt. COST PER LEARNER'!$C$19</f>
        <v>13.172714852254382</v>
      </c>
      <c r="H17" s="12">
        <f>F17/'(3) Assmpt. COST PER KM'!$C$20</f>
        <v>13.607849577103625</v>
      </c>
    </row>
    <row r="18" spans="2:8" x14ac:dyDescent="0.25">
      <c r="B18" s="16">
        <v>0.45</v>
      </c>
      <c r="C18" s="16">
        <v>0.55000000000000004</v>
      </c>
      <c r="D18" s="10">
        <v>365209304.00999999</v>
      </c>
      <c r="E18" s="79">
        <f t="shared" si="0"/>
        <v>164344186.80450001</v>
      </c>
      <c r="F18" s="10">
        <f t="shared" si="1"/>
        <v>200865117.20550001</v>
      </c>
      <c r="G18" s="12">
        <f>E18/'(4) Assmpt. COST PER LEARNER'!$C$23/'(4) Assmpt. COST PER LEARNER'!$C$19</f>
        <v>14.81930420878618</v>
      </c>
      <c r="H18" s="12">
        <f>F18/'(3) Assmpt. COST PER KM'!$C$20</f>
        <v>12.473862112344991</v>
      </c>
    </row>
    <row r="19" spans="2:8" x14ac:dyDescent="0.25">
      <c r="B19" s="16">
        <v>0.5</v>
      </c>
      <c r="C19" s="16">
        <v>0.5</v>
      </c>
      <c r="D19" s="10">
        <v>365209304.00999999</v>
      </c>
      <c r="E19" s="79">
        <f t="shared" si="0"/>
        <v>182604652.005</v>
      </c>
      <c r="F19" s="10">
        <f t="shared" si="1"/>
        <v>182604652.005</v>
      </c>
      <c r="G19" s="12">
        <f>E19/'(4) Assmpt. COST PER LEARNER'!$C$23/'(4) Assmpt. COST PER LEARNER'!$C$19</f>
        <v>16.465893565317977</v>
      </c>
      <c r="H19" s="12">
        <f>F19/'(3) Assmpt. COST PER KM'!$C$20</f>
        <v>11.339874647586354</v>
      </c>
    </row>
    <row r="20" spans="2:8" x14ac:dyDescent="0.25">
      <c r="B20" s="16">
        <v>0.55000000000000004</v>
      </c>
      <c r="C20" s="16">
        <v>0.45</v>
      </c>
      <c r="D20" s="10">
        <v>365209304.00999999</v>
      </c>
      <c r="E20" s="79">
        <f t="shared" si="0"/>
        <v>200865117.20550001</v>
      </c>
      <c r="F20" s="10">
        <f t="shared" si="1"/>
        <v>164344186.80450001</v>
      </c>
      <c r="G20" s="12">
        <f>E20/'(4) Assmpt. COST PER LEARNER'!$C$23/'(4) Assmpt. COST PER LEARNER'!$C$19</f>
        <v>18.112482921849775</v>
      </c>
      <c r="H20" s="12">
        <f>F20/'(3) Assmpt. COST PER KM'!$C$20</f>
        <v>10.20588718282772</v>
      </c>
    </row>
    <row r="21" spans="2:8" x14ac:dyDescent="0.25">
      <c r="B21" s="16">
        <v>0.6</v>
      </c>
      <c r="C21" s="16">
        <v>0.4</v>
      </c>
      <c r="D21" s="10">
        <v>365209304.00999999</v>
      </c>
      <c r="E21" s="79">
        <f t="shared" si="0"/>
        <v>219125582.40599999</v>
      </c>
      <c r="F21" s="10">
        <f t="shared" si="1"/>
        <v>146083721.604</v>
      </c>
      <c r="G21" s="12">
        <f>E21/'(4) Assmpt. COST PER LEARNER'!$C$23/'(4) Assmpt. COST PER LEARNER'!$C$19</f>
        <v>19.75907227838157</v>
      </c>
      <c r="H21" s="12">
        <f>F21/'(3) Assmpt. COST PER KM'!$C$20</f>
        <v>9.0718997180690835</v>
      </c>
    </row>
    <row r="22" spans="2:8" x14ac:dyDescent="0.25">
      <c r="B22" s="16">
        <v>0.65</v>
      </c>
      <c r="C22" s="16">
        <v>0.35</v>
      </c>
      <c r="D22" s="10">
        <v>365209304.00999999</v>
      </c>
      <c r="E22" s="79">
        <f t="shared" si="0"/>
        <v>237386047.6065</v>
      </c>
      <c r="F22" s="10">
        <f t="shared" si="1"/>
        <v>127823256.40349999</v>
      </c>
      <c r="G22" s="12">
        <f>E22/'(4) Assmpt. COST PER LEARNER'!$C$23/'(4) Assmpt. COST PER LEARNER'!$C$19</f>
        <v>21.405661634913372</v>
      </c>
      <c r="H22" s="12">
        <f>F22/'(3) Assmpt. COST PER KM'!$C$20</f>
        <v>7.9379122533104471</v>
      </c>
    </row>
    <row r="23" spans="2:8" x14ac:dyDescent="0.25">
      <c r="B23" s="16">
        <v>0.7</v>
      </c>
      <c r="C23" s="16">
        <v>0.3</v>
      </c>
      <c r="D23" s="10">
        <v>365209304.00999999</v>
      </c>
      <c r="E23" s="79">
        <f t="shared" si="0"/>
        <v>255646512.80699998</v>
      </c>
      <c r="F23" s="10">
        <f t="shared" si="1"/>
        <v>109562791.20299999</v>
      </c>
      <c r="G23" s="12">
        <f>E23/'(4) Assmpt. COST PER LEARNER'!$C$23/'(4) Assmpt. COST PER LEARNER'!$C$19</f>
        <v>23.052250991445167</v>
      </c>
      <c r="H23" s="12">
        <f>F23/'(3) Assmpt. COST PER KM'!$C$20</f>
        <v>6.8039247885518126</v>
      </c>
    </row>
    <row r="24" spans="2:8" x14ac:dyDescent="0.25">
      <c r="B24" s="16">
        <v>0.75</v>
      </c>
      <c r="C24" s="16">
        <v>0.25</v>
      </c>
      <c r="D24" s="10">
        <v>365209304.00999999</v>
      </c>
      <c r="E24" s="79">
        <f t="shared" si="0"/>
        <v>273906978.00749999</v>
      </c>
      <c r="F24" s="10">
        <f t="shared" si="1"/>
        <v>91302326.002499998</v>
      </c>
      <c r="G24" s="12">
        <f>E24/'(4) Assmpt. COST PER LEARNER'!$C$23/'(4) Assmpt. COST PER LEARNER'!$C$19</f>
        <v>24.698840347976965</v>
      </c>
      <c r="H24" s="12">
        <f>F24/'(3) Assmpt. COST PER KM'!$C$20</f>
        <v>5.6699373237931772</v>
      </c>
    </row>
    <row r="25" spans="2:8" x14ac:dyDescent="0.25">
      <c r="B25" s="16">
        <v>0.8</v>
      </c>
      <c r="C25" s="16">
        <v>0.2</v>
      </c>
      <c r="D25" s="10">
        <v>365209304.00999999</v>
      </c>
      <c r="E25" s="79">
        <f t="shared" si="0"/>
        <v>292167443.208</v>
      </c>
      <c r="F25" s="10">
        <f t="shared" si="1"/>
        <v>73041860.802000001</v>
      </c>
      <c r="G25" s="12">
        <f>E25/'(4) Assmpt. COST PER LEARNER'!$C$23/'(4) Assmpt. COST PER LEARNER'!$C$19</f>
        <v>26.345429704508764</v>
      </c>
      <c r="H25" s="12">
        <f>F25/'(3) Assmpt. COST PER KM'!$C$20</f>
        <v>4.5359498590345417</v>
      </c>
    </row>
    <row r="26" spans="2:8" x14ac:dyDescent="0.25">
      <c r="B26" s="16">
        <v>0.85</v>
      </c>
      <c r="C26" s="16">
        <v>0.15</v>
      </c>
      <c r="D26" s="10">
        <v>365209304.00999999</v>
      </c>
      <c r="E26" s="79">
        <f t="shared" si="0"/>
        <v>310427908.40849996</v>
      </c>
      <c r="F26" s="10">
        <f t="shared" si="1"/>
        <v>54781395.601499997</v>
      </c>
      <c r="G26" s="12">
        <f>E26/'(4) Assmpt. COST PER LEARNER'!$C$23/'(4) Assmpt. COST PER LEARNER'!$C$19</f>
        <v>27.992019061040558</v>
      </c>
      <c r="H26" s="12">
        <f>F26/'(3) Assmpt. COST PER KM'!$C$20</f>
        <v>3.4019623942759063</v>
      </c>
    </row>
    <row r="27" spans="2:8" x14ac:dyDescent="0.25">
      <c r="B27" s="16">
        <v>0.9</v>
      </c>
      <c r="C27" s="16">
        <v>0.1</v>
      </c>
      <c r="D27" s="10">
        <v>365209304.00999999</v>
      </c>
      <c r="E27" s="79">
        <f t="shared" si="0"/>
        <v>328688373.60900003</v>
      </c>
      <c r="F27" s="10">
        <f t="shared" si="1"/>
        <v>36520930.401000001</v>
      </c>
      <c r="G27" s="12">
        <f>E27/'(4) Assmpt. COST PER LEARNER'!$C$23/'(4) Assmpt. COST PER LEARNER'!$C$19</f>
        <v>29.63860841757236</v>
      </c>
      <c r="H27" s="12">
        <f>F27/'(3) Assmpt. COST PER KM'!$C$20</f>
        <v>2.2679749295172709</v>
      </c>
    </row>
    <row r="28" spans="2:8" x14ac:dyDescent="0.25">
      <c r="B28" s="16">
        <v>0.95</v>
      </c>
      <c r="C28" s="16">
        <v>0.05</v>
      </c>
      <c r="D28" s="10">
        <v>365209304.00999999</v>
      </c>
      <c r="E28" s="79">
        <f t="shared" si="0"/>
        <v>346948838.80949998</v>
      </c>
      <c r="F28" s="10">
        <f t="shared" si="1"/>
        <v>18260465.2005</v>
      </c>
      <c r="G28" s="12">
        <f>E28/'(4) Assmpt. COST PER LEARNER'!$C$23/'(4) Assmpt. COST PER LEARNER'!$C$19</f>
        <v>31.285197774104155</v>
      </c>
      <c r="H28" s="12">
        <f>F28/'(3) Assmpt. COST PER KM'!$C$20</f>
        <v>1.1339874647586354</v>
      </c>
    </row>
    <row r="29" spans="2:8" ht="15.75" thickBot="1" x14ac:dyDescent="0.3">
      <c r="B29" s="81">
        <v>1</v>
      </c>
      <c r="C29" s="81">
        <v>0</v>
      </c>
      <c r="D29" s="82">
        <v>365209304.00999999</v>
      </c>
      <c r="E29" s="83">
        <f t="shared" si="0"/>
        <v>365209304.00999999</v>
      </c>
      <c r="F29" s="82">
        <f t="shared" si="1"/>
        <v>0</v>
      </c>
      <c r="G29" s="84">
        <f>E29/'(4) Assmpt. COST PER LEARNER'!$C$23/'(4) Assmpt. COST PER LEARNER'!$C$19</f>
        <v>32.931787130635954</v>
      </c>
      <c r="H29" s="84">
        <f>F29/'(3) Assmpt. COST PER KM'!$C$20</f>
        <v>0</v>
      </c>
    </row>
    <row r="30" spans="2:8" ht="15.75" thickTop="1" x14ac:dyDescent="0.25"/>
  </sheetData>
  <mergeCells count="7">
    <mergeCell ref="B6:H6"/>
    <mergeCell ref="B7:B8"/>
    <mergeCell ref="C7:C8"/>
    <mergeCell ref="D7:D8"/>
    <mergeCell ref="E7:F7"/>
    <mergeCell ref="G7:G8"/>
    <mergeCell ref="H7:H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2807A6C5F8284F8789C15F28D950C6" ma:contentTypeVersion="4" ma:contentTypeDescription="Create a new document." ma:contentTypeScope="" ma:versionID="0f83a24b07d9af32d5f37d6a908cfb59">
  <xsd:schema xmlns:xsd="http://www.w3.org/2001/XMLSchema" xmlns:xs="http://www.w3.org/2001/XMLSchema" xmlns:p="http://schemas.microsoft.com/office/2006/metadata/properties" xmlns:ns2="1e0ec87a-2ca9-4846-bcf0-31c9454ca23d" targetNamespace="http://schemas.microsoft.com/office/2006/metadata/properties" ma:root="true" ma:fieldsID="62edb0bdaae9d34505eb639a58ad0f3b" ns2:_="">
    <xsd:import namespace="1e0ec87a-2ca9-4846-bcf0-31c9454ca23d"/>
    <xsd:element name="properties">
      <xsd:complexType>
        <xsd:sequence>
          <xsd:element name="documentManagement">
            <xsd:complexType>
              <xsd:all>
                <xsd:element ref="ns2:Category" minOccurs="0"/>
                <xsd:element ref="ns2:Sub_x002d_Category" minOccurs="0"/>
                <xsd:element ref="ns2:Spending_x0020_Review_x0020_Type" minOccurs="0"/>
                <xsd:element ref="ns2:Ord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ec87a-2ca9-4846-bcf0-31c9454ca23d"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Economic Development"/>
          <xsd:enumeration value="General Public Services"/>
          <xsd:enumeration value="Health"/>
          <xsd:enumeration value="Social Development"/>
          <xsd:enumeration value="Learning and Culture"/>
          <xsd:enumeration value="Peace and Security"/>
          <xsd:enumeration value="Urban Development and Infrastructure"/>
        </xsd:restriction>
      </xsd:simpleType>
    </xsd:element>
    <xsd:element name="Sub_x002d_Category" ma:index="9" nillable="true" ma:displayName="Sub-Category" ma:format="Dropdown" ma:internalName="Sub_x002d_Category">
      <xsd:simpleType>
        <xsd:restriction base="dms:Choice">
          <xsd:enumeration value="Artisan Development"/>
          <xsd:enumeration value="Government Funding in Research Development and Innovation"/>
          <xsd:enumeration value="Industrial Development Zones"/>
          <xsd:enumeration value="Nature Reserves Provinces"/>
          <xsd:enumeration value="Science Councils Partnering with Private Sector"/>
          <xsd:enumeration value="SEDA Technology Innovators"/>
          <xsd:enumeration value="An Assessment of the Efficacy of Farmer Support Programmes in Gauteng Province"/>
          <xsd:enumeration value="Clothing and Textile Competitiveness Programme"/>
          <xsd:enumeration value="Efficiency of the Expanded Programme of Public Works in DEFF"/>
          <xsd:enumeration value="Special Economic Zones"/>
          <xsd:enumeration value="The Cost of the Operation of the ESSA Database within the Package of Public Employment Services offered by the DoL"/>
          <xsd:enumeration value="Tourism Incentive Programme"/>
          <xsd:enumeration value="Unemployment in the Department of Employment and Labour"/>
          <xsd:enumeration value="Foreign Missions Cost Drivers"/>
          <xsd:enumeration value="Language Services"/>
          <xsd:enumeration value="Office Leases - Provinces"/>
          <xsd:enumeration value="Offices Leases - National"/>
          <xsd:enumeration value="Analysis of the Key Cost Drivers of Foreign Missions on DIRCO's Budget"/>
          <xsd:enumeration value="Information Communication and Technology Expenditure in KZN"/>
          <xsd:enumeration value="Merge the Basic Accounting System and Logistical Information System Oversight Units Operating in the Northern Cape Provincial Treasury"/>
          <xsd:enumeration value="Party Time with Government - A Review of Events and International Trips in KZN Departments"/>
          <xsd:enumeration value="Savings through an Alternative Deployment Strategy in Operation Sukuma Sakhe, linked to the Public Service Volunteer Week"/>
          <xsd:enumeration value="Small Efficiency Gains Translate into BIG Savings! Review of the Effectiveness of Cost-Containment Policy in the Free State"/>
          <xsd:enumeration value="Stats SA Spending on Provincial and District Offices"/>
          <xsd:enumeration value="The Cost-Benefit Analysis of the Vukuzenzele Project (Government Newspaper)"/>
          <xsd:enumeration value="Health Services Revenue Generation - Provinces"/>
          <xsd:enumeration value="Hospital Catering, Laundry and Security Services"/>
          <xsd:enumeration value="NAWONGO Court Judgement"/>
          <xsd:enumeration value="NPO and Social Welfare Registration Process"/>
          <xsd:enumeration value="Nutrition and Food Security for Children Under 5"/>
          <xsd:enumeration value="An Effective and Efficient Roll Out of Human Papilloma Virus (HPV) Vaccine in Schools"/>
          <xsd:enumeration value="Assessing Options to Provide Renal Replacement Therapy"/>
          <xsd:enumeration value="Community Health Workers"/>
          <xsd:enumeration value="Commuted Overtime"/>
          <xsd:enumeration value="Comparison Between Insourcing and Outsourcing of Security Services in the Northern Cape Department of Health"/>
          <xsd:enumeration value="Conversion of MCC to the SAHPRA"/>
          <xsd:enumeration value="Cost Efficiency in the Procurement of Goods and Services"/>
          <xsd:enumeration value="Examining the Cost Effectiveness and Efficiency of Inspections regarding the Enforcement and Compliance to Occupational Health and Safety Act"/>
          <xsd:enumeration value="Finance (Chapter of the District Health Baromoter)"/>
          <xsd:enumeration value="HIV-AIDs, TB, Malaria and Community Outreach Conditional Grant"/>
          <xsd:enumeration value="HPV Vaccination Programme for Girls Aged 9 Years and Older in Gauteng Province"/>
          <xsd:enumeration value="Human Papillomarvirus (HPV) Vaccine Programme"/>
          <xsd:enumeration value="Investigating the Cost of Establishing an In-House for Acute and Chronic Haemodialysis Services at Rob Ferreira Hospital"/>
          <xsd:enumeration value="Investigation into the Cost Drivers in Malaria Programme in Limpopo Department of Health - Mopani and Vhembe Disticts"/>
          <xsd:enumeration value="Why are the Medical Legal Claims Against the State on the Rise"/>
          <xsd:enumeration value="Costing implications of the implementing of the white paper of Post School Education and Training"/>
          <xsd:enumeration value="In-service training of teachers"/>
          <xsd:enumeration value="National School of Government"/>
          <xsd:enumeration value="National Skills Fund"/>
          <xsd:enumeration value="NSFAS"/>
          <xsd:enumeration value="PSETA"/>
          <xsd:enumeration value="School Infrastructure Delivery"/>
          <xsd:enumeration value="TVET"/>
          <xsd:enumeration value="Gap Analysis Between No-Fees School Funding Subsidy in KZN and National Norms and Standards"/>
          <xsd:enumeration value="ICT in Basic Education"/>
          <xsd:enumeration value="Integration of Public Libraries and CHC's in the Northern Cape into a Shared Point"/>
          <xsd:enumeration value="Matric Second Chance Programme"/>
          <xsd:enumeration value="Procurement of LTSM in the Northern Cape Province"/>
          <xsd:enumeration value="Take A Ride To School - Assessment of the Scholar Transport Programme in Gauteng over the  2019 MTEF"/>
          <xsd:enumeration value="The Costs and Benefits of Implementing the School Uniform Programme in Gauteng Province"/>
          <xsd:enumeration value="The Extent of Achieving Universal Access Provision of Grade R and the Associated Costs thereof"/>
          <xsd:enumeration value="The Lack of Reliable Access to Scholar Transport in KZN"/>
          <xsd:enumeration value="Assessment of the biofuels incentive Model"/>
          <xsd:enumeration value="Car Fleets"/>
          <xsd:enumeration value="Housing Programmatic Comparison"/>
          <xsd:enumeration value="Housing rental stock provincial government"/>
          <xsd:enumeration value="Duplication of Administrative and Corporate Services Across DoJCD Administration, Court Services and NPA Admin"/>
          <xsd:enumeration value="Estimating the Cost of Implementing the 24-7 Shift System for Limpopo Road Traffic Law Enforcement Officer"/>
          <xsd:enumeration value="Evaluation of Spending on Security Operations with DCS"/>
          <xsd:enumeration value="Insufficient and Poor Traffic Enforcement"/>
          <xsd:enumeration value="Police Fleet Expenditure - Provision and Utilisation of Fleet Services in the Police Services"/>
          <xsd:enumeration value="Police Infrastructure Footprint (SAPS Accommodation)"/>
          <xsd:enumeration value="Police IT Expenditure - Evaluating the Provision of ICT Solutions in the Police Services"/>
          <xsd:enumeration value="Management (Monitoring and Evaluation) of NPO's Free State Department of Social Development"/>
          <xsd:enumeration value="Social Grants Administration"/>
          <xsd:enumeration value="Determining the Real Impact of Dignity Packs on Learners in Gauteng"/>
          <xsd:enumeration value="An Investigation of the Duplications in the Functions between the DAC and its Agencies"/>
          <xsd:enumeration value="State Houses for the Department of Agriculture, Land Reform and Rural Development"/>
          <xsd:enumeration value="Informal Settlement"/>
          <xsd:enumeration value="Social Housing"/>
          <xsd:enumeration value="Roads Expenditure - Provinces"/>
          <xsd:enumeration value="Public Transport Metros"/>
          <xsd:enumeration value="Water and Sanitation Value Chain"/>
          <xsd:enumeration value="Land Restitution"/>
          <xsd:enumeration value="Micro Agricultural Funding Institution of South Africa"/>
          <xsd:enumeration value="Post-School Education and Training: International Review"/>
          <xsd:enumeration value="Post-School Education and Training: Expenditure and Revenue"/>
          <xsd:enumeration value="Post-School Education and Training: Costing"/>
          <xsd:enumeration value="Post-School Education and Training: Consolidated report"/>
          <xsd:enumeration value="Cost of Mass Participation Programmes in Department of Sports, Arts and Culture"/>
          <xsd:enumeration value="Infrastructure Spending in the Heritage Sector"/>
          <xsd:enumeration value="Possible Merger of the National School of Government  and Public Service Sector Education and Training Authority"/>
          <xsd:enumeration value="Workbooks Programme"/>
          <xsd:enumeration value="Efficiency and Safety in Learner Transportation"/>
          <xsd:enumeration value="The Efficient and Effective Provision of Community Library Services"/>
          <xsd:enumeration value="Learner Transport in South Africa"/>
          <xsd:enumeration value="Causes of Inefficiency in Learner-Teacher Support Material Provision in Limpopo Department of Education"/>
          <xsd:enumeration value="Provision of Scholar Transport in Mpumalanga Province"/>
          <xsd:enumeration value="Building of New Schools and Hostels in the Free State by Department of Education"/>
          <xsd:enumeration value="Worse Academic Performance as a result of Lack of Scholar Transport in the Northern Cape Province"/>
          <xsd:enumeration value="The Fragmented Implementation of Scholar Transport in South Africa"/>
          <xsd:enumeration value="An Assessment of the Cost Implications of the National Career Development Policy"/>
          <xsd:enumeration value="Comprehensive Agriculture Support Programme"/>
          <xsd:enumeration value="Impact of Agriculture Expenditure on Food Security in South Africa"/>
          <xsd:enumeration value="Rural Economic Infrastructure"/>
          <xsd:enumeration value="Does the Department of Public Enterprises have Adequate Capacity for Effective Oversight?"/>
          <xsd:enumeration value="Offender Skills Development Programme To Bring Out Skills That Can Be Leveraged to “Insource” Small Maintenance Projects"/>
          <xsd:enumeration value="Offender Skills Development Programme To Bring Out Skills That Can Be Leveraged to “Insource” Services such as Nutrition"/>
          <xsd:enumeration value="National Development Agency"/>
          <xsd:enumeration value="Foster Care Programme"/>
          <xsd:enumeration value="Making Every Second Count: Emergency Medical Services Responsiveness and Coverage"/>
          <xsd:enumeration value="Emergency Medical Services within the Free State Department of Health Responsible for Rendering Inter-Facility and Planned Patient Transport"/>
          <xsd:enumeration value="Cost and Benefits for Converting Coal to Gas Boilers in Gauteng Hospitals by 2024"/>
          <xsd:enumeration value="Lack of Medicine for the HIV/Aids for TB Treatment in the Frances Baard and ZF Mgcawu District Municipalities"/>
          <xsd:enumeration value="Maternal and Child Health programme"/>
          <xsd:enumeration value="Regional Water Infrastructure Grant (RBIG) Determining the Expenditure Efficiency of the Regional Bulk Infrastructure Grant"/>
          <xsd:enumeration value="Integrated National Electrification Programme (INEP)"/>
          <xsd:enumeration value="SAConnect Project"/>
          <xsd:enumeration value="Municipal Infrastructure Grant Spending Trends and Backlog Reduction in Water and Sanitation Services"/>
          <xsd:enumeration value="Housing Development Agency (HDA) Developing Housing Solutions, Managing Quality"/>
          <xsd:enumeration value="Expenditure Analysis on the Management of Asylum Seekers and Refugees in the Department of Home Affairs"/>
          <xsd:enumeration value="Department of Co-Operative Governance, Human Settlements and Traditional Affairs Limpopo's Quest to Deliver Sustainable and Integrated Human Settlements"/>
          <xsd:enumeration value="Insitutional Analysis of the Government Pensions Administration Agency"/>
          <xsd:enumeration value="Improving Financial Management at North West Municipalities"/>
          <xsd:enumeration value="Rationalisation of the Planning Functions (Department of Performance Monitoring &amp; Evaluation)"/>
          <xsd:enumeration value="The Ineffieciency of the Department of Roads and Public Works"/>
        </xsd:restriction>
      </xsd:simpleType>
    </xsd:element>
    <xsd:element name="Spending_x0020_Review_x0020_Type" ma:index="10" nillable="true" ma:displayName="Spending Review Type" ma:format="Dropdown" ma:internalName="Spending_x0020_Review_x0020_Type">
      <xsd:simpleType>
        <xsd:restriction base="dms:Choice">
          <xsd:enumeration value="Technical Spending Review"/>
          <xsd:enumeration value="Student Spending Review"/>
        </xsd:restriction>
      </xsd:simpleType>
    </xsd:element>
    <xsd:element name="Ordering" ma:index="11" nillable="true" ma:displayName="Ordering" ma:decimals="0" ma:internalName="Ordering">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rdering xmlns="1e0ec87a-2ca9-4846-bcf0-31c9454ca23d">3</Ordering>
    <Spending_x0020_Review_x0020_Type xmlns="1e0ec87a-2ca9-4846-bcf0-31c9454ca23d">Student Spending Review</Spending_x0020_Review_x0020_Type>
    <Category xmlns="1e0ec87a-2ca9-4846-bcf0-31c9454ca23d">Learning and Culture</Category>
    <Sub_x002d_Category xmlns="1e0ec87a-2ca9-4846-bcf0-31c9454ca23d">Learner Transport in South Africa</Sub_x002d_Categor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FC8D09-3DFD-4DE7-B641-A24FB4ECA1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ec87a-2ca9-4846-bcf0-31c9454ca2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3AAE28-829C-4AB3-A487-BDAB4A25702A}">
  <ds:schemaRefs>
    <ds:schemaRef ds:uri="http://schemas.microsoft.com/office/2006/metadata/properties"/>
    <ds:schemaRef ds:uri="http://schemas.microsoft.com/office/infopath/2007/PartnerControls"/>
    <ds:schemaRef ds:uri="1e0ec87a-2ca9-4846-bcf0-31c9454ca23d"/>
  </ds:schemaRefs>
</ds:datastoreItem>
</file>

<file path=customXml/itemProps3.xml><?xml version="1.0" encoding="utf-8"?>
<ds:datastoreItem xmlns:ds="http://schemas.openxmlformats.org/officeDocument/2006/customXml" ds:itemID="{A11F7E0B-DD5E-43E4-98CD-411C418291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LTS Cost Model</vt:lpstr>
      <vt:lpstr>(1) Assmpt. OPERATORS</vt:lpstr>
      <vt:lpstr>(2) Assmpt. % COE+ADMIN </vt:lpstr>
      <vt:lpstr>(3) Assmpt. COST PER KM</vt:lpstr>
      <vt:lpstr>(4) Assmpt. COST PER LEARNER</vt:lpstr>
      <vt:lpstr>(5) Assmpt. TARIFF RATIO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Cost Model</dc:title>
  <dc:creator>Sivuyise Dlova</dc:creator>
  <cp:lastModifiedBy>Home</cp:lastModifiedBy>
  <dcterms:created xsi:type="dcterms:W3CDTF">2016-07-16T12:09:12Z</dcterms:created>
  <dcterms:modified xsi:type="dcterms:W3CDTF">2021-11-12T03:36:52Z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0x0101009A2807A6C5F8284F8789C15F28D950C6</vt:lpwstr>
  </property>
</Properties>
</file>