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1.xml" ContentType="application/vnd.openxmlformats-officedocument.drawing+xml"/>
  <Override PartName="/xl/worksheets/sheet22.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23.xml" ContentType="application/vnd.openxmlformats-officedocument.spreadsheetml.worksheet+xml"/>
  <Override PartName="/xl/comments2.xml" ContentType="application/vnd.openxmlformats-officedocument.spreadsheetml.comments+xml"/>
  <Override PartName="/xl/comments1.xml" ContentType="application/vnd.openxmlformats-officedocument.spreadsheetml.comments+xml"/>
  <Override PartName="/xl/comments3.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4.xml" ContentType="application/vnd.openxmlformats-officedocument.spreadsheetml.comments+xml"/>
  <Override PartName="/xl/comments5.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255" windowWidth="15600" windowHeight="7290" firstSheet="6" activeTab="7"/>
  </bookViews>
  <sheets>
    <sheet name="Front" sheetId="38" r:id="rId1"/>
    <sheet name="Contents" sheetId="27" r:id="rId2"/>
    <sheet name="Service Descriptions" sheetId="26" r:id="rId3"/>
    <sheet name="Summary Opex" sheetId="7" state="hidden" r:id="rId4"/>
    <sheet name="Summary Capex" sheetId="25" state="hidden" r:id="rId5"/>
    <sheet name="Summary Outputs" sheetId="24" state="hidden" r:id="rId6"/>
    <sheet name="GenAssumptions" sheetId="47" r:id="rId7"/>
    <sheet name="Totals and Scenarios" sheetId="78" r:id="rId8"/>
    <sheet name="DBE" sheetId="68" r:id="rId9"/>
    <sheet name="PED" sheetId="51" r:id="rId10"/>
    <sheet name="DISTRICT" sheetId="69" r:id="rId11"/>
    <sheet name="4.2.1" sheetId="2" state="hidden" r:id="rId12"/>
    <sheet name="4.2.2" sheetId="17" state="hidden" r:id="rId13"/>
    <sheet name="4.2.3" sheetId="18" state="hidden" r:id="rId14"/>
    <sheet name="4.3.1" sheetId="3" state="hidden" r:id="rId15"/>
    <sheet name="4.3.2" sheetId="19" state="hidden" r:id="rId16"/>
    <sheet name="4.3.3" sheetId="20" state="hidden" r:id="rId17"/>
    <sheet name="4.3.4" sheetId="21" state="hidden" r:id="rId18"/>
    <sheet name="Teachers" sheetId="48" r:id="rId19"/>
    <sheet name="Demand" sheetId="56" r:id="rId20"/>
    <sheet name="Sheet4" sheetId="4" state="hidden" r:id="rId21"/>
    <sheet name="Soc Dev (2)" sheetId="6" state="hidden" r:id="rId22"/>
    <sheet name="Sheet2" sheetId="79" r:id="rId23"/>
  </sheets>
  <definedNames>
    <definedName name="_SD_District_Management">'Service Descriptions'!$B$58:$C$74</definedName>
    <definedName name="_SD_National_Management">'Service Descriptions'!$B$19:$C$42</definedName>
    <definedName name="_SD_Provincial_Management">'Service Descriptions'!$B$43:$C$56</definedName>
  </definedNames>
  <calcPr calcId="145621"/>
</workbook>
</file>

<file path=xl/calcChain.xml><?xml version="1.0" encoding="utf-8"?>
<calcChain xmlns="http://schemas.openxmlformats.org/spreadsheetml/2006/main">
  <c r="D24" i="79" l="1"/>
  <c r="E24" i="79"/>
  <c r="F24" i="79"/>
  <c r="G24" i="79"/>
  <c r="H24" i="79"/>
  <c r="D13" i="79"/>
  <c r="K13" i="79" s="1"/>
  <c r="E13" i="79"/>
  <c r="L13" i="79" s="1"/>
  <c r="F13" i="79"/>
  <c r="M13" i="79" s="1"/>
  <c r="G13" i="79"/>
  <c r="N13" i="79" s="1"/>
  <c r="H13" i="79"/>
  <c r="O13" i="79" s="1"/>
  <c r="D6" i="79"/>
  <c r="K6" i="79" s="1"/>
  <c r="E6" i="79"/>
  <c r="L6" i="79" s="1"/>
  <c r="F6" i="79"/>
  <c r="M6" i="79" s="1"/>
  <c r="G6" i="79"/>
  <c r="N6" i="79" s="1"/>
  <c r="H6" i="79"/>
  <c r="O6" i="79" s="1"/>
  <c r="D7" i="79"/>
  <c r="K7" i="79" s="1"/>
  <c r="E7" i="79"/>
  <c r="L7" i="79" s="1"/>
  <c r="F7" i="79"/>
  <c r="M7" i="79" s="1"/>
  <c r="G7" i="79"/>
  <c r="N7" i="79" s="1"/>
  <c r="H7" i="79"/>
  <c r="O7" i="79" s="1"/>
  <c r="D8" i="79"/>
  <c r="K8" i="79" s="1"/>
  <c r="E8" i="79"/>
  <c r="L8" i="79" s="1"/>
  <c r="F8" i="79"/>
  <c r="M8" i="79" s="1"/>
  <c r="G8" i="79"/>
  <c r="N8" i="79" s="1"/>
  <c r="H8" i="79"/>
  <c r="O8" i="79" s="1"/>
  <c r="D9" i="79"/>
  <c r="K9" i="79" s="1"/>
  <c r="E9" i="79"/>
  <c r="L9" i="79" s="1"/>
  <c r="F9" i="79"/>
  <c r="M9" i="79" s="1"/>
  <c r="G9" i="79"/>
  <c r="N9" i="79" s="1"/>
  <c r="H9" i="79"/>
  <c r="O9" i="79" s="1"/>
  <c r="D10" i="79"/>
  <c r="K10" i="79" s="1"/>
  <c r="E10" i="79"/>
  <c r="L10" i="79" s="1"/>
  <c r="F10" i="79"/>
  <c r="M10" i="79" s="1"/>
  <c r="G10" i="79"/>
  <c r="N10" i="79" s="1"/>
  <c r="H10" i="79"/>
  <c r="O10" i="79" s="1"/>
  <c r="L11" i="79" l="1"/>
  <c r="O11" i="79"/>
  <c r="K11" i="79"/>
  <c r="N11" i="79"/>
  <c r="M11" i="79"/>
  <c r="E26" i="69"/>
  <c r="F26" i="69"/>
  <c r="G26" i="69"/>
  <c r="D41" i="79" l="1"/>
  <c r="E41" i="79"/>
  <c r="F41" i="79"/>
  <c r="C7" i="79" l="1"/>
  <c r="J7" i="79" s="1"/>
  <c r="C8" i="79"/>
  <c r="J8" i="79" s="1"/>
  <c r="C9" i="79"/>
  <c r="J9" i="79" s="1"/>
  <c r="C10" i="79"/>
  <c r="J10" i="79" s="1"/>
  <c r="E68" i="68" l="1"/>
  <c r="C24" i="79"/>
  <c r="C13" i="79"/>
  <c r="J13" i="79" s="1"/>
  <c r="C6" i="79"/>
  <c r="J6" i="79" s="1"/>
  <c r="J11" i="79" s="1"/>
  <c r="F55" i="51" l="1"/>
  <c r="G55" i="51"/>
  <c r="H55" i="51"/>
  <c r="I55" i="51"/>
  <c r="F56" i="51"/>
  <c r="G56" i="51"/>
  <c r="H56" i="51"/>
  <c r="I56" i="51"/>
  <c r="F57" i="51"/>
  <c r="G57" i="51"/>
  <c r="H57" i="51"/>
  <c r="I57" i="51"/>
  <c r="E56" i="51"/>
  <c r="E57" i="51"/>
  <c r="E55" i="51"/>
  <c r="E105" i="69" l="1"/>
  <c r="F105" i="69"/>
  <c r="G105" i="69"/>
  <c r="H105" i="69"/>
  <c r="I105" i="69"/>
  <c r="E106" i="69"/>
  <c r="F106" i="69"/>
  <c r="G106" i="69"/>
  <c r="H106" i="69"/>
  <c r="I106" i="69"/>
  <c r="D106" i="69"/>
  <c r="D105" i="69"/>
  <c r="E143" i="51"/>
  <c r="F143" i="51"/>
  <c r="G143" i="51"/>
  <c r="H143" i="51"/>
  <c r="I143" i="51"/>
  <c r="D143" i="51"/>
  <c r="E142" i="51"/>
  <c r="F142" i="51"/>
  <c r="G142" i="51"/>
  <c r="H142" i="51"/>
  <c r="I142" i="51"/>
  <c r="D142" i="51"/>
  <c r="F149" i="51" l="1"/>
  <c r="G149" i="51" s="1"/>
  <c r="F148" i="51"/>
  <c r="G148" i="51" s="1"/>
  <c r="F112" i="69"/>
  <c r="G112" i="69" s="1"/>
  <c r="F111" i="69"/>
  <c r="G111" i="69" s="1"/>
  <c r="C37" i="48" l="1"/>
  <c r="F31" i="47"/>
  <c r="G31" i="47"/>
  <c r="H31" i="47"/>
  <c r="I31" i="47"/>
  <c r="E31" i="47"/>
  <c r="F136" i="51" l="1"/>
  <c r="G136" i="51"/>
  <c r="H136" i="51"/>
  <c r="I136" i="51"/>
  <c r="E136" i="51"/>
  <c r="E25" i="51" s="1"/>
  <c r="F87" i="68"/>
  <c r="G87" i="68"/>
  <c r="H87" i="68"/>
  <c r="I87" i="68"/>
  <c r="E87" i="68"/>
  <c r="F48" i="69"/>
  <c r="G48" i="69"/>
  <c r="H48" i="69"/>
  <c r="I48" i="69"/>
  <c r="F49" i="69"/>
  <c r="G49" i="69"/>
  <c r="H49" i="69"/>
  <c r="I49" i="69"/>
  <c r="E49" i="69"/>
  <c r="E48" i="69"/>
  <c r="F76" i="51"/>
  <c r="G76" i="51"/>
  <c r="H76" i="51"/>
  <c r="I76" i="51"/>
  <c r="F77" i="51"/>
  <c r="G77" i="51"/>
  <c r="H77" i="51"/>
  <c r="I77" i="51"/>
  <c r="E77" i="51"/>
  <c r="E76" i="51"/>
  <c r="F45" i="69"/>
  <c r="G45" i="69"/>
  <c r="H45" i="69"/>
  <c r="I45" i="69"/>
  <c r="E45" i="69"/>
  <c r="F73" i="51"/>
  <c r="G73" i="51"/>
  <c r="H73" i="51"/>
  <c r="I73" i="51"/>
  <c r="E73" i="51"/>
  <c r="F63" i="51"/>
  <c r="G63" i="51"/>
  <c r="H63" i="51"/>
  <c r="I63" i="51"/>
  <c r="E63" i="51"/>
  <c r="E67" i="47"/>
  <c r="F67" i="47"/>
  <c r="G67" i="47"/>
  <c r="H67" i="47"/>
  <c r="I67" i="47"/>
  <c r="E68" i="47"/>
  <c r="F68" i="47"/>
  <c r="G68" i="47"/>
  <c r="H68" i="47"/>
  <c r="I68" i="47"/>
  <c r="D68" i="47"/>
  <c r="F41" i="47"/>
  <c r="G41" i="47"/>
  <c r="H41" i="47"/>
  <c r="I41" i="47"/>
  <c r="F42" i="47"/>
  <c r="G42" i="47"/>
  <c r="H42" i="47"/>
  <c r="I42" i="47"/>
  <c r="E42" i="47"/>
  <c r="E41" i="47"/>
  <c r="F51" i="51"/>
  <c r="G51" i="51"/>
  <c r="H51" i="51"/>
  <c r="I51" i="51"/>
  <c r="F52" i="51"/>
  <c r="G52" i="51"/>
  <c r="H52" i="51"/>
  <c r="I52" i="51"/>
  <c r="F53" i="51"/>
  <c r="G53" i="51"/>
  <c r="H53" i="51"/>
  <c r="I53" i="51"/>
  <c r="E52" i="51"/>
  <c r="E53" i="51"/>
  <c r="E51" i="51"/>
  <c r="H25" i="51" l="1"/>
  <c r="H26" i="51" s="1"/>
  <c r="I25" i="51"/>
  <c r="I26" i="51" s="1"/>
  <c r="E26" i="51"/>
  <c r="B49" i="56"/>
  <c r="B4" i="56"/>
  <c r="B8" i="56"/>
  <c r="B12" i="56"/>
  <c r="I15" i="56"/>
  <c r="H15" i="56"/>
  <c r="G15" i="56"/>
  <c r="F15" i="56"/>
  <c r="E15" i="56"/>
  <c r="D15" i="56"/>
  <c r="I14" i="56"/>
  <c r="H14" i="56"/>
  <c r="G14" i="56"/>
  <c r="F14" i="56"/>
  <c r="E14" i="56"/>
  <c r="D14" i="56"/>
  <c r="I13" i="56"/>
  <c r="H13" i="56"/>
  <c r="G13" i="56"/>
  <c r="F13" i="56"/>
  <c r="E13" i="56"/>
  <c r="D13" i="56"/>
  <c r="D10" i="56"/>
  <c r="E10" i="56"/>
  <c r="F10" i="56"/>
  <c r="G10" i="56"/>
  <c r="H10" i="56"/>
  <c r="I10" i="56"/>
  <c r="D11" i="56"/>
  <c r="E11" i="56"/>
  <c r="F11" i="56"/>
  <c r="G11" i="56"/>
  <c r="H11" i="56"/>
  <c r="I11" i="56"/>
  <c r="E9" i="56"/>
  <c r="F9" i="56"/>
  <c r="G9" i="56"/>
  <c r="H9" i="56"/>
  <c r="I9" i="56"/>
  <c r="D9" i="56"/>
  <c r="D6" i="56"/>
  <c r="E6" i="56"/>
  <c r="F6" i="56"/>
  <c r="G6" i="56"/>
  <c r="H6" i="56"/>
  <c r="I6" i="56"/>
  <c r="D7" i="56"/>
  <c r="E7" i="56"/>
  <c r="F7" i="56"/>
  <c r="G7" i="56"/>
  <c r="H7" i="56"/>
  <c r="I7" i="56"/>
  <c r="E5" i="56"/>
  <c r="F5" i="56"/>
  <c r="G5" i="56"/>
  <c r="H5" i="56"/>
  <c r="I5" i="56"/>
  <c r="D5" i="56"/>
  <c r="C1" i="69"/>
  <c r="C1" i="51"/>
  <c r="E28" i="51" l="1"/>
  <c r="I28" i="51"/>
  <c r="H28" i="51"/>
  <c r="I134" i="51"/>
  <c r="I27" i="51" s="1"/>
  <c r="H134" i="51"/>
  <c r="H27" i="51" s="1"/>
  <c r="G134" i="51"/>
  <c r="G27" i="51" s="1"/>
  <c r="F134" i="51"/>
  <c r="F27" i="51" s="1"/>
  <c r="E134" i="51"/>
  <c r="E27" i="51" s="1"/>
  <c r="D134" i="51"/>
  <c r="D27" i="51" s="1"/>
  <c r="D64" i="51"/>
  <c r="D95" i="51"/>
  <c r="D92" i="51" s="1"/>
  <c r="E9" i="68"/>
  <c r="E10" i="68" s="1"/>
  <c r="H9" i="68"/>
  <c r="H10" i="68" s="1"/>
  <c r="I9" i="68"/>
  <c r="I10" i="68" s="1"/>
  <c r="E29" i="68"/>
  <c r="E30" i="68" s="1"/>
  <c r="H29" i="68"/>
  <c r="H30" i="68" s="1"/>
  <c r="I29" i="68"/>
  <c r="I30" i="68" s="1"/>
  <c r="D61" i="68"/>
  <c r="D57" i="68" s="1"/>
  <c r="D68" i="68"/>
  <c r="D62" i="68" s="1"/>
  <c r="D76" i="68"/>
  <c r="D26" i="68" s="1"/>
  <c r="D85" i="68"/>
  <c r="D31" i="68" s="1"/>
  <c r="I68" i="68"/>
  <c r="I62" i="68" s="1"/>
  <c r="H68" i="68"/>
  <c r="H62" i="68" s="1"/>
  <c r="F68" i="68"/>
  <c r="G68" i="68" s="1"/>
  <c r="F67" i="68"/>
  <c r="G67" i="68" s="1"/>
  <c r="I61" i="68"/>
  <c r="H61" i="68"/>
  <c r="F60" i="68"/>
  <c r="G60" i="68" s="1"/>
  <c r="E61" i="68"/>
  <c r="E62" i="68" l="1"/>
  <c r="D21" i="68"/>
  <c r="D89" i="47"/>
  <c r="D90" i="47"/>
  <c r="D91" i="47"/>
  <c r="D92" i="47"/>
  <c r="D93" i="47"/>
  <c r="D97" i="47"/>
  <c r="D98" i="47"/>
  <c r="D99" i="47"/>
  <c r="D100" i="47"/>
  <c r="D101" i="47"/>
  <c r="D66" i="47"/>
  <c r="D67" i="47"/>
  <c r="D57" i="47"/>
  <c r="D52" i="47" s="1"/>
  <c r="D58" i="47"/>
  <c r="D53" i="47" s="1"/>
  <c r="D29" i="47"/>
  <c r="D15" i="47"/>
  <c r="D16" i="47"/>
  <c r="D17" i="47"/>
  <c r="D18" i="47"/>
  <c r="D19" i="47"/>
  <c r="D20" i="47"/>
  <c r="D21" i="47"/>
  <c r="D14" i="47"/>
  <c r="D9" i="68" s="1"/>
  <c r="D10" i="68" s="1"/>
  <c r="D69" i="47" l="1"/>
  <c r="D70" i="47"/>
  <c r="D25" i="51"/>
  <c r="D102" i="47"/>
  <c r="D94" i="47"/>
  <c r="D11" i="68"/>
  <c r="D12" i="68" s="1"/>
  <c r="D16" i="51"/>
  <c r="D29" i="68"/>
  <c r="D19" i="68"/>
  <c r="D24" i="68"/>
  <c r="D15" i="68"/>
  <c r="F94" i="51"/>
  <c r="G94" i="51" s="1"/>
  <c r="D35" i="47" l="1"/>
  <c r="D37" i="47" s="1"/>
  <c r="D36" i="47"/>
  <c r="D38" i="47" s="1"/>
  <c r="D26" i="51"/>
  <c r="D28" i="51"/>
  <c r="D20" i="68"/>
  <c r="D22" i="68"/>
  <c r="D30" i="68"/>
  <c r="D32" i="68"/>
  <c r="D16" i="68"/>
  <c r="D3" i="68"/>
  <c r="D17" i="68"/>
  <c r="D25" i="68"/>
  <c r="D27" i="68"/>
  <c r="D18" i="51"/>
  <c r="D17" i="51"/>
  <c r="C20" i="78"/>
  <c r="D16" i="78" l="1"/>
  <c r="C11" i="79"/>
  <c r="D28" i="68"/>
  <c r="D24" i="51"/>
  <c r="D18" i="68"/>
  <c r="D23" i="68"/>
  <c r="D4" i="68"/>
  <c r="D17" i="78" s="1"/>
  <c r="D15" i="51"/>
  <c r="D14" i="68"/>
  <c r="D5" i="68"/>
  <c r="D18" i="78" s="1"/>
  <c r="H16" i="51"/>
  <c r="I16" i="51"/>
  <c r="E16" i="51"/>
  <c r="D19" i="78" l="1"/>
  <c r="D6" i="68"/>
  <c r="D33" i="68"/>
  <c r="I58" i="69"/>
  <c r="F58" i="69" l="1"/>
  <c r="F83" i="51" s="1"/>
  <c r="D58" i="69"/>
  <c r="D83" i="51" s="1"/>
  <c r="I83" i="51"/>
  <c r="I126" i="51"/>
  <c r="E58" i="69"/>
  <c r="H58" i="69"/>
  <c r="G58" i="69"/>
  <c r="G83" i="51" s="1"/>
  <c r="G87" i="51" l="1"/>
  <c r="I87" i="51"/>
  <c r="I12" i="51" s="1"/>
  <c r="F87" i="51"/>
  <c r="D87" i="51"/>
  <c r="D12" i="51" s="1"/>
  <c r="D126" i="51"/>
  <c r="D32" i="51" s="1"/>
  <c r="H83" i="51"/>
  <c r="H126" i="51"/>
  <c r="E83" i="51"/>
  <c r="E126" i="51"/>
  <c r="B60" i="69"/>
  <c r="F95" i="69"/>
  <c r="I95" i="51"/>
  <c r="H95" i="51"/>
  <c r="E95" i="51"/>
  <c r="F127" i="51"/>
  <c r="F126" i="51" s="1"/>
  <c r="H15" i="68"/>
  <c r="H16" i="68" s="1"/>
  <c r="I15" i="68"/>
  <c r="I16" i="68" s="1"/>
  <c r="E15" i="68"/>
  <c r="E16" i="68" s="1"/>
  <c r="E32" i="68"/>
  <c r="H24" i="68"/>
  <c r="H25" i="68" s="1"/>
  <c r="I24" i="68"/>
  <c r="I25" i="68" s="1"/>
  <c r="E24" i="68"/>
  <c r="E25" i="68" s="1"/>
  <c r="F78" i="68"/>
  <c r="F76" i="68" s="1"/>
  <c r="F26" i="68" s="1"/>
  <c r="H76" i="68"/>
  <c r="H26" i="68" s="1"/>
  <c r="I76" i="68"/>
  <c r="I26" i="68" s="1"/>
  <c r="E76" i="68"/>
  <c r="E26" i="68" s="1"/>
  <c r="F85" i="68"/>
  <c r="F31" i="68" s="1"/>
  <c r="G85" i="68"/>
  <c r="G31" i="68" s="1"/>
  <c r="H85" i="68"/>
  <c r="H31" i="68" s="1"/>
  <c r="I85" i="68"/>
  <c r="I31" i="68" s="1"/>
  <c r="E85" i="68"/>
  <c r="E31" i="68" s="1"/>
  <c r="H87" i="51" l="1"/>
  <c r="H12" i="51" s="1"/>
  <c r="E87" i="51"/>
  <c r="E12" i="51" s="1"/>
  <c r="D14" i="51"/>
  <c r="D13" i="51"/>
  <c r="I92" i="51"/>
  <c r="I17" i="51" s="1"/>
  <c r="F95" i="51"/>
  <c r="G95" i="51" s="1"/>
  <c r="H92" i="51"/>
  <c r="H17" i="51" s="1"/>
  <c r="I18" i="51"/>
  <c r="H18" i="51"/>
  <c r="G95" i="69"/>
  <c r="E18" i="51"/>
  <c r="E92" i="51"/>
  <c r="G127" i="51"/>
  <c r="G126" i="51" s="1"/>
  <c r="H27" i="68"/>
  <c r="H23" i="68" s="1"/>
  <c r="I32" i="68"/>
  <c r="I28" i="68" s="1"/>
  <c r="H32" i="68"/>
  <c r="H28" i="68" s="1"/>
  <c r="I27" i="68"/>
  <c r="I23" i="68" s="1"/>
  <c r="E28" i="68"/>
  <c r="E27" i="68"/>
  <c r="G78" i="68"/>
  <c r="G76" i="68" s="1"/>
  <c r="G26" i="68" s="1"/>
  <c r="D11" i="51" l="1"/>
  <c r="F92" i="51"/>
  <c r="G92" i="51"/>
  <c r="E17" i="51"/>
  <c r="I14" i="51"/>
  <c r="H14" i="51"/>
  <c r="E13" i="51"/>
  <c r="H15" i="51"/>
  <c r="I15" i="51"/>
  <c r="E23" i="68"/>
  <c r="E24" i="51" l="1"/>
  <c r="H24" i="51"/>
  <c r="I24" i="51"/>
  <c r="E15" i="51"/>
  <c r="H13" i="51"/>
  <c r="I13" i="51"/>
  <c r="E14" i="51"/>
  <c r="I11" i="51" l="1"/>
  <c r="H11" i="51"/>
  <c r="E11" i="51"/>
  <c r="H19" i="68"/>
  <c r="I19" i="68"/>
  <c r="I20" i="68" s="1"/>
  <c r="E19" i="68"/>
  <c r="E20" i="68" s="1"/>
  <c r="F65" i="68"/>
  <c r="F59" i="68"/>
  <c r="G59" i="68" s="1"/>
  <c r="H57" i="68"/>
  <c r="I57" i="68"/>
  <c r="H22" i="68" l="1"/>
  <c r="H20" i="68"/>
  <c r="G65" i="68"/>
  <c r="G62" i="68" s="1"/>
  <c r="F62" i="68"/>
  <c r="E57" i="68"/>
  <c r="E21" i="68" s="1"/>
  <c r="I21" i="68"/>
  <c r="H21" i="68"/>
  <c r="E22" i="68"/>
  <c r="I22" i="68"/>
  <c r="F61" i="68"/>
  <c r="G61" i="68" s="1"/>
  <c r="G57" i="68" s="1"/>
  <c r="I18" i="68" l="1"/>
  <c r="E18" i="68"/>
  <c r="H18" i="68"/>
  <c r="F57" i="68"/>
  <c r="G21" i="68"/>
  <c r="F21" i="68" l="1"/>
  <c r="F64" i="51" l="1"/>
  <c r="G64" i="51"/>
  <c r="H64" i="51"/>
  <c r="I64" i="51"/>
  <c r="E64" i="51"/>
  <c r="H4" i="68" l="1"/>
  <c r="H3" i="68"/>
  <c r="G11" i="79" s="1"/>
  <c r="E4" i="68"/>
  <c r="E3" i="68"/>
  <c r="D11" i="79" s="1"/>
  <c r="I4" i="68"/>
  <c r="I3" i="68"/>
  <c r="H11" i="79" s="1"/>
  <c r="C10" i="26"/>
  <c r="C4" i="26" l="1"/>
  <c r="F82" i="47"/>
  <c r="G82" i="47" s="1"/>
  <c r="F83" i="47"/>
  <c r="G83" i="47" s="1"/>
  <c r="F84" i="47"/>
  <c r="G84" i="47" s="1"/>
  <c r="F85" i="47"/>
  <c r="G85" i="47" s="1"/>
  <c r="F81" i="47"/>
  <c r="G81" i="47" s="1"/>
  <c r="F75" i="47"/>
  <c r="F54" i="47"/>
  <c r="G54" i="47" s="1"/>
  <c r="I126" i="68" l="1"/>
  <c r="H126" i="68"/>
  <c r="E126" i="68"/>
  <c r="I129" i="68"/>
  <c r="E129" i="68"/>
  <c r="B40" i="68"/>
  <c r="I121" i="68"/>
  <c r="I122" i="68" s="1"/>
  <c r="E121" i="68"/>
  <c r="E122" i="68" s="1"/>
  <c r="B36" i="68"/>
  <c r="B80" i="51"/>
  <c r="I17" i="68" l="1"/>
  <c r="E17" i="68"/>
  <c r="I11" i="68"/>
  <c r="E130" i="68"/>
  <c r="I130" i="68"/>
  <c r="I5" i="68" l="1"/>
  <c r="I18" i="78" s="1"/>
  <c r="E16" i="78"/>
  <c r="E11" i="68"/>
  <c r="I16" i="78"/>
  <c r="I14" i="68"/>
  <c r="I33" i="68" s="1"/>
  <c r="I12" i="68"/>
  <c r="E14" i="68"/>
  <c r="E33" i="68" s="1"/>
  <c r="E17" i="78"/>
  <c r="I17" i="78"/>
  <c r="H89" i="47"/>
  <c r="I89" i="47"/>
  <c r="E89" i="47"/>
  <c r="H91" i="47"/>
  <c r="I91" i="47"/>
  <c r="E91" i="47"/>
  <c r="H93" i="47"/>
  <c r="I93" i="47"/>
  <c r="E93" i="47"/>
  <c r="H92" i="47"/>
  <c r="I92" i="47"/>
  <c r="E92" i="47"/>
  <c r="H90" i="47"/>
  <c r="I90" i="47"/>
  <c r="E90" i="47"/>
  <c r="F57" i="47"/>
  <c r="G57" i="47"/>
  <c r="H57" i="47"/>
  <c r="H52" i="47" s="1"/>
  <c r="I57" i="47"/>
  <c r="I52" i="47" s="1"/>
  <c r="E57" i="47"/>
  <c r="E52" i="47" s="1"/>
  <c r="F66" i="47"/>
  <c r="G66" i="47"/>
  <c r="H66" i="47"/>
  <c r="I66" i="47"/>
  <c r="E66" i="47"/>
  <c r="G93" i="47"/>
  <c r="F79" i="47"/>
  <c r="G79" i="47" s="1"/>
  <c r="F78" i="47"/>
  <c r="G78" i="47" s="1"/>
  <c r="F76" i="47"/>
  <c r="G76" i="47" s="1"/>
  <c r="G75" i="47"/>
  <c r="E24" i="47"/>
  <c r="E25" i="47" s="1"/>
  <c r="H69" i="47" l="1"/>
  <c r="H70" i="47"/>
  <c r="G69" i="47"/>
  <c r="G70" i="47"/>
  <c r="E69" i="47"/>
  <c r="E70" i="47"/>
  <c r="F69" i="47"/>
  <c r="F70" i="47"/>
  <c r="I69" i="47"/>
  <c r="I70" i="47"/>
  <c r="E94" i="47"/>
  <c r="I94" i="47"/>
  <c r="H94" i="47"/>
  <c r="H35" i="47" s="1"/>
  <c r="E5" i="68"/>
  <c r="E18" i="78" s="1"/>
  <c r="E19" i="78" s="1"/>
  <c r="E12" i="68"/>
  <c r="I6" i="68"/>
  <c r="I19" i="78"/>
  <c r="G91" i="47"/>
  <c r="G90" i="47"/>
  <c r="G89" i="47"/>
  <c r="F91" i="47"/>
  <c r="F93" i="47"/>
  <c r="F92" i="47"/>
  <c r="F89" i="47"/>
  <c r="F90" i="47"/>
  <c r="G92" i="47"/>
  <c r="F52" i="47"/>
  <c r="E26" i="47"/>
  <c r="I35" i="47" l="1"/>
  <c r="I37" i="47" s="1"/>
  <c r="E35" i="47"/>
  <c r="E37" i="47" s="1"/>
  <c r="G94" i="47"/>
  <c r="F94" i="47"/>
  <c r="H37" i="47"/>
  <c r="D61" i="47"/>
  <c r="D60" i="47"/>
  <c r="E6" i="68"/>
  <c r="H60" i="47"/>
  <c r="G60" i="47"/>
  <c r="E60" i="47"/>
  <c r="F60" i="47"/>
  <c r="I60" i="47"/>
  <c r="G52" i="47"/>
  <c r="G35" i="47" l="1"/>
  <c r="G37" i="47" s="1"/>
  <c r="F35" i="47"/>
  <c r="F37" i="47" s="1"/>
  <c r="E58" i="47"/>
  <c r="E53" i="47" s="1"/>
  <c r="E100" i="47"/>
  <c r="E101" i="47"/>
  <c r="E99" i="47"/>
  <c r="E98" i="47"/>
  <c r="E97" i="47"/>
  <c r="G58" i="47"/>
  <c r="G61" i="47" s="1"/>
  <c r="G99" i="47"/>
  <c r="G97" i="47"/>
  <c r="G98" i="47"/>
  <c r="G100" i="47"/>
  <c r="G101" i="47"/>
  <c r="F58" i="47"/>
  <c r="F97" i="47"/>
  <c r="F101" i="47"/>
  <c r="F99" i="47"/>
  <c r="F100" i="47"/>
  <c r="F98" i="47"/>
  <c r="H58" i="47"/>
  <c r="H101" i="47"/>
  <c r="H99" i="47"/>
  <c r="H98" i="47"/>
  <c r="H97" i="47"/>
  <c r="H100" i="47"/>
  <c r="I58" i="47"/>
  <c r="I101" i="47"/>
  <c r="I99" i="47"/>
  <c r="I98" i="47"/>
  <c r="I97" i="47"/>
  <c r="I100" i="47"/>
  <c r="I102" i="47" l="1"/>
  <c r="E102" i="47"/>
  <c r="E36" i="47" s="1"/>
  <c r="H102" i="47"/>
  <c r="F102" i="47"/>
  <c r="G102" i="47"/>
  <c r="I53" i="47"/>
  <c r="I61" i="47"/>
  <c r="F53" i="47"/>
  <c r="F61" i="47"/>
  <c r="H53" i="47"/>
  <c r="H61" i="47"/>
  <c r="G53" i="47"/>
  <c r="E61" i="47"/>
  <c r="G36" i="47" l="1"/>
  <c r="I36" i="47"/>
  <c r="I38" i="47" s="1"/>
  <c r="H36" i="47"/>
  <c r="H38" i="47" s="1"/>
  <c r="F36" i="47"/>
  <c r="F38" i="47" s="1"/>
  <c r="G38" i="47"/>
  <c r="E38" i="47"/>
  <c r="K5" i="48"/>
  <c r="K6" i="48"/>
  <c r="K7" i="48"/>
  <c r="K8" i="48"/>
  <c r="K9" i="48"/>
  <c r="I45" i="56" s="1"/>
  <c r="I76" i="56" s="1"/>
  <c r="K10" i="48"/>
  <c r="K11" i="48"/>
  <c r="K12" i="48"/>
  <c r="K4" i="48"/>
  <c r="J5" i="48"/>
  <c r="J6" i="48"/>
  <c r="J7" i="48"/>
  <c r="J8" i="48"/>
  <c r="J9" i="48"/>
  <c r="J10" i="48"/>
  <c r="J11" i="48"/>
  <c r="J12" i="48"/>
  <c r="H48" i="56" s="1"/>
  <c r="H79" i="56" s="1"/>
  <c r="J4" i="48"/>
  <c r="G5" i="48"/>
  <c r="F5" i="48" s="1"/>
  <c r="G6" i="48"/>
  <c r="F6" i="48" s="1"/>
  <c r="G7" i="48"/>
  <c r="F7" i="48" s="1"/>
  <c r="G8" i="48"/>
  <c r="F8" i="48" s="1"/>
  <c r="G9" i="48"/>
  <c r="F9" i="48" s="1"/>
  <c r="G10" i="48"/>
  <c r="F10" i="48" s="1"/>
  <c r="G11" i="48"/>
  <c r="F11" i="48" s="1"/>
  <c r="G12" i="48"/>
  <c r="F12" i="48" s="1"/>
  <c r="G4" i="48"/>
  <c r="F4" i="48" s="1"/>
  <c r="B58" i="26"/>
  <c r="C7" i="26"/>
  <c r="B43" i="26" s="1"/>
  <c r="I173" i="51"/>
  <c r="I174" i="51" s="1"/>
  <c r="E173" i="51"/>
  <c r="E174" i="51" s="1"/>
  <c r="I170" i="51"/>
  <c r="H170" i="51"/>
  <c r="E170" i="51"/>
  <c r="I165" i="51"/>
  <c r="I166" i="51" s="1"/>
  <c r="E165" i="51"/>
  <c r="E166" i="51" s="1"/>
  <c r="D19" i="56" l="1"/>
  <c r="D51" i="56" s="1"/>
  <c r="D30" i="56"/>
  <c r="D61" i="56" s="1"/>
  <c r="D40" i="56"/>
  <c r="D71" i="56" s="1"/>
  <c r="D41" i="56"/>
  <c r="D72" i="56" s="1"/>
  <c r="D31" i="56"/>
  <c r="D62" i="56" s="1"/>
  <c r="D20" i="56"/>
  <c r="D52" i="56" s="1"/>
  <c r="D47" i="56"/>
  <c r="D78" i="56" s="1"/>
  <c r="D26" i="56"/>
  <c r="D58" i="56" s="1"/>
  <c r="D37" i="56"/>
  <c r="D68" i="56" s="1"/>
  <c r="D25" i="56"/>
  <c r="D57" i="56" s="1"/>
  <c r="D36" i="56"/>
  <c r="D67" i="56" s="1"/>
  <c r="D46" i="56"/>
  <c r="D77" i="56" s="1"/>
  <c r="D21" i="56"/>
  <c r="D53" i="56" s="1"/>
  <c r="D32" i="56"/>
  <c r="D63" i="56" s="1"/>
  <c r="D42" i="56"/>
  <c r="D73" i="56" s="1"/>
  <c r="H38" i="56"/>
  <c r="H69" i="56" s="1"/>
  <c r="D45" i="56"/>
  <c r="D76" i="56" s="1"/>
  <c r="D35" i="56"/>
  <c r="D66" i="56" s="1"/>
  <c r="D24" i="56"/>
  <c r="D56" i="56" s="1"/>
  <c r="D27" i="56"/>
  <c r="D59" i="56" s="1"/>
  <c r="D38" i="56"/>
  <c r="D69" i="56" s="1"/>
  <c r="D48" i="56"/>
  <c r="D79" i="56" s="1"/>
  <c r="D23" i="56"/>
  <c r="D55" i="56" s="1"/>
  <c r="D34" i="56"/>
  <c r="D65" i="56" s="1"/>
  <c r="D44" i="56"/>
  <c r="D75" i="56" s="1"/>
  <c r="D43" i="56"/>
  <c r="D74" i="56" s="1"/>
  <c r="D33" i="56"/>
  <c r="D64" i="56" s="1"/>
  <c r="D22" i="56"/>
  <c r="D54" i="56" s="1"/>
  <c r="J13" i="48"/>
  <c r="E19" i="56"/>
  <c r="E51" i="56" s="1"/>
  <c r="G13" i="48"/>
  <c r="H40" i="56"/>
  <c r="H71" i="56" s="1"/>
  <c r="K13" i="48"/>
  <c r="E48" i="56"/>
  <c r="E79" i="56" s="1"/>
  <c r="E31" i="56"/>
  <c r="E62" i="56" s="1"/>
  <c r="I26" i="56"/>
  <c r="I58" i="56" s="1"/>
  <c r="H11" i="48"/>
  <c r="E34" i="56"/>
  <c r="E65" i="56" s="1"/>
  <c r="H35" i="56"/>
  <c r="H66" i="56" s="1"/>
  <c r="H31" i="56"/>
  <c r="H62" i="56" s="1"/>
  <c r="I36" i="56"/>
  <c r="I67" i="56" s="1"/>
  <c r="I32" i="56"/>
  <c r="I63" i="56" s="1"/>
  <c r="I30" i="56"/>
  <c r="I61" i="56" s="1"/>
  <c r="I42" i="56"/>
  <c r="I73" i="56" s="1"/>
  <c r="H25" i="56"/>
  <c r="H57" i="56" s="1"/>
  <c r="I22" i="56"/>
  <c r="I54" i="56" s="1"/>
  <c r="H7" i="48"/>
  <c r="F33" i="56" s="1"/>
  <c r="F64" i="56" s="1"/>
  <c r="H23" i="56"/>
  <c r="H55" i="56" s="1"/>
  <c r="I24" i="56"/>
  <c r="I56" i="56" s="1"/>
  <c r="I20" i="56"/>
  <c r="I52" i="56" s="1"/>
  <c r="I31" i="56"/>
  <c r="I62" i="56" s="1"/>
  <c r="H41" i="56"/>
  <c r="H72" i="56" s="1"/>
  <c r="I41" i="56"/>
  <c r="I72" i="56" s="1"/>
  <c r="E24" i="56"/>
  <c r="E56" i="56" s="1"/>
  <c r="H42" i="56"/>
  <c r="H73" i="56" s="1"/>
  <c r="H10" i="48"/>
  <c r="F46" i="56" s="1"/>
  <c r="F77" i="56" s="1"/>
  <c r="H27" i="56"/>
  <c r="H59" i="56" s="1"/>
  <c r="H9" i="48"/>
  <c r="F35" i="56" s="1"/>
  <c r="F66" i="56" s="1"/>
  <c r="H6" i="48"/>
  <c r="F21" i="56" s="1"/>
  <c r="F53" i="56" s="1"/>
  <c r="H47" i="56"/>
  <c r="H78" i="56" s="1"/>
  <c r="H33" i="56"/>
  <c r="H64" i="56" s="1"/>
  <c r="I48" i="56"/>
  <c r="I79" i="56" s="1"/>
  <c r="I34" i="56"/>
  <c r="I65" i="56" s="1"/>
  <c r="E27" i="56"/>
  <c r="E59" i="56" s="1"/>
  <c r="I46" i="56"/>
  <c r="I77" i="56" s="1"/>
  <c r="H43" i="56"/>
  <c r="H74" i="56" s="1"/>
  <c r="H26" i="56"/>
  <c r="H58" i="56" s="1"/>
  <c r="E38" i="56"/>
  <c r="E69" i="56" s="1"/>
  <c r="H37" i="56"/>
  <c r="H68" i="56" s="1"/>
  <c r="I38" i="56"/>
  <c r="I69" i="56" s="1"/>
  <c r="H22" i="56"/>
  <c r="H54" i="56" s="1"/>
  <c r="E35" i="56"/>
  <c r="E66" i="56" s="1"/>
  <c r="H34" i="56"/>
  <c r="H65" i="56" s="1"/>
  <c r="I35" i="56"/>
  <c r="I66" i="56" s="1"/>
  <c r="E46" i="56"/>
  <c r="E77" i="56" s="1"/>
  <c r="H45" i="56"/>
  <c r="H76" i="56" s="1"/>
  <c r="I40" i="56"/>
  <c r="I71" i="56" s="1"/>
  <c r="I44" i="56"/>
  <c r="I75" i="56" s="1"/>
  <c r="I23" i="56"/>
  <c r="I55" i="56" s="1"/>
  <c r="E42" i="56"/>
  <c r="E73" i="56" s="1"/>
  <c r="I27" i="56"/>
  <c r="I59" i="56" s="1"/>
  <c r="E45" i="56"/>
  <c r="E76" i="56" s="1"/>
  <c r="H44" i="56"/>
  <c r="H75" i="56" s="1"/>
  <c r="E23" i="56"/>
  <c r="E55" i="56" s="1"/>
  <c r="E30" i="56"/>
  <c r="E61" i="56" s="1"/>
  <c r="E26" i="56"/>
  <c r="E58" i="56" s="1"/>
  <c r="E22" i="56"/>
  <c r="E54" i="56" s="1"/>
  <c r="H21" i="56"/>
  <c r="H53" i="56" s="1"/>
  <c r="E40" i="56"/>
  <c r="E71" i="56" s="1"/>
  <c r="E41" i="56"/>
  <c r="E72" i="56" s="1"/>
  <c r="H4" i="48"/>
  <c r="E25" i="56"/>
  <c r="E57" i="56" s="1"/>
  <c r="E21" i="56"/>
  <c r="E53" i="56" s="1"/>
  <c r="H19" i="56"/>
  <c r="H51" i="56" s="1"/>
  <c r="H24" i="56"/>
  <c r="H56" i="56" s="1"/>
  <c r="H20" i="56"/>
  <c r="H52" i="56" s="1"/>
  <c r="I25" i="56"/>
  <c r="I57" i="56" s="1"/>
  <c r="I21" i="56"/>
  <c r="I53" i="56" s="1"/>
  <c r="E37" i="56"/>
  <c r="E68" i="56" s="1"/>
  <c r="E33" i="56"/>
  <c r="E64" i="56" s="1"/>
  <c r="H36" i="56"/>
  <c r="H67" i="56" s="1"/>
  <c r="H32" i="56"/>
  <c r="H63" i="56" s="1"/>
  <c r="I37" i="56"/>
  <c r="I68" i="56" s="1"/>
  <c r="I33" i="56"/>
  <c r="I64" i="56" s="1"/>
  <c r="E44" i="56"/>
  <c r="E75" i="56" s="1"/>
  <c r="H5" i="48"/>
  <c r="E20" i="56"/>
  <c r="E52" i="56" s="1"/>
  <c r="I19" i="56"/>
  <c r="I51" i="56" s="1"/>
  <c r="E36" i="56"/>
  <c r="E67" i="56" s="1"/>
  <c r="E32" i="56"/>
  <c r="E63" i="56" s="1"/>
  <c r="H30" i="56"/>
  <c r="H61" i="56" s="1"/>
  <c r="E47" i="56"/>
  <c r="E78" i="56" s="1"/>
  <c r="E43" i="56"/>
  <c r="E74" i="56" s="1"/>
  <c r="H46" i="56"/>
  <c r="H77" i="56" s="1"/>
  <c r="I47" i="56"/>
  <c r="I78" i="56" s="1"/>
  <c r="I43" i="56"/>
  <c r="I74" i="56" s="1"/>
  <c r="H12" i="48"/>
  <c r="H8" i="48"/>
  <c r="B19" i="26"/>
  <c r="F36" i="56" l="1"/>
  <c r="F67" i="56" s="1"/>
  <c r="F25" i="56"/>
  <c r="F57" i="56" s="1"/>
  <c r="D88" i="56"/>
  <c r="D99" i="56" s="1"/>
  <c r="D123" i="56" s="1"/>
  <c r="D112" i="47" s="1"/>
  <c r="D83" i="56"/>
  <c r="D94" i="56" s="1"/>
  <c r="D118" i="56" s="1"/>
  <c r="D107" i="47" s="1"/>
  <c r="D89" i="56"/>
  <c r="D100" i="56" s="1"/>
  <c r="D124" i="56" s="1"/>
  <c r="D113" i="47" s="1"/>
  <c r="D82" i="56"/>
  <c r="D105" i="56" s="1"/>
  <c r="H47" i="51"/>
  <c r="K55" i="51" s="1"/>
  <c r="H52" i="69"/>
  <c r="H102" i="69" s="1"/>
  <c r="H48" i="51"/>
  <c r="K56" i="51" s="1"/>
  <c r="H49" i="51"/>
  <c r="K57" i="51" s="1"/>
  <c r="D86" i="56"/>
  <c r="D87" i="56"/>
  <c r="D84" i="56"/>
  <c r="I47" i="51"/>
  <c r="I59" i="51" s="1"/>
  <c r="I49" i="51"/>
  <c r="I61" i="51" s="1"/>
  <c r="I48" i="51"/>
  <c r="I60" i="51" s="1"/>
  <c r="I52" i="69"/>
  <c r="I102" i="69" s="1"/>
  <c r="E48" i="51"/>
  <c r="E60" i="51" s="1"/>
  <c r="E47" i="51"/>
  <c r="E59" i="51" s="1"/>
  <c r="E49" i="51"/>
  <c r="E61" i="51" s="1"/>
  <c r="E52" i="69"/>
  <c r="E102" i="69" s="1"/>
  <c r="F13" i="48"/>
  <c r="D85" i="56"/>
  <c r="D90" i="56"/>
  <c r="H83" i="56"/>
  <c r="F24" i="56"/>
  <c r="F56" i="56" s="1"/>
  <c r="F45" i="56"/>
  <c r="F76" i="56" s="1"/>
  <c r="F22" i="56"/>
  <c r="F54" i="56" s="1"/>
  <c r="I86" i="56"/>
  <c r="I83" i="56"/>
  <c r="H86" i="56"/>
  <c r="E84" i="56"/>
  <c r="E90" i="56"/>
  <c r="H90" i="56"/>
  <c r="E83" i="56"/>
  <c r="H13" i="48"/>
  <c r="F42" i="56"/>
  <c r="F73" i="56" s="1"/>
  <c r="F32" i="56"/>
  <c r="F63" i="56" s="1"/>
  <c r="E87" i="56"/>
  <c r="I85" i="56"/>
  <c r="E89" i="56"/>
  <c r="H84" i="56"/>
  <c r="E86" i="56"/>
  <c r="I90" i="56"/>
  <c r="H87" i="56"/>
  <c r="I84" i="56"/>
  <c r="H85" i="56"/>
  <c r="H88" i="56"/>
  <c r="I11" i="48"/>
  <c r="F37" i="56"/>
  <c r="F68" i="56" s="1"/>
  <c r="I88" i="56"/>
  <c r="E85" i="56"/>
  <c r="H89" i="56"/>
  <c r="I10" i="48"/>
  <c r="F26" i="56"/>
  <c r="F58" i="56" s="1"/>
  <c r="F47" i="56"/>
  <c r="F78" i="56" s="1"/>
  <c r="I6" i="48"/>
  <c r="I7" i="48"/>
  <c r="F43" i="56"/>
  <c r="F74" i="56" s="1"/>
  <c r="I89" i="56"/>
  <c r="H82" i="56"/>
  <c r="E88" i="56"/>
  <c r="E82" i="56"/>
  <c r="I82" i="56"/>
  <c r="I87" i="56"/>
  <c r="I9" i="48"/>
  <c r="I8" i="48"/>
  <c r="F44" i="56"/>
  <c r="F75" i="56" s="1"/>
  <c r="F34" i="56"/>
  <c r="F65" i="56" s="1"/>
  <c r="F23" i="56"/>
  <c r="F55" i="56" s="1"/>
  <c r="I12" i="48"/>
  <c r="F27" i="56"/>
  <c r="F59" i="56" s="1"/>
  <c r="F48" i="56"/>
  <c r="F79" i="56" s="1"/>
  <c r="F38" i="56"/>
  <c r="F69" i="56" s="1"/>
  <c r="I5" i="48"/>
  <c r="F31" i="56"/>
  <c r="F62" i="56" s="1"/>
  <c r="F41" i="56"/>
  <c r="F72" i="56" s="1"/>
  <c r="F20" i="56"/>
  <c r="F52" i="56" s="1"/>
  <c r="F30" i="56"/>
  <c r="F61" i="56" s="1"/>
  <c r="I4" i="48"/>
  <c r="F40" i="56"/>
  <c r="F71" i="56" s="1"/>
  <c r="F19" i="56"/>
  <c r="F51" i="56" s="1"/>
  <c r="F21" i="47"/>
  <c r="G21" i="47" s="1"/>
  <c r="F20" i="47"/>
  <c r="G20" i="47" s="1"/>
  <c r="F19" i="47"/>
  <c r="F18" i="47"/>
  <c r="F17" i="47"/>
  <c r="F16" i="47"/>
  <c r="F25" i="51" s="1"/>
  <c r="F15" i="47"/>
  <c r="F14" i="47"/>
  <c r="F88" i="56" l="1"/>
  <c r="F99" i="56" s="1"/>
  <c r="F123" i="56" s="1"/>
  <c r="F112" i="47" s="1"/>
  <c r="D111" i="56"/>
  <c r="D135" i="56" s="1"/>
  <c r="D125" i="47" s="1"/>
  <c r="F26" i="51"/>
  <c r="D112" i="56"/>
  <c r="D136" i="56" s="1"/>
  <c r="D126" i="47" s="1"/>
  <c r="D106" i="56"/>
  <c r="D130" i="56" s="1"/>
  <c r="D120" i="47" s="1"/>
  <c r="D93" i="56"/>
  <c r="D117" i="56" s="1"/>
  <c r="D129" i="56"/>
  <c r="D96" i="56"/>
  <c r="D120" i="56" s="1"/>
  <c r="D109" i="47" s="1"/>
  <c r="D108" i="56"/>
  <c r="D132" i="56" s="1"/>
  <c r="D122" i="47" s="1"/>
  <c r="I64" i="69"/>
  <c r="I65" i="69"/>
  <c r="D107" i="56"/>
  <c r="D131" i="56" s="1"/>
  <c r="D121" i="47" s="1"/>
  <c r="D95" i="56"/>
  <c r="D119" i="56" s="1"/>
  <c r="D108" i="47" s="1"/>
  <c r="D98" i="56"/>
  <c r="D122" i="56" s="1"/>
  <c r="D111" i="47" s="1"/>
  <c r="D110" i="56"/>
  <c r="D134" i="56" s="1"/>
  <c r="D124" i="47" s="1"/>
  <c r="D97" i="56"/>
  <c r="D121" i="56" s="1"/>
  <c r="D110" i="47" s="1"/>
  <c r="D109" i="56"/>
  <c r="D133" i="56" s="1"/>
  <c r="D123" i="47" s="1"/>
  <c r="F47" i="51"/>
  <c r="F59" i="51" s="1"/>
  <c r="F52" i="69"/>
  <c r="F102" i="69" s="1"/>
  <c r="F48" i="51"/>
  <c r="F60" i="51" s="1"/>
  <c r="F49" i="51"/>
  <c r="F61" i="51" s="1"/>
  <c r="E65" i="69"/>
  <c r="E64" i="69"/>
  <c r="H65" i="69"/>
  <c r="H64" i="69"/>
  <c r="D48" i="51"/>
  <c r="D52" i="69"/>
  <c r="D91" i="69" s="1"/>
  <c r="D21" i="69" s="1"/>
  <c r="D47" i="51"/>
  <c r="D49" i="51"/>
  <c r="D91" i="56"/>
  <c r="D101" i="56"/>
  <c r="D125" i="56" s="1"/>
  <c r="D114" i="47" s="1"/>
  <c r="D113" i="56"/>
  <c r="D137" i="56" s="1"/>
  <c r="D127" i="47" s="1"/>
  <c r="F16" i="51"/>
  <c r="F17" i="51" s="1"/>
  <c r="F29" i="68"/>
  <c r="F30" i="68" s="1"/>
  <c r="G14" i="47"/>
  <c r="G9" i="68" s="1"/>
  <c r="G10" i="68" s="1"/>
  <c r="F9" i="68"/>
  <c r="F10" i="68" s="1"/>
  <c r="E93" i="56"/>
  <c r="E117" i="56" s="1"/>
  <c r="E105" i="56"/>
  <c r="E129" i="56" s="1"/>
  <c r="E119" i="47" s="1"/>
  <c r="E108" i="56"/>
  <c r="E132" i="56" s="1"/>
  <c r="E122" i="47" s="1"/>
  <c r="E96" i="56"/>
  <c r="E120" i="56" s="1"/>
  <c r="E109" i="47" s="1"/>
  <c r="I108" i="56"/>
  <c r="I132" i="56" s="1"/>
  <c r="I122" i="47" s="1"/>
  <c r="I96" i="56"/>
  <c r="I120" i="56" s="1"/>
  <c r="I109" i="47" s="1"/>
  <c r="E94" i="56"/>
  <c r="E118" i="56" s="1"/>
  <c r="E107" i="47" s="1"/>
  <c r="E106" i="56"/>
  <c r="E130" i="56" s="1"/>
  <c r="E120" i="47" s="1"/>
  <c r="I112" i="56"/>
  <c r="I136" i="56" s="1"/>
  <c r="I126" i="47" s="1"/>
  <c r="I100" i="56"/>
  <c r="I124" i="56" s="1"/>
  <c r="I113" i="47" s="1"/>
  <c r="H111" i="56"/>
  <c r="H135" i="56" s="1"/>
  <c r="H125" i="47" s="1"/>
  <c r="H99" i="56"/>
  <c r="H123" i="56" s="1"/>
  <c r="H112" i="47" s="1"/>
  <c r="I101" i="56"/>
  <c r="I125" i="56" s="1"/>
  <c r="I114" i="47" s="1"/>
  <c r="I113" i="56"/>
  <c r="I137" i="56" s="1"/>
  <c r="I127" i="47" s="1"/>
  <c r="E107" i="56"/>
  <c r="E131" i="56" s="1"/>
  <c r="E121" i="47" s="1"/>
  <c r="E95" i="56"/>
  <c r="E119" i="56" s="1"/>
  <c r="E108" i="47" s="1"/>
  <c r="F111" i="56"/>
  <c r="F135" i="56" s="1"/>
  <c r="F125" i="47" s="1"/>
  <c r="I111" i="56"/>
  <c r="I135" i="56" s="1"/>
  <c r="I125" i="47" s="1"/>
  <c r="I99" i="56"/>
  <c r="I123" i="56" s="1"/>
  <c r="H108" i="56"/>
  <c r="H132" i="56" s="1"/>
  <c r="H122" i="47" s="1"/>
  <c r="H96" i="56"/>
  <c r="H120" i="56" s="1"/>
  <c r="H109" i="47" s="1"/>
  <c r="E97" i="56"/>
  <c r="E121" i="56" s="1"/>
  <c r="E110" i="47" s="1"/>
  <c r="E109" i="56"/>
  <c r="E133" i="56" s="1"/>
  <c r="E123" i="47" s="1"/>
  <c r="E110" i="56"/>
  <c r="E134" i="56" s="1"/>
  <c r="E124" i="47" s="1"/>
  <c r="E98" i="56"/>
  <c r="E122" i="56" s="1"/>
  <c r="E111" i="47" s="1"/>
  <c r="H109" i="56"/>
  <c r="H133" i="56" s="1"/>
  <c r="H123" i="47" s="1"/>
  <c r="H97" i="56"/>
  <c r="H121" i="56" s="1"/>
  <c r="H110" i="47" s="1"/>
  <c r="I110" i="56"/>
  <c r="I98" i="56"/>
  <c r="I122" i="56" s="1"/>
  <c r="I111" i="47" s="1"/>
  <c r="E111" i="56"/>
  <c r="E135" i="56" s="1"/>
  <c r="E125" i="47" s="1"/>
  <c r="E99" i="56"/>
  <c r="E123" i="56" s="1"/>
  <c r="E112" i="47" s="1"/>
  <c r="I107" i="56"/>
  <c r="I131" i="56" s="1"/>
  <c r="I121" i="47" s="1"/>
  <c r="I95" i="56"/>
  <c r="I119" i="56" s="1"/>
  <c r="I108" i="47" s="1"/>
  <c r="H107" i="56"/>
  <c r="H131" i="56" s="1"/>
  <c r="H121" i="47" s="1"/>
  <c r="H95" i="56"/>
  <c r="H119" i="56" s="1"/>
  <c r="H108" i="47" s="1"/>
  <c r="H113" i="56"/>
  <c r="H137" i="56" s="1"/>
  <c r="H127" i="47" s="1"/>
  <c r="H101" i="56"/>
  <c r="H125" i="56" s="1"/>
  <c r="H114" i="47" s="1"/>
  <c r="I94" i="56"/>
  <c r="I118" i="56" s="1"/>
  <c r="I107" i="47" s="1"/>
  <c r="I106" i="56"/>
  <c r="I130" i="56" s="1"/>
  <c r="I120" i="47" s="1"/>
  <c r="I93" i="56"/>
  <c r="I117" i="56" s="1"/>
  <c r="I105" i="56"/>
  <c r="I129" i="56" s="1"/>
  <c r="I119" i="47" s="1"/>
  <c r="H105" i="56"/>
  <c r="H129" i="56" s="1"/>
  <c r="H119" i="47" s="1"/>
  <c r="H93" i="56"/>
  <c r="H117" i="56" s="1"/>
  <c r="H112" i="56"/>
  <c r="H136" i="56" s="1"/>
  <c r="H126" i="47" s="1"/>
  <c r="H100" i="56"/>
  <c r="H124" i="56" s="1"/>
  <c r="H113" i="47" s="1"/>
  <c r="H98" i="56"/>
  <c r="H122" i="56" s="1"/>
  <c r="H111" i="47" s="1"/>
  <c r="H110" i="56"/>
  <c r="H134" i="56" s="1"/>
  <c r="H124" i="47" s="1"/>
  <c r="E112" i="56"/>
  <c r="E136" i="56" s="1"/>
  <c r="E126" i="47" s="1"/>
  <c r="E100" i="56"/>
  <c r="E124" i="56" s="1"/>
  <c r="E113" i="47" s="1"/>
  <c r="E101" i="56"/>
  <c r="E125" i="56" s="1"/>
  <c r="E114" i="47" s="1"/>
  <c r="E113" i="56"/>
  <c r="E137" i="56" s="1"/>
  <c r="E127" i="47" s="1"/>
  <c r="I97" i="56"/>
  <c r="I121" i="56" s="1"/>
  <c r="I110" i="47" s="1"/>
  <c r="I109" i="56"/>
  <c r="I133" i="56" s="1"/>
  <c r="I123" i="47" s="1"/>
  <c r="H94" i="56"/>
  <c r="H118" i="56" s="1"/>
  <c r="H107" i="47" s="1"/>
  <c r="H106" i="56"/>
  <c r="H130" i="56" s="1"/>
  <c r="H120" i="47" s="1"/>
  <c r="I134" i="56"/>
  <c r="I124" i="47" s="1"/>
  <c r="F85" i="56"/>
  <c r="F87" i="56"/>
  <c r="H91" i="56"/>
  <c r="E91" i="69"/>
  <c r="E21" i="69" s="1"/>
  <c r="E22" i="69" s="1"/>
  <c r="E56" i="69"/>
  <c r="E101" i="69" s="1"/>
  <c r="E54" i="69"/>
  <c r="E97" i="69" s="1"/>
  <c r="I54" i="69"/>
  <c r="I98" i="69" s="1"/>
  <c r="H28" i="79" s="1"/>
  <c r="O18" i="79" s="1"/>
  <c r="I56" i="69"/>
  <c r="I101" i="69" s="1"/>
  <c r="F12" i="51"/>
  <c r="I91" i="69"/>
  <c r="I21" i="69" s="1"/>
  <c r="I58" i="51"/>
  <c r="O21" i="79" s="1"/>
  <c r="I32" i="51"/>
  <c r="E94" i="69"/>
  <c r="E23" i="69" s="1"/>
  <c r="E32" i="51"/>
  <c r="F89" i="56"/>
  <c r="F84" i="56"/>
  <c r="I94" i="69"/>
  <c r="I23" i="69" s="1"/>
  <c r="E58" i="51"/>
  <c r="K21" i="79" s="1"/>
  <c r="E123" i="51"/>
  <c r="E30" i="51" s="1"/>
  <c r="E33" i="51" s="1"/>
  <c r="I123" i="51"/>
  <c r="I30" i="51" s="1"/>
  <c r="I31" i="51" s="1"/>
  <c r="I13" i="48"/>
  <c r="I91" i="56"/>
  <c r="G42" i="56"/>
  <c r="G73" i="56" s="1"/>
  <c r="G32" i="56"/>
  <c r="G63" i="56" s="1"/>
  <c r="G21" i="56"/>
  <c r="G53" i="56" s="1"/>
  <c r="G45" i="56"/>
  <c r="G76" i="56" s="1"/>
  <c r="G24" i="56"/>
  <c r="G56" i="56" s="1"/>
  <c r="G35" i="56"/>
  <c r="G66" i="56" s="1"/>
  <c r="G36" i="56"/>
  <c r="G67" i="56" s="1"/>
  <c r="G46" i="56"/>
  <c r="G77" i="56" s="1"/>
  <c r="G25" i="56"/>
  <c r="G57" i="56" s="1"/>
  <c r="E91" i="56"/>
  <c r="G22" i="56"/>
  <c r="G54" i="56" s="1"/>
  <c r="G33" i="56"/>
  <c r="G64" i="56" s="1"/>
  <c r="G43" i="56"/>
  <c r="G74" i="56" s="1"/>
  <c r="G47" i="56"/>
  <c r="G78" i="56" s="1"/>
  <c r="G26" i="56"/>
  <c r="G58" i="56" s="1"/>
  <c r="G37" i="56"/>
  <c r="G68" i="56" s="1"/>
  <c r="F24" i="68"/>
  <c r="F25" i="68" s="1"/>
  <c r="F19" i="68"/>
  <c r="F20" i="68" s="1"/>
  <c r="F15" i="68"/>
  <c r="F16" i="68" s="1"/>
  <c r="F82" i="56"/>
  <c r="G38" i="56"/>
  <c r="G69" i="56" s="1"/>
  <c r="G27" i="56"/>
  <c r="G59" i="56" s="1"/>
  <c r="G48" i="56"/>
  <c r="G79" i="56" s="1"/>
  <c r="F86" i="56"/>
  <c r="G40" i="56"/>
  <c r="G71" i="56" s="1"/>
  <c r="G30" i="56"/>
  <c r="G61" i="56" s="1"/>
  <c r="G19" i="56"/>
  <c r="G51" i="56" s="1"/>
  <c r="G41" i="56"/>
  <c r="G72" i="56" s="1"/>
  <c r="G31" i="56"/>
  <c r="G62" i="56" s="1"/>
  <c r="G20" i="56"/>
  <c r="G52" i="56" s="1"/>
  <c r="F83" i="56"/>
  <c r="F90" i="56"/>
  <c r="G44" i="56"/>
  <c r="G75" i="56" s="1"/>
  <c r="G34" i="56"/>
  <c r="G65" i="56" s="1"/>
  <c r="G23" i="56"/>
  <c r="G55" i="56" s="1"/>
  <c r="G18" i="47"/>
  <c r="G16" i="47"/>
  <c r="G17" i="47"/>
  <c r="G15" i="47"/>
  <c r="G19" i="47"/>
  <c r="G25" i="51" l="1"/>
  <c r="D60" i="51"/>
  <c r="D61" i="51"/>
  <c r="E98" i="69"/>
  <c r="D28" i="79" s="1"/>
  <c r="K18" i="79" s="1"/>
  <c r="G26" i="51"/>
  <c r="D24" i="69"/>
  <c r="D22" i="69"/>
  <c r="D102" i="56"/>
  <c r="F64" i="69"/>
  <c r="F65" i="69"/>
  <c r="G48" i="51"/>
  <c r="G60" i="51" s="1"/>
  <c r="G52" i="69"/>
  <c r="G102" i="69" s="1"/>
  <c r="G49" i="51"/>
  <c r="G61" i="51" s="1"/>
  <c r="G47" i="51"/>
  <c r="G59" i="51" s="1"/>
  <c r="D59" i="51"/>
  <c r="D123" i="51"/>
  <c r="D30" i="51" s="1"/>
  <c r="D126" i="56"/>
  <c r="D106" i="47"/>
  <c r="D115" i="47" s="1"/>
  <c r="D138" i="56"/>
  <c r="D119" i="47"/>
  <c r="D128" i="47" s="1"/>
  <c r="D114" i="56"/>
  <c r="D56" i="69"/>
  <c r="D101" i="69" s="1"/>
  <c r="D65" i="69"/>
  <c r="D54" i="69"/>
  <c r="D64" i="69"/>
  <c r="D94" i="69"/>
  <c r="D23" i="69" s="1"/>
  <c r="D102" i="69"/>
  <c r="F28" i="51"/>
  <c r="F24" i="51" s="1"/>
  <c r="G16" i="51"/>
  <c r="G17" i="51" s="1"/>
  <c r="G29" i="68"/>
  <c r="G30" i="68" s="1"/>
  <c r="F107" i="56"/>
  <c r="F95" i="56"/>
  <c r="F119" i="56" s="1"/>
  <c r="F108" i="47" s="1"/>
  <c r="F113" i="56"/>
  <c r="F137" i="56" s="1"/>
  <c r="F127" i="47" s="1"/>
  <c r="F101" i="56"/>
  <c r="F125" i="56" s="1"/>
  <c r="F114" i="47" s="1"/>
  <c r="F109" i="56"/>
  <c r="F133" i="56" s="1"/>
  <c r="F123" i="47" s="1"/>
  <c r="F97" i="56"/>
  <c r="F121" i="56" s="1"/>
  <c r="F110" i="47" s="1"/>
  <c r="F93" i="56"/>
  <c r="F117" i="56" s="1"/>
  <c r="F105" i="56"/>
  <c r="F129" i="56" s="1"/>
  <c r="F112" i="56"/>
  <c r="F136" i="56" s="1"/>
  <c r="F126" i="47" s="1"/>
  <c r="F100" i="56"/>
  <c r="F124" i="56" s="1"/>
  <c r="F113" i="47" s="1"/>
  <c r="F106" i="56"/>
  <c r="F130" i="56" s="1"/>
  <c r="F120" i="47" s="1"/>
  <c r="F94" i="56"/>
  <c r="F118" i="56" s="1"/>
  <c r="F107" i="47" s="1"/>
  <c r="F110" i="56"/>
  <c r="F134" i="56" s="1"/>
  <c r="F124" i="47" s="1"/>
  <c r="F98" i="56"/>
  <c r="F122" i="56" s="1"/>
  <c r="F111" i="47" s="1"/>
  <c r="F108" i="56"/>
  <c r="F132" i="56" s="1"/>
  <c r="F122" i="47" s="1"/>
  <c r="F96" i="56"/>
  <c r="F120" i="56" s="1"/>
  <c r="F109" i="47" s="1"/>
  <c r="E66" i="51"/>
  <c r="E65" i="51"/>
  <c r="K20" i="79" s="1"/>
  <c r="I65" i="51"/>
  <c r="I66" i="51"/>
  <c r="F131" i="56"/>
  <c r="F121" i="47" s="1"/>
  <c r="E114" i="56"/>
  <c r="H91" i="69"/>
  <c r="H21" i="69" s="1"/>
  <c r="H60" i="51"/>
  <c r="H59" i="51"/>
  <c r="H61" i="51"/>
  <c r="H102" i="56"/>
  <c r="H114" i="56"/>
  <c r="E102" i="56"/>
  <c r="I102" i="56"/>
  <c r="I114" i="56"/>
  <c r="I126" i="56"/>
  <c r="I106" i="47"/>
  <c r="H126" i="56"/>
  <c r="E138" i="56"/>
  <c r="E24" i="69"/>
  <c r="E20" i="69" s="1"/>
  <c r="F54" i="69"/>
  <c r="F98" i="69" s="1"/>
  <c r="E28" i="79" s="1"/>
  <c r="L18" i="79" s="1"/>
  <c r="F56" i="69"/>
  <c r="F101" i="69" s="1"/>
  <c r="G12" i="51"/>
  <c r="F91" i="69"/>
  <c r="F21" i="69" s="1"/>
  <c r="F22" i="69" s="1"/>
  <c r="F32" i="51"/>
  <c r="F58" i="51"/>
  <c r="L21" i="79" s="1"/>
  <c r="I33" i="51"/>
  <c r="I29" i="51" s="1"/>
  <c r="E12" i="69"/>
  <c r="E28" i="69"/>
  <c r="I12" i="69"/>
  <c r="H138" i="56"/>
  <c r="H106" i="47"/>
  <c r="H115" i="47" s="1"/>
  <c r="F94" i="69"/>
  <c r="F23" i="69" s="1"/>
  <c r="I22" i="69"/>
  <c r="I24" i="69"/>
  <c r="E106" i="47"/>
  <c r="E115" i="47" s="1"/>
  <c r="I138" i="56"/>
  <c r="I112" i="47"/>
  <c r="E31" i="51"/>
  <c r="E29" i="51" s="1"/>
  <c r="F123" i="51"/>
  <c r="F30" i="51" s="1"/>
  <c r="F33" i="51" s="1"/>
  <c r="I28" i="69"/>
  <c r="I97" i="69"/>
  <c r="I26" i="69" s="1"/>
  <c r="E126" i="56"/>
  <c r="G85" i="56"/>
  <c r="G87" i="56"/>
  <c r="G89" i="56"/>
  <c r="G88" i="56"/>
  <c r="G84" i="56"/>
  <c r="F14" i="51"/>
  <c r="F13" i="51"/>
  <c r="F27" i="68"/>
  <c r="G15" i="68"/>
  <c r="G16" i="68" s="1"/>
  <c r="F18" i="51"/>
  <c r="G24" i="68"/>
  <c r="G25" i="68" s="1"/>
  <c r="G19" i="68"/>
  <c r="G20" i="68" s="1"/>
  <c r="F22" i="68"/>
  <c r="F32" i="68"/>
  <c r="F3" i="68"/>
  <c r="E11" i="79" s="1"/>
  <c r="G86" i="56"/>
  <c r="G82" i="56"/>
  <c r="G83" i="56"/>
  <c r="G90" i="56"/>
  <c r="F91" i="56"/>
  <c r="E128" i="47"/>
  <c r="I128" i="47"/>
  <c r="I114" i="51" s="1"/>
  <c r="H128" i="47"/>
  <c r="O20" i="79" l="1"/>
  <c r="K58" i="51"/>
  <c r="D58" i="51"/>
  <c r="D66" i="51" s="1"/>
  <c r="E27" i="69"/>
  <c r="E13" i="69"/>
  <c r="I70" i="51"/>
  <c r="E70" i="51"/>
  <c r="I71" i="51"/>
  <c r="I117" i="51" s="1"/>
  <c r="I100" i="51"/>
  <c r="D98" i="69"/>
  <c r="D20" i="69"/>
  <c r="D12" i="69"/>
  <c r="D28" i="69"/>
  <c r="G28" i="51"/>
  <c r="D97" i="69"/>
  <c r="D33" i="51"/>
  <c r="D31" i="51"/>
  <c r="G64" i="69"/>
  <c r="G65" i="69"/>
  <c r="G101" i="56"/>
  <c r="G125" i="56" s="1"/>
  <c r="G114" i="47" s="1"/>
  <c r="G113" i="56"/>
  <c r="G137" i="56" s="1"/>
  <c r="G127" i="47" s="1"/>
  <c r="G110" i="56"/>
  <c r="G134" i="56" s="1"/>
  <c r="G124" i="47" s="1"/>
  <c r="G98" i="56"/>
  <c r="G122" i="56" s="1"/>
  <c r="G111" i="47" s="1"/>
  <c r="G99" i="56"/>
  <c r="G123" i="56" s="1"/>
  <c r="G112" i="47" s="1"/>
  <c r="G111" i="56"/>
  <c r="G135" i="56" s="1"/>
  <c r="G125" i="47" s="1"/>
  <c r="G95" i="56"/>
  <c r="G119" i="56" s="1"/>
  <c r="G108" i="47" s="1"/>
  <c r="G107" i="56"/>
  <c r="G131" i="56" s="1"/>
  <c r="G121" i="47" s="1"/>
  <c r="G106" i="56"/>
  <c r="G130" i="56" s="1"/>
  <c r="G120" i="47" s="1"/>
  <c r="G94" i="56"/>
  <c r="G118" i="56" s="1"/>
  <c r="G107" i="47" s="1"/>
  <c r="G108" i="56"/>
  <c r="G132" i="56" s="1"/>
  <c r="G122" i="47" s="1"/>
  <c r="G96" i="56"/>
  <c r="G120" i="56" s="1"/>
  <c r="G109" i="47" s="1"/>
  <c r="G105" i="56"/>
  <c r="G129" i="56" s="1"/>
  <c r="G119" i="47" s="1"/>
  <c r="G93" i="56"/>
  <c r="G112" i="56"/>
  <c r="G136" i="56" s="1"/>
  <c r="G126" i="47" s="1"/>
  <c r="G100" i="56"/>
  <c r="G124" i="56" s="1"/>
  <c r="G113" i="47" s="1"/>
  <c r="G97" i="56"/>
  <c r="G121" i="56" s="1"/>
  <c r="G110" i="47" s="1"/>
  <c r="G109" i="56"/>
  <c r="G133" i="56" s="1"/>
  <c r="G123" i="47" s="1"/>
  <c r="I40" i="69"/>
  <c r="F65" i="51"/>
  <c r="F66" i="51"/>
  <c r="G117" i="56"/>
  <c r="H24" i="69"/>
  <c r="H22" i="69"/>
  <c r="F114" i="56"/>
  <c r="H58" i="51"/>
  <c r="N21" i="79" s="1"/>
  <c r="H123" i="51"/>
  <c r="H30" i="51" s="1"/>
  <c r="H32" i="51"/>
  <c r="H56" i="69"/>
  <c r="H101" i="69" s="1"/>
  <c r="H94" i="69"/>
  <c r="H23" i="69" s="1"/>
  <c r="H54" i="69"/>
  <c r="H98" i="69" s="1"/>
  <c r="I115" i="47"/>
  <c r="I107" i="51" s="1"/>
  <c r="F102" i="56"/>
  <c r="G54" i="69"/>
  <c r="G98" i="69" s="1"/>
  <c r="F28" i="79" s="1"/>
  <c r="M18" i="79" s="1"/>
  <c r="G56" i="69"/>
  <c r="G101" i="69" s="1"/>
  <c r="E39" i="69"/>
  <c r="G91" i="69"/>
  <c r="G21" i="69" s="1"/>
  <c r="G22" i="69" s="1"/>
  <c r="I39" i="69"/>
  <c r="E14" i="69"/>
  <c r="E107" i="51"/>
  <c r="F24" i="69"/>
  <c r="F20" i="69" s="1"/>
  <c r="G32" i="51"/>
  <c r="E71" i="51"/>
  <c r="E100" i="51" s="1"/>
  <c r="D16" i="79" s="1"/>
  <c r="E40" i="69"/>
  <c r="F12" i="69"/>
  <c r="I13" i="69"/>
  <c r="I14" i="69"/>
  <c r="F28" i="69"/>
  <c r="G58" i="51"/>
  <c r="M21" i="79" s="1"/>
  <c r="F97" i="69"/>
  <c r="G94" i="69"/>
  <c r="G23" i="69" s="1"/>
  <c r="I20" i="69"/>
  <c r="G123" i="51"/>
  <c r="F31" i="51"/>
  <c r="F18" i="68"/>
  <c r="F15" i="51"/>
  <c r="F11" i="51"/>
  <c r="F28" i="68"/>
  <c r="F4" i="68"/>
  <c r="G27" i="68"/>
  <c r="G18" i="51"/>
  <c r="F23" i="68"/>
  <c r="G32" i="68"/>
  <c r="G22" i="68"/>
  <c r="G14" i="51"/>
  <c r="G13" i="51"/>
  <c r="G3" i="68"/>
  <c r="F11" i="79" s="1"/>
  <c r="G91" i="56"/>
  <c r="F119" i="47"/>
  <c r="F128" i="47" s="1"/>
  <c r="F138" i="56"/>
  <c r="F106" i="47"/>
  <c r="F115" i="47" s="1"/>
  <c r="F126" i="56"/>
  <c r="F11" i="68"/>
  <c r="H129" i="68"/>
  <c r="H173" i="51"/>
  <c r="G28" i="79" l="1"/>
  <c r="N18" i="79" s="1"/>
  <c r="H26" i="69"/>
  <c r="L20" i="79"/>
  <c r="I99" i="51"/>
  <c r="H16" i="79"/>
  <c r="E108" i="51"/>
  <c r="D65" i="51"/>
  <c r="J20" i="79" s="1"/>
  <c r="J21" i="79"/>
  <c r="C28" i="79"/>
  <c r="J18" i="79" s="1"/>
  <c r="D26" i="69"/>
  <c r="E29" i="69"/>
  <c r="E25" i="69" s="1"/>
  <c r="E99" i="51"/>
  <c r="D15" i="79" s="1"/>
  <c r="I11" i="69"/>
  <c r="I109" i="51"/>
  <c r="I146" i="51"/>
  <c r="I37" i="51" s="1"/>
  <c r="I147" i="51"/>
  <c r="I38" i="51" s="1"/>
  <c r="E111" i="51"/>
  <c r="E146" i="51"/>
  <c r="E37" i="51" s="1"/>
  <c r="E147" i="51"/>
  <c r="E38" i="51" s="1"/>
  <c r="E112" i="51"/>
  <c r="E11" i="69"/>
  <c r="D13" i="69"/>
  <c r="E42" i="69"/>
  <c r="E80" i="69" s="1"/>
  <c r="D14" i="69"/>
  <c r="I110" i="51"/>
  <c r="I42" i="69"/>
  <c r="I112" i="51"/>
  <c r="I108" i="51"/>
  <c r="I111" i="51"/>
  <c r="E110" i="51"/>
  <c r="E109" i="51"/>
  <c r="F70" i="51"/>
  <c r="I119" i="51"/>
  <c r="I116" i="51"/>
  <c r="I118" i="51"/>
  <c r="I115" i="51"/>
  <c r="F71" i="51"/>
  <c r="F117" i="51" s="1"/>
  <c r="I43" i="69"/>
  <c r="F114" i="51"/>
  <c r="F100" i="51"/>
  <c r="E116" i="51"/>
  <c r="E117" i="51"/>
  <c r="D29" i="51"/>
  <c r="D70" i="51"/>
  <c r="D71" i="51"/>
  <c r="D40" i="69"/>
  <c r="G106" i="47"/>
  <c r="G115" i="47" s="1"/>
  <c r="E114" i="51"/>
  <c r="E118" i="51"/>
  <c r="G24" i="51"/>
  <c r="H20" i="69"/>
  <c r="F40" i="69"/>
  <c r="G66" i="51"/>
  <c r="G65" i="51"/>
  <c r="H66" i="51"/>
  <c r="H65" i="51"/>
  <c r="H12" i="69"/>
  <c r="G102" i="56"/>
  <c r="H33" i="51"/>
  <c r="H31" i="51"/>
  <c r="H97" i="69"/>
  <c r="H28" i="69"/>
  <c r="G114" i="56"/>
  <c r="F39" i="69"/>
  <c r="F107" i="51"/>
  <c r="E119" i="51"/>
  <c r="F27" i="69"/>
  <c r="G12" i="69"/>
  <c r="G30" i="51"/>
  <c r="G33" i="51" s="1"/>
  <c r="E115" i="51"/>
  <c r="E43" i="69"/>
  <c r="F13" i="69"/>
  <c r="F14" i="69"/>
  <c r="G24" i="69"/>
  <c r="G20" i="69" s="1"/>
  <c r="I29" i="69"/>
  <c r="I27" i="69"/>
  <c r="G97" i="69"/>
  <c r="G18" i="68"/>
  <c r="G28" i="69"/>
  <c r="F29" i="51"/>
  <c r="G28" i="68"/>
  <c r="G11" i="51"/>
  <c r="G23" i="68"/>
  <c r="G4" i="68"/>
  <c r="G15" i="51"/>
  <c r="G128" i="47"/>
  <c r="G114" i="51" s="1"/>
  <c r="G126" i="56"/>
  <c r="G138" i="56"/>
  <c r="G11" i="68"/>
  <c r="G17" i="68"/>
  <c r="F16" i="78"/>
  <c r="F17" i="68"/>
  <c r="F12" i="68"/>
  <c r="H121" i="68"/>
  <c r="H122" i="68" s="1"/>
  <c r="H165" i="51"/>
  <c r="H166" i="51" s="1"/>
  <c r="E49" i="7"/>
  <c r="F49" i="7"/>
  <c r="E50" i="7"/>
  <c r="F50" i="7"/>
  <c r="E51" i="7"/>
  <c r="F51" i="7"/>
  <c r="E52" i="7"/>
  <c r="F52" i="7"/>
  <c r="D52" i="7"/>
  <c r="D51" i="7"/>
  <c r="D50" i="7"/>
  <c r="D49" i="7"/>
  <c r="C52" i="7"/>
  <c r="C51" i="7"/>
  <c r="C50" i="7"/>
  <c r="C49" i="7"/>
  <c r="E42" i="7"/>
  <c r="F42" i="7"/>
  <c r="E43" i="7"/>
  <c r="F43" i="7"/>
  <c r="E44" i="7"/>
  <c r="F44" i="7"/>
  <c r="E45" i="7"/>
  <c r="F45" i="7"/>
  <c r="E46" i="7"/>
  <c r="F46" i="7"/>
  <c r="D46" i="7"/>
  <c r="D45" i="7"/>
  <c r="D44" i="7"/>
  <c r="D43" i="7"/>
  <c r="D42" i="7"/>
  <c r="C46" i="7"/>
  <c r="C45" i="7"/>
  <c r="C44" i="7"/>
  <c r="C43" i="7"/>
  <c r="C42" i="7"/>
  <c r="E36" i="7"/>
  <c r="F36" i="7"/>
  <c r="E37" i="7"/>
  <c r="F37" i="7"/>
  <c r="E38" i="7"/>
  <c r="F38" i="7"/>
  <c r="E39" i="7"/>
  <c r="F39" i="7"/>
  <c r="D39" i="7"/>
  <c r="D38" i="7"/>
  <c r="D37" i="7"/>
  <c r="D36" i="7"/>
  <c r="C39" i="7"/>
  <c r="C38" i="7"/>
  <c r="C37" i="7"/>
  <c r="C36" i="7"/>
  <c r="E32" i="7"/>
  <c r="F32" i="7"/>
  <c r="E33" i="7"/>
  <c r="F33" i="7"/>
  <c r="D33" i="7"/>
  <c r="D32" i="7"/>
  <c r="C33" i="7"/>
  <c r="C32" i="7"/>
  <c r="E27" i="7"/>
  <c r="F27" i="7"/>
  <c r="E28" i="7"/>
  <c r="F28" i="7"/>
  <c r="E29" i="7"/>
  <c r="F29" i="7"/>
  <c r="D29" i="7"/>
  <c r="D28" i="7"/>
  <c r="D27" i="7"/>
  <c r="C29" i="7"/>
  <c r="C28" i="7"/>
  <c r="C27" i="7"/>
  <c r="E21" i="7"/>
  <c r="F21" i="7"/>
  <c r="E22" i="7"/>
  <c r="F22" i="7"/>
  <c r="E23" i="7"/>
  <c r="F23" i="7"/>
  <c r="D23" i="7"/>
  <c r="D22" i="7"/>
  <c r="D21" i="7"/>
  <c r="C24" i="7"/>
  <c r="C23" i="7"/>
  <c r="C22" i="7"/>
  <c r="C21" i="7"/>
  <c r="E11" i="7"/>
  <c r="F11" i="7"/>
  <c r="E12" i="7"/>
  <c r="F12" i="7"/>
  <c r="E13" i="7"/>
  <c r="F13" i="7"/>
  <c r="E16" i="7"/>
  <c r="F16" i="7"/>
  <c r="E17" i="7"/>
  <c r="F17" i="7"/>
  <c r="E18" i="7"/>
  <c r="F18" i="7"/>
  <c r="D18" i="7"/>
  <c r="D17" i="7"/>
  <c r="D16" i="7"/>
  <c r="D13" i="7"/>
  <c r="D12" i="7"/>
  <c r="D11" i="7"/>
  <c r="C13" i="7"/>
  <c r="C12" i="7"/>
  <c r="C11" i="7"/>
  <c r="F5" i="7"/>
  <c r="F6" i="7"/>
  <c r="E5" i="7"/>
  <c r="E6" i="7"/>
  <c r="E8" i="7"/>
  <c r="F8" i="7"/>
  <c r="D8" i="7"/>
  <c r="D5" i="7"/>
  <c r="D6" i="7"/>
  <c r="D39" i="69" l="1"/>
  <c r="N20" i="79"/>
  <c r="M20" i="79"/>
  <c r="H35" i="79"/>
  <c r="D35" i="79"/>
  <c r="F99" i="51"/>
  <c r="E16" i="79"/>
  <c r="I98" i="51"/>
  <c r="H15" i="79"/>
  <c r="D34" i="79"/>
  <c r="H34" i="79"/>
  <c r="E98" i="51"/>
  <c r="D14" i="79" s="1"/>
  <c r="K14" i="79" s="1"/>
  <c r="D11" i="69"/>
  <c r="E81" i="69"/>
  <c r="E39" i="51"/>
  <c r="E8" i="51" s="1"/>
  <c r="F11" i="69"/>
  <c r="I39" i="51"/>
  <c r="I8" i="51" s="1"/>
  <c r="E77" i="69"/>
  <c r="E110" i="69"/>
  <c r="E34" i="69" s="1"/>
  <c r="F108" i="51"/>
  <c r="F146" i="51"/>
  <c r="F37" i="51" s="1"/>
  <c r="F147" i="51"/>
  <c r="F38" i="51" s="1"/>
  <c r="D147" i="51"/>
  <c r="D38" i="51" s="1"/>
  <c r="D146" i="51"/>
  <c r="D37" i="51" s="1"/>
  <c r="E76" i="69"/>
  <c r="E78" i="69"/>
  <c r="H14" i="69"/>
  <c r="E79" i="69"/>
  <c r="I78" i="69"/>
  <c r="I110" i="69"/>
  <c r="I34" i="69" s="1"/>
  <c r="I109" i="69"/>
  <c r="I33" i="69" s="1"/>
  <c r="E109" i="69"/>
  <c r="E33" i="69" s="1"/>
  <c r="I86" i="69"/>
  <c r="I80" i="69"/>
  <c r="I81" i="69"/>
  <c r="I85" i="69"/>
  <c r="I84" i="69"/>
  <c r="I76" i="69"/>
  <c r="I79" i="69"/>
  <c r="I77" i="69"/>
  <c r="F42" i="69"/>
  <c r="F111" i="51"/>
  <c r="F109" i="51"/>
  <c r="F112" i="51"/>
  <c r="F110" i="51"/>
  <c r="I106" i="51"/>
  <c r="I70" i="69"/>
  <c r="I83" i="69"/>
  <c r="E106" i="51"/>
  <c r="I88" i="69"/>
  <c r="G70" i="51"/>
  <c r="I87" i="69"/>
  <c r="F118" i="51"/>
  <c r="F119" i="51"/>
  <c r="F115" i="51"/>
  <c r="I113" i="51"/>
  <c r="G71" i="51"/>
  <c r="G117" i="51" s="1"/>
  <c r="F43" i="69"/>
  <c r="F116" i="51"/>
  <c r="G100" i="51"/>
  <c r="D117" i="51"/>
  <c r="D114" i="51"/>
  <c r="D100" i="51"/>
  <c r="C16" i="79" s="1"/>
  <c r="D107" i="51"/>
  <c r="E84" i="69"/>
  <c r="E86" i="69"/>
  <c r="D43" i="69"/>
  <c r="D42" i="69"/>
  <c r="D108" i="51"/>
  <c r="D112" i="51"/>
  <c r="D110" i="51"/>
  <c r="D111" i="51"/>
  <c r="D109" i="51"/>
  <c r="D27" i="69"/>
  <c r="D29" i="69"/>
  <c r="D116" i="51"/>
  <c r="D119" i="51"/>
  <c r="D115" i="51"/>
  <c r="D118" i="51"/>
  <c r="E83" i="69"/>
  <c r="E87" i="69"/>
  <c r="G40" i="69"/>
  <c r="H13" i="69"/>
  <c r="H29" i="51"/>
  <c r="H70" i="51"/>
  <c r="H39" i="69"/>
  <c r="H71" i="51"/>
  <c r="H40" i="69"/>
  <c r="G39" i="69"/>
  <c r="F29" i="69"/>
  <c r="F25" i="69" s="1"/>
  <c r="G107" i="51"/>
  <c r="E113" i="51"/>
  <c r="E85" i="69"/>
  <c r="G31" i="51"/>
  <c r="G29" i="51" s="1"/>
  <c r="E70" i="69"/>
  <c r="D26" i="79" s="1"/>
  <c r="K16" i="79" s="1"/>
  <c r="G13" i="69"/>
  <c r="G14" i="69"/>
  <c r="E88" i="69"/>
  <c r="I25" i="69"/>
  <c r="G5" i="68"/>
  <c r="G18" i="78" s="1"/>
  <c r="F5" i="68"/>
  <c r="F18" i="78" s="1"/>
  <c r="H130" i="68"/>
  <c r="H11" i="68"/>
  <c r="G16" i="78"/>
  <c r="G14" i="68"/>
  <c r="G33" i="68" s="1"/>
  <c r="F17" i="78"/>
  <c r="F14" i="68"/>
  <c r="F33" i="68" s="1"/>
  <c r="G17" i="78"/>
  <c r="G12" i="68"/>
  <c r="H174" i="51"/>
  <c r="D48" i="7"/>
  <c r="F48" i="7"/>
  <c r="D41" i="7"/>
  <c r="E48" i="7"/>
  <c r="F41" i="7"/>
  <c r="E41" i="7"/>
  <c r="D31" i="7"/>
  <c r="F31" i="7"/>
  <c r="F35" i="7"/>
  <c r="F26" i="7"/>
  <c r="D26" i="7"/>
  <c r="E26" i="7"/>
  <c r="E35" i="7"/>
  <c r="D35" i="7"/>
  <c r="E31" i="7"/>
  <c r="D20" i="7"/>
  <c r="E20" i="7"/>
  <c r="F20" i="7"/>
  <c r="E35" i="79" l="1"/>
  <c r="C35" i="79"/>
  <c r="F98" i="51"/>
  <c r="E15" i="79"/>
  <c r="G99" i="51"/>
  <c r="F16" i="79"/>
  <c r="I69" i="69"/>
  <c r="H25" i="79" s="1"/>
  <c r="O15" i="79" s="1"/>
  <c r="H26" i="79"/>
  <c r="O16" i="79" s="1"/>
  <c r="H14" i="79"/>
  <c r="O14" i="79" s="1"/>
  <c r="I101" i="51"/>
  <c r="E34" i="79"/>
  <c r="D99" i="51"/>
  <c r="C15" i="79" s="1"/>
  <c r="E69" i="69"/>
  <c r="D25" i="79" s="1"/>
  <c r="K15" i="79" s="1"/>
  <c r="C34" i="79"/>
  <c r="E101" i="51"/>
  <c r="D17" i="79" s="1"/>
  <c r="H11" i="69"/>
  <c r="E31" i="78"/>
  <c r="I31" i="78"/>
  <c r="E35" i="69"/>
  <c r="E8" i="69" s="1"/>
  <c r="E75" i="69"/>
  <c r="I35" i="69"/>
  <c r="I8" i="69" s="1"/>
  <c r="G11" i="69"/>
  <c r="G111" i="51"/>
  <c r="G147" i="51"/>
  <c r="G38" i="51" s="1"/>
  <c r="G146" i="51"/>
  <c r="G37" i="51" s="1"/>
  <c r="F39" i="51"/>
  <c r="F8" i="51" s="1"/>
  <c r="D39" i="51"/>
  <c r="D8" i="51" s="1"/>
  <c r="H146" i="51"/>
  <c r="H37" i="51" s="1"/>
  <c r="H147" i="51"/>
  <c r="H38" i="51" s="1"/>
  <c r="D110" i="69"/>
  <c r="D34" i="69" s="1"/>
  <c r="D109" i="69"/>
  <c r="D33" i="69" s="1"/>
  <c r="F77" i="69"/>
  <c r="F109" i="69"/>
  <c r="F33" i="69" s="1"/>
  <c r="F110" i="69"/>
  <c r="F34" i="69" s="1"/>
  <c r="F79" i="69"/>
  <c r="F84" i="69"/>
  <c r="F80" i="69"/>
  <c r="I75" i="69"/>
  <c r="F76" i="69"/>
  <c r="F81" i="69"/>
  <c r="F78" i="69"/>
  <c r="E22" i="51"/>
  <c r="I22" i="51"/>
  <c r="I82" i="69"/>
  <c r="F106" i="51"/>
  <c r="F87" i="69"/>
  <c r="G112" i="51"/>
  <c r="G109" i="51"/>
  <c r="G110" i="51"/>
  <c r="G42" i="69"/>
  <c r="G108" i="51"/>
  <c r="F85" i="69"/>
  <c r="F70" i="69"/>
  <c r="F83" i="69"/>
  <c r="F86" i="69"/>
  <c r="F88" i="69"/>
  <c r="F113" i="51"/>
  <c r="G116" i="51"/>
  <c r="G115" i="51"/>
  <c r="G43" i="69"/>
  <c r="G118" i="51"/>
  <c r="G119" i="51"/>
  <c r="H109" i="51"/>
  <c r="H100" i="51"/>
  <c r="D25" i="69"/>
  <c r="D84" i="69"/>
  <c r="D86" i="69"/>
  <c r="H116" i="51"/>
  <c r="H117" i="51"/>
  <c r="D85" i="69"/>
  <c r="D88" i="69"/>
  <c r="D83" i="69"/>
  <c r="D87" i="69"/>
  <c r="D106" i="51"/>
  <c r="D113" i="51"/>
  <c r="D79" i="69"/>
  <c r="D81" i="69"/>
  <c r="D78" i="69"/>
  <c r="D77" i="69"/>
  <c r="D80" i="69"/>
  <c r="D76" i="69"/>
  <c r="D70" i="69"/>
  <c r="H114" i="51"/>
  <c r="H118" i="51"/>
  <c r="E82" i="69"/>
  <c r="H107" i="51"/>
  <c r="H111" i="51"/>
  <c r="H42" i="69"/>
  <c r="H43" i="69"/>
  <c r="H115" i="51"/>
  <c r="H119" i="51"/>
  <c r="H27" i="69"/>
  <c r="H29" i="69"/>
  <c r="H112" i="51"/>
  <c r="H110" i="51"/>
  <c r="H108" i="51"/>
  <c r="G27" i="69"/>
  <c r="G29" i="69"/>
  <c r="F6" i="68"/>
  <c r="H17" i="68"/>
  <c r="F19" i="78"/>
  <c r="G6" i="68"/>
  <c r="H12" i="68"/>
  <c r="H16" i="78"/>
  <c r="G19" i="78"/>
  <c r="F35" i="79" l="1"/>
  <c r="G35" i="79"/>
  <c r="I71" i="69"/>
  <c r="H27" i="79" s="1"/>
  <c r="G98" i="51"/>
  <c r="F15" i="79"/>
  <c r="F69" i="69"/>
  <c r="E25" i="79" s="1"/>
  <c r="L15" i="79" s="1"/>
  <c r="E26" i="79"/>
  <c r="L16" i="79" s="1"/>
  <c r="H99" i="51"/>
  <c r="G16" i="79"/>
  <c r="I20" i="51"/>
  <c r="H17" i="79"/>
  <c r="E14" i="79"/>
  <c r="L14" i="79" s="1"/>
  <c r="F101" i="51"/>
  <c r="H25" i="69"/>
  <c r="F34" i="79"/>
  <c r="G34" i="79"/>
  <c r="E71" i="69"/>
  <c r="D27" i="79" s="1"/>
  <c r="K17" i="79" s="1"/>
  <c r="K19" i="79" s="1"/>
  <c r="E20" i="51"/>
  <c r="D69" i="69"/>
  <c r="C25" i="79" s="1"/>
  <c r="J15" i="79" s="1"/>
  <c r="C26" i="79"/>
  <c r="J16" i="79" s="1"/>
  <c r="D98" i="51"/>
  <c r="C14" i="79" s="1"/>
  <c r="J14" i="79" s="1"/>
  <c r="I32" i="78"/>
  <c r="I33" i="78" s="1"/>
  <c r="E32" i="78"/>
  <c r="E33" i="78" s="1"/>
  <c r="E18" i="69"/>
  <c r="I13" i="78"/>
  <c r="H40" i="79" s="1"/>
  <c r="F31" i="78"/>
  <c r="D31" i="78"/>
  <c r="E13" i="78"/>
  <c r="H39" i="51"/>
  <c r="H8" i="51" s="1"/>
  <c r="G39" i="51"/>
  <c r="G8" i="51" s="1"/>
  <c r="F35" i="69"/>
  <c r="F8" i="69" s="1"/>
  <c r="D35" i="69"/>
  <c r="D8" i="69" s="1"/>
  <c r="D32" i="78" s="1"/>
  <c r="H109" i="69"/>
  <c r="H33" i="69" s="1"/>
  <c r="H110" i="69"/>
  <c r="H34" i="69" s="1"/>
  <c r="G109" i="69"/>
  <c r="G33" i="69" s="1"/>
  <c r="G110" i="69"/>
  <c r="G34" i="69" s="1"/>
  <c r="H78" i="69"/>
  <c r="G78" i="69"/>
  <c r="I18" i="69"/>
  <c r="F75" i="69"/>
  <c r="F22" i="51"/>
  <c r="G106" i="51"/>
  <c r="G113" i="51"/>
  <c r="G80" i="69"/>
  <c r="G81" i="69"/>
  <c r="G79" i="69"/>
  <c r="G76" i="69"/>
  <c r="G77" i="69"/>
  <c r="G70" i="69"/>
  <c r="F82" i="69"/>
  <c r="G85" i="69"/>
  <c r="G87" i="69"/>
  <c r="G83" i="69"/>
  <c r="G86" i="69"/>
  <c r="G88" i="69"/>
  <c r="G84" i="69"/>
  <c r="H84" i="69"/>
  <c r="H86" i="69"/>
  <c r="D82" i="69"/>
  <c r="D75" i="69"/>
  <c r="D22" i="51"/>
  <c r="H76" i="69"/>
  <c r="H80" i="69"/>
  <c r="H83" i="69"/>
  <c r="H87" i="69"/>
  <c r="H81" i="69"/>
  <c r="H79" i="69"/>
  <c r="H77" i="69"/>
  <c r="H85" i="69"/>
  <c r="H70" i="69"/>
  <c r="H113" i="51"/>
  <c r="H88" i="69"/>
  <c r="H106" i="51"/>
  <c r="G25" i="69"/>
  <c r="H5" i="68"/>
  <c r="H18" i="78" s="1"/>
  <c r="H14" i="68"/>
  <c r="H33" i="68" s="1"/>
  <c r="H17" i="78"/>
  <c r="C6" i="7"/>
  <c r="O215" i="2"/>
  <c r="O214" i="2" s="1"/>
  <c r="N215" i="2"/>
  <c r="N214" i="2" s="1"/>
  <c r="M215" i="2"/>
  <c r="M214" i="2" s="1"/>
  <c r="O213" i="2"/>
  <c r="O212" i="2" s="1"/>
  <c r="N213" i="2"/>
  <c r="N212" i="2" s="1"/>
  <c r="M213" i="2"/>
  <c r="M212" i="2" s="1"/>
  <c r="O210" i="2"/>
  <c r="O209" i="2" s="1"/>
  <c r="N210" i="2"/>
  <c r="N209" i="2" s="1"/>
  <c r="M210" i="2"/>
  <c r="M209" i="2" s="1"/>
  <c r="O208" i="2"/>
  <c r="O207" i="2" s="1"/>
  <c r="N208" i="2"/>
  <c r="N207" i="2" s="1"/>
  <c r="M208" i="2"/>
  <c r="M207" i="2" s="1"/>
  <c r="O205" i="2"/>
  <c r="O204" i="2" s="1"/>
  <c r="N205" i="2"/>
  <c r="N204" i="2" s="1"/>
  <c r="M205" i="2"/>
  <c r="M204" i="2" s="1"/>
  <c r="O203" i="2"/>
  <c r="O202" i="2" s="1"/>
  <c r="N203" i="2"/>
  <c r="N202" i="2" s="1"/>
  <c r="M203" i="2"/>
  <c r="M202" i="2" s="1"/>
  <c r="O201" i="2"/>
  <c r="O200" i="2" s="1"/>
  <c r="N201" i="2"/>
  <c r="N200" i="2" s="1"/>
  <c r="M201" i="2"/>
  <c r="M200" i="2" s="1"/>
  <c r="O199" i="2"/>
  <c r="O198" i="2" s="1"/>
  <c r="N199" i="2"/>
  <c r="N198" i="2" s="1"/>
  <c r="M199" i="2"/>
  <c r="M198" i="2" s="1"/>
  <c r="O197" i="2"/>
  <c r="O196" i="2" s="1"/>
  <c r="N197" i="2"/>
  <c r="N196" i="2" s="1"/>
  <c r="M197" i="2"/>
  <c r="M196" i="2" s="1"/>
  <c r="O195" i="2"/>
  <c r="O194" i="2" s="1"/>
  <c r="N195" i="2"/>
  <c r="N194" i="2" s="1"/>
  <c r="M195" i="2"/>
  <c r="M194" i="2" s="1"/>
  <c r="O193" i="2"/>
  <c r="O192" i="2" s="1"/>
  <c r="N193" i="2"/>
  <c r="N192" i="2" s="1"/>
  <c r="M193" i="2"/>
  <c r="M192" i="2" s="1"/>
  <c r="O190" i="2"/>
  <c r="O189" i="2" s="1"/>
  <c r="N190" i="2"/>
  <c r="N189" i="2" s="1"/>
  <c r="M190" i="2"/>
  <c r="C186" i="2"/>
  <c r="O215" i="17"/>
  <c r="O214" i="17" s="1"/>
  <c r="N215" i="17"/>
  <c r="N214" i="17" s="1"/>
  <c r="M215" i="17"/>
  <c r="M214" i="17" s="1"/>
  <c r="O213" i="17"/>
  <c r="O212" i="17" s="1"/>
  <c r="N213" i="17"/>
  <c r="N212" i="17" s="1"/>
  <c r="M213" i="17"/>
  <c r="M212" i="17" s="1"/>
  <c r="O210" i="17"/>
  <c r="O209" i="17" s="1"/>
  <c r="N210" i="17"/>
  <c r="N209" i="17" s="1"/>
  <c r="M210" i="17"/>
  <c r="M209" i="17" s="1"/>
  <c r="O208" i="17"/>
  <c r="O207" i="17" s="1"/>
  <c r="N208" i="17"/>
  <c r="N207" i="17" s="1"/>
  <c r="M208" i="17"/>
  <c r="M207" i="17" s="1"/>
  <c r="O205" i="17"/>
  <c r="O204" i="17" s="1"/>
  <c r="N205" i="17"/>
  <c r="N204" i="17" s="1"/>
  <c r="M205" i="17"/>
  <c r="M204" i="17" s="1"/>
  <c r="O203" i="17"/>
  <c r="O202" i="17" s="1"/>
  <c r="N203" i="17"/>
  <c r="N202" i="17" s="1"/>
  <c r="M203" i="17"/>
  <c r="M202" i="17" s="1"/>
  <c r="O201" i="17"/>
  <c r="O200" i="17" s="1"/>
  <c r="N201" i="17"/>
  <c r="N200" i="17" s="1"/>
  <c r="M201" i="17"/>
  <c r="M200" i="17" s="1"/>
  <c r="O199" i="17"/>
  <c r="O198" i="17" s="1"/>
  <c r="N199" i="17"/>
  <c r="N198" i="17" s="1"/>
  <c r="M199" i="17"/>
  <c r="M198" i="17" s="1"/>
  <c r="O197" i="17"/>
  <c r="O196" i="17" s="1"/>
  <c r="N197" i="17"/>
  <c r="N196" i="17" s="1"/>
  <c r="M197" i="17"/>
  <c r="M196" i="17" s="1"/>
  <c r="O195" i="17"/>
  <c r="O194" i="17" s="1"/>
  <c r="N195" i="17"/>
  <c r="N194" i="17" s="1"/>
  <c r="M195" i="17"/>
  <c r="M194" i="17" s="1"/>
  <c r="O193" i="17"/>
  <c r="O192" i="17" s="1"/>
  <c r="N193" i="17"/>
  <c r="N192" i="17" s="1"/>
  <c r="M193" i="17"/>
  <c r="M192" i="17" s="1"/>
  <c r="O190" i="17"/>
  <c r="O189" i="17" s="1"/>
  <c r="N190" i="17"/>
  <c r="N189" i="17" s="1"/>
  <c r="M190" i="17"/>
  <c r="M189" i="17" s="1"/>
  <c r="C186" i="17"/>
  <c r="O215" i="18"/>
  <c r="O214" i="18" s="1"/>
  <c r="N215" i="18"/>
  <c r="N214" i="18" s="1"/>
  <c r="M215" i="18"/>
  <c r="M214" i="18" s="1"/>
  <c r="O213" i="18"/>
  <c r="O212" i="18" s="1"/>
  <c r="N213" i="18"/>
  <c r="N212" i="18" s="1"/>
  <c r="M213" i="18"/>
  <c r="M212" i="18" s="1"/>
  <c r="O210" i="18"/>
  <c r="O209" i="18" s="1"/>
  <c r="N210" i="18"/>
  <c r="N209" i="18" s="1"/>
  <c r="M210" i="18"/>
  <c r="M209" i="18" s="1"/>
  <c r="O208" i="18"/>
  <c r="O207" i="18" s="1"/>
  <c r="N208" i="18"/>
  <c r="N207" i="18" s="1"/>
  <c r="M208" i="18"/>
  <c r="M207" i="18" s="1"/>
  <c r="O205" i="18"/>
  <c r="O204" i="18" s="1"/>
  <c r="N205" i="18"/>
  <c r="N204" i="18" s="1"/>
  <c r="M205" i="18"/>
  <c r="M204" i="18" s="1"/>
  <c r="O203" i="18"/>
  <c r="O202" i="18" s="1"/>
  <c r="N203" i="18"/>
  <c r="N202" i="18" s="1"/>
  <c r="M203" i="18"/>
  <c r="M202" i="18" s="1"/>
  <c r="O201" i="18"/>
  <c r="O200" i="18" s="1"/>
  <c r="N201" i="18"/>
  <c r="N200" i="18" s="1"/>
  <c r="M201" i="18"/>
  <c r="M200" i="18" s="1"/>
  <c r="O199" i="18"/>
  <c r="O198" i="18" s="1"/>
  <c r="N199" i="18"/>
  <c r="N198" i="18" s="1"/>
  <c r="M199" i="18"/>
  <c r="M198" i="18" s="1"/>
  <c r="O197" i="18"/>
  <c r="O196" i="18" s="1"/>
  <c r="N197" i="18"/>
  <c r="N196" i="18" s="1"/>
  <c r="M197" i="18"/>
  <c r="M196" i="18" s="1"/>
  <c r="O195" i="18"/>
  <c r="O194" i="18" s="1"/>
  <c r="N195" i="18"/>
  <c r="N194" i="18" s="1"/>
  <c r="M195" i="18"/>
  <c r="M194" i="18" s="1"/>
  <c r="O193" i="18"/>
  <c r="O192" i="18" s="1"/>
  <c r="N193" i="18"/>
  <c r="N192" i="18" s="1"/>
  <c r="M193" i="18"/>
  <c r="M192" i="18" s="1"/>
  <c r="O190" i="18"/>
  <c r="N190" i="18"/>
  <c r="M190" i="18"/>
  <c r="M189" i="18" s="1"/>
  <c r="C186" i="18"/>
  <c r="O215" i="3"/>
  <c r="O214" i="3" s="1"/>
  <c r="N215" i="3"/>
  <c r="N214" i="3" s="1"/>
  <c r="M215" i="3"/>
  <c r="M214" i="3" s="1"/>
  <c r="O213" i="3"/>
  <c r="O212" i="3" s="1"/>
  <c r="N213" i="3"/>
  <c r="N212" i="3" s="1"/>
  <c r="M213" i="3"/>
  <c r="M212" i="3" s="1"/>
  <c r="O210" i="3"/>
  <c r="O209" i="3" s="1"/>
  <c r="N210" i="3"/>
  <c r="N209" i="3" s="1"/>
  <c r="M210" i="3"/>
  <c r="M209" i="3" s="1"/>
  <c r="O208" i="3"/>
  <c r="O207" i="3" s="1"/>
  <c r="N208" i="3"/>
  <c r="N207" i="3" s="1"/>
  <c r="M208" i="3"/>
  <c r="M207" i="3" s="1"/>
  <c r="O205" i="3"/>
  <c r="O204" i="3" s="1"/>
  <c r="N205" i="3"/>
  <c r="N204" i="3" s="1"/>
  <c r="M205" i="3"/>
  <c r="M204" i="3" s="1"/>
  <c r="O203" i="3"/>
  <c r="O202" i="3" s="1"/>
  <c r="N203" i="3"/>
  <c r="N202" i="3" s="1"/>
  <c r="M203" i="3"/>
  <c r="M202" i="3" s="1"/>
  <c r="O201" i="3"/>
  <c r="O200" i="3" s="1"/>
  <c r="N201" i="3"/>
  <c r="N200" i="3" s="1"/>
  <c r="M201" i="3"/>
  <c r="M200" i="3" s="1"/>
  <c r="O199" i="3"/>
  <c r="O198" i="3" s="1"/>
  <c r="N199" i="3"/>
  <c r="N198" i="3" s="1"/>
  <c r="M199" i="3"/>
  <c r="M198" i="3" s="1"/>
  <c r="O197" i="3"/>
  <c r="O196" i="3" s="1"/>
  <c r="N197" i="3"/>
  <c r="N196" i="3" s="1"/>
  <c r="M197" i="3"/>
  <c r="M196" i="3" s="1"/>
  <c r="O195" i="3"/>
  <c r="O194" i="3" s="1"/>
  <c r="N195" i="3"/>
  <c r="N194" i="3" s="1"/>
  <c r="M195" i="3"/>
  <c r="M194" i="3" s="1"/>
  <c r="O193" i="3"/>
  <c r="O192" i="3" s="1"/>
  <c r="N193" i="3"/>
  <c r="N192" i="3" s="1"/>
  <c r="M193" i="3"/>
  <c r="M192" i="3" s="1"/>
  <c r="O190" i="3"/>
  <c r="O189" i="3" s="1"/>
  <c r="N190" i="3"/>
  <c r="M190" i="3"/>
  <c r="M189" i="3" s="1"/>
  <c r="C186" i="3"/>
  <c r="O215" i="19"/>
  <c r="O214" i="19" s="1"/>
  <c r="N215" i="19"/>
  <c r="N214" i="19" s="1"/>
  <c r="M215" i="19"/>
  <c r="M214" i="19" s="1"/>
  <c r="O213" i="19"/>
  <c r="O212" i="19" s="1"/>
  <c r="N213" i="19"/>
  <c r="N212" i="19" s="1"/>
  <c r="M213" i="19"/>
  <c r="M212" i="19" s="1"/>
  <c r="O210" i="19"/>
  <c r="O209" i="19" s="1"/>
  <c r="N210" i="19"/>
  <c r="N209" i="19" s="1"/>
  <c r="M210" i="19"/>
  <c r="M209" i="19" s="1"/>
  <c r="O208" i="19"/>
  <c r="O207" i="19" s="1"/>
  <c r="N208" i="19"/>
  <c r="N207" i="19" s="1"/>
  <c r="M208" i="19"/>
  <c r="M207" i="19" s="1"/>
  <c r="O205" i="19"/>
  <c r="O204" i="19" s="1"/>
  <c r="N205" i="19"/>
  <c r="N204" i="19" s="1"/>
  <c r="M205" i="19"/>
  <c r="M204" i="19" s="1"/>
  <c r="O203" i="19"/>
  <c r="O202" i="19" s="1"/>
  <c r="N203" i="19"/>
  <c r="N202" i="19" s="1"/>
  <c r="M203" i="19"/>
  <c r="M202" i="19" s="1"/>
  <c r="O201" i="19"/>
  <c r="O200" i="19" s="1"/>
  <c r="N201" i="19"/>
  <c r="N200" i="19" s="1"/>
  <c r="M201" i="19"/>
  <c r="M200" i="19" s="1"/>
  <c r="O199" i="19"/>
  <c r="O198" i="19" s="1"/>
  <c r="N199" i="19"/>
  <c r="N198" i="19" s="1"/>
  <c r="M199" i="19"/>
  <c r="M198" i="19" s="1"/>
  <c r="O197" i="19"/>
  <c r="O196" i="19" s="1"/>
  <c r="N197" i="19"/>
  <c r="N196" i="19" s="1"/>
  <c r="M197" i="19"/>
  <c r="M196" i="19" s="1"/>
  <c r="O195" i="19"/>
  <c r="O194" i="19" s="1"/>
  <c r="N195" i="19"/>
  <c r="N194" i="19" s="1"/>
  <c r="M195" i="19"/>
  <c r="M194" i="19" s="1"/>
  <c r="O193" i="19"/>
  <c r="O192" i="19" s="1"/>
  <c r="N193" i="19"/>
  <c r="N192" i="19" s="1"/>
  <c r="M193" i="19"/>
  <c r="M192" i="19" s="1"/>
  <c r="O190" i="19"/>
  <c r="O189" i="19" s="1"/>
  <c r="N190" i="19"/>
  <c r="N189" i="19" s="1"/>
  <c r="M190" i="19"/>
  <c r="C186" i="19"/>
  <c r="O215" i="20"/>
  <c r="O214" i="20" s="1"/>
  <c r="N215" i="20"/>
  <c r="N214" i="20" s="1"/>
  <c r="M215" i="20"/>
  <c r="M214" i="20" s="1"/>
  <c r="O213" i="20"/>
  <c r="O212" i="20" s="1"/>
  <c r="N213" i="20"/>
  <c r="N212" i="20" s="1"/>
  <c r="M213" i="20"/>
  <c r="M212" i="20" s="1"/>
  <c r="O210" i="20"/>
  <c r="O209" i="20" s="1"/>
  <c r="N210" i="20"/>
  <c r="N209" i="20" s="1"/>
  <c r="M210" i="20"/>
  <c r="M209" i="20" s="1"/>
  <c r="O208" i="20"/>
  <c r="O207" i="20" s="1"/>
  <c r="N208" i="20"/>
  <c r="N207" i="20" s="1"/>
  <c r="M208" i="20"/>
  <c r="M207" i="20" s="1"/>
  <c r="O205" i="20"/>
  <c r="O204" i="20" s="1"/>
  <c r="N205" i="20"/>
  <c r="N204" i="20" s="1"/>
  <c r="M205" i="20"/>
  <c r="M204" i="20" s="1"/>
  <c r="O203" i="20"/>
  <c r="O202" i="20" s="1"/>
  <c r="N203" i="20"/>
  <c r="N202" i="20" s="1"/>
  <c r="M203" i="20"/>
  <c r="M202" i="20" s="1"/>
  <c r="O201" i="20"/>
  <c r="O200" i="20" s="1"/>
  <c r="N201" i="20"/>
  <c r="N200" i="20" s="1"/>
  <c r="M201" i="20"/>
  <c r="M200" i="20" s="1"/>
  <c r="O199" i="20"/>
  <c r="O198" i="20" s="1"/>
  <c r="N199" i="20"/>
  <c r="N198" i="20" s="1"/>
  <c r="M199" i="20"/>
  <c r="M198" i="20" s="1"/>
  <c r="O197" i="20"/>
  <c r="O196" i="20" s="1"/>
  <c r="N197" i="20"/>
  <c r="N196" i="20" s="1"/>
  <c r="M197" i="20"/>
  <c r="M196" i="20" s="1"/>
  <c r="O195" i="20"/>
  <c r="O194" i="20" s="1"/>
  <c r="N195" i="20"/>
  <c r="N194" i="20" s="1"/>
  <c r="M195" i="20"/>
  <c r="M194" i="20" s="1"/>
  <c r="O193" i="20"/>
  <c r="O192" i="20" s="1"/>
  <c r="N193" i="20"/>
  <c r="N192" i="20" s="1"/>
  <c r="M193" i="20"/>
  <c r="M192" i="20" s="1"/>
  <c r="O190" i="20"/>
  <c r="O189" i="20" s="1"/>
  <c r="N190" i="20"/>
  <c r="N189" i="20" s="1"/>
  <c r="M190" i="20"/>
  <c r="M189" i="20" s="1"/>
  <c r="C186" i="20"/>
  <c r="O215" i="21"/>
  <c r="O214" i="21" s="1"/>
  <c r="N215" i="21"/>
  <c r="N214" i="21" s="1"/>
  <c r="M215" i="21"/>
  <c r="M214" i="21" s="1"/>
  <c r="O213" i="21"/>
  <c r="O212" i="21" s="1"/>
  <c r="N213" i="21"/>
  <c r="N212" i="21" s="1"/>
  <c r="M213" i="21"/>
  <c r="M212" i="21" s="1"/>
  <c r="O210" i="21"/>
  <c r="O209" i="21" s="1"/>
  <c r="N210" i="21"/>
  <c r="N209" i="21" s="1"/>
  <c r="M210" i="21"/>
  <c r="M209" i="21" s="1"/>
  <c r="O208" i="21"/>
  <c r="O207" i="21" s="1"/>
  <c r="N208" i="21"/>
  <c r="N207" i="21" s="1"/>
  <c r="M208" i="21"/>
  <c r="M207" i="21" s="1"/>
  <c r="O205" i="21"/>
  <c r="O204" i="21" s="1"/>
  <c r="N205" i="21"/>
  <c r="N204" i="21" s="1"/>
  <c r="M205" i="21"/>
  <c r="M204" i="21" s="1"/>
  <c r="O203" i="21"/>
  <c r="O202" i="21" s="1"/>
  <c r="N203" i="21"/>
  <c r="N202" i="21" s="1"/>
  <c r="M203" i="21"/>
  <c r="M202" i="21" s="1"/>
  <c r="O201" i="21"/>
  <c r="O200" i="21" s="1"/>
  <c r="N201" i="21"/>
  <c r="N200" i="21" s="1"/>
  <c r="M201" i="21"/>
  <c r="M200" i="21" s="1"/>
  <c r="O199" i="21"/>
  <c r="O198" i="21" s="1"/>
  <c r="N199" i="21"/>
  <c r="N198" i="21" s="1"/>
  <c r="M199" i="21"/>
  <c r="M198" i="21" s="1"/>
  <c r="O197" i="21"/>
  <c r="O196" i="21" s="1"/>
  <c r="N197" i="21"/>
  <c r="N196" i="21" s="1"/>
  <c r="M197" i="21"/>
  <c r="M196" i="21" s="1"/>
  <c r="O195" i="21"/>
  <c r="O194" i="21" s="1"/>
  <c r="N195" i="21"/>
  <c r="N194" i="21" s="1"/>
  <c r="M195" i="21"/>
  <c r="M194" i="21" s="1"/>
  <c r="O193" i="21"/>
  <c r="O192" i="21" s="1"/>
  <c r="N193" i="21"/>
  <c r="N192" i="21" s="1"/>
  <c r="M193" i="21"/>
  <c r="M192" i="21" s="1"/>
  <c r="O190" i="21"/>
  <c r="N190" i="21"/>
  <c r="M190" i="21"/>
  <c r="M189" i="21" s="1"/>
  <c r="C186" i="21"/>
  <c r="O177" i="2"/>
  <c r="O176" i="2" s="1"/>
  <c r="N177" i="2"/>
  <c r="N176" i="2" s="1"/>
  <c r="M177" i="2"/>
  <c r="M176" i="2"/>
  <c r="O175" i="2"/>
  <c r="O174" i="2" s="1"/>
  <c r="O180" i="2" s="1"/>
  <c r="N175" i="2"/>
  <c r="N174" i="2" s="1"/>
  <c r="N180" i="2" s="1"/>
  <c r="M175" i="2"/>
  <c r="M174" i="2" s="1"/>
  <c r="O172" i="2"/>
  <c r="O171" i="2" s="1"/>
  <c r="N172" i="2"/>
  <c r="N171" i="2" s="1"/>
  <c r="M172" i="2"/>
  <c r="M171" i="2" s="1"/>
  <c r="O170" i="2"/>
  <c r="O169" i="2" s="1"/>
  <c r="N170" i="2"/>
  <c r="N169" i="2" s="1"/>
  <c r="M170" i="2"/>
  <c r="M169" i="2" s="1"/>
  <c r="O167" i="2"/>
  <c r="O166" i="2" s="1"/>
  <c r="N167" i="2"/>
  <c r="N166" i="2" s="1"/>
  <c r="M167" i="2"/>
  <c r="M166" i="2" s="1"/>
  <c r="O165" i="2"/>
  <c r="O164" i="2" s="1"/>
  <c r="N165" i="2"/>
  <c r="N164" i="2" s="1"/>
  <c r="M165" i="2"/>
  <c r="M164" i="2" s="1"/>
  <c r="O163" i="2"/>
  <c r="O162" i="2" s="1"/>
  <c r="N163" i="2"/>
  <c r="N162" i="2" s="1"/>
  <c r="M163" i="2"/>
  <c r="M162" i="2" s="1"/>
  <c r="O161" i="2"/>
  <c r="O160" i="2" s="1"/>
  <c r="N161" i="2"/>
  <c r="N160" i="2" s="1"/>
  <c r="M161" i="2"/>
  <c r="M160" i="2" s="1"/>
  <c r="O159" i="2"/>
  <c r="O158" i="2" s="1"/>
  <c r="N159" i="2"/>
  <c r="N158" i="2" s="1"/>
  <c r="M159" i="2"/>
  <c r="M158" i="2" s="1"/>
  <c r="O157" i="2"/>
  <c r="O156" i="2" s="1"/>
  <c r="N157" i="2"/>
  <c r="N156" i="2" s="1"/>
  <c r="M157" i="2"/>
  <c r="M156" i="2" s="1"/>
  <c r="O155" i="2"/>
  <c r="O154" i="2" s="1"/>
  <c r="N155" i="2"/>
  <c r="N154" i="2" s="1"/>
  <c r="M155" i="2"/>
  <c r="M154" i="2" s="1"/>
  <c r="O152" i="2"/>
  <c r="O151" i="2" s="1"/>
  <c r="N152" i="2"/>
  <c r="N151" i="2" s="1"/>
  <c r="M152" i="2"/>
  <c r="C148" i="2"/>
  <c r="O177" i="17"/>
  <c r="O176" i="17" s="1"/>
  <c r="N177" i="17"/>
  <c r="N176" i="17" s="1"/>
  <c r="M177" i="17"/>
  <c r="M176" i="17" s="1"/>
  <c r="O175" i="17"/>
  <c r="O174" i="17" s="1"/>
  <c r="N175" i="17"/>
  <c r="N174" i="17" s="1"/>
  <c r="M175" i="17"/>
  <c r="M174" i="17" s="1"/>
  <c r="O172" i="17"/>
  <c r="O171" i="17" s="1"/>
  <c r="N172" i="17"/>
  <c r="N171" i="17" s="1"/>
  <c r="M172" i="17"/>
  <c r="M171" i="17" s="1"/>
  <c r="O170" i="17"/>
  <c r="O169" i="17" s="1"/>
  <c r="N170" i="17"/>
  <c r="N169" i="17" s="1"/>
  <c r="M170" i="17"/>
  <c r="M169" i="17" s="1"/>
  <c r="O167" i="17"/>
  <c r="O166" i="17" s="1"/>
  <c r="N167" i="17"/>
  <c r="N166" i="17" s="1"/>
  <c r="M167" i="17"/>
  <c r="M166" i="17" s="1"/>
  <c r="O165" i="17"/>
  <c r="O164" i="17" s="1"/>
  <c r="N165" i="17"/>
  <c r="N164" i="17" s="1"/>
  <c r="M165" i="17"/>
  <c r="M164" i="17" s="1"/>
  <c r="O163" i="17"/>
  <c r="O162" i="17" s="1"/>
  <c r="N163" i="17"/>
  <c r="N162" i="17" s="1"/>
  <c r="M163" i="17"/>
  <c r="M162" i="17" s="1"/>
  <c r="O161" i="17"/>
  <c r="O160" i="17" s="1"/>
  <c r="N161" i="17"/>
  <c r="N160" i="17" s="1"/>
  <c r="M161" i="17"/>
  <c r="M160" i="17" s="1"/>
  <c r="O159" i="17"/>
  <c r="O158" i="17" s="1"/>
  <c r="N159" i="17"/>
  <c r="N158" i="17" s="1"/>
  <c r="M159" i="17"/>
  <c r="M158" i="17" s="1"/>
  <c r="O157" i="17"/>
  <c r="O156" i="17" s="1"/>
  <c r="N157" i="17"/>
  <c r="N156" i="17" s="1"/>
  <c r="M157" i="17"/>
  <c r="M156" i="17" s="1"/>
  <c r="O155" i="17"/>
  <c r="O154" i="17" s="1"/>
  <c r="N155" i="17"/>
  <c r="N154" i="17" s="1"/>
  <c r="M155" i="17"/>
  <c r="M154" i="17" s="1"/>
  <c r="O152" i="17"/>
  <c r="N152" i="17"/>
  <c r="M152" i="17"/>
  <c r="M151" i="17" s="1"/>
  <c r="C148" i="17"/>
  <c r="O177" i="18"/>
  <c r="O176" i="18" s="1"/>
  <c r="N177" i="18"/>
  <c r="N176" i="18" s="1"/>
  <c r="M177" i="18"/>
  <c r="M176" i="18" s="1"/>
  <c r="O175" i="18"/>
  <c r="O174" i="18" s="1"/>
  <c r="N175" i="18"/>
  <c r="N174" i="18" s="1"/>
  <c r="M175" i="18"/>
  <c r="M174" i="18" s="1"/>
  <c r="O172" i="18"/>
  <c r="O171" i="18" s="1"/>
  <c r="N172" i="18"/>
  <c r="N171" i="18" s="1"/>
  <c r="M172" i="18"/>
  <c r="M171" i="18" s="1"/>
  <c r="O170" i="18"/>
  <c r="O169" i="18" s="1"/>
  <c r="N170" i="18"/>
  <c r="N169" i="18" s="1"/>
  <c r="M170" i="18"/>
  <c r="M169" i="18" s="1"/>
  <c r="O167" i="18"/>
  <c r="O166" i="18" s="1"/>
  <c r="N167" i="18"/>
  <c r="N166" i="18" s="1"/>
  <c r="M167" i="18"/>
  <c r="M166" i="18" s="1"/>
  <c r="O165" i="18"/>
  <c r="O164" i="18" s="1"/>
  <c r="N165" i="18"/>
  <c r="N164" i="18" s="1"/>
  <c r="M165" i="18"/>
  <c r="M164" i="18" s="1"/>
  <c r="O163" i="18"/>
  <c r="O162" i="18" s="1"/>
  <c r="N163" i="18"/>
  <c r="N162" i="18" s="1"/>
  <c r="M163" i="18"/>
  <c r="M162" i="18" s="1"/>
  <c r="O161" i="18"/>
  <c r="O160" i="18" s="1"/>
  <c r="N161" i="18"/>
  <c r="N160" i="18" s="1"/>
  <c r="M161" i="18"/>
  <c r="M160" i="18" s="1"/>
  <c r="O159" i="18"/>
  <c r="O158" i="18" s="1"/>
  <c r="N159" i="18"/>
  <c r="N158" i="18" s="1"/>
  <c r="M159" i="18"/>
  <c r="M158" i="18" s="1"/>
  <c r="O157" i="18"/>
  <c r="O156" i="18" s="1"/>
  <c r="N157" i="18"/>
  <c r="N156" i="18" s="1"/>
  <c r="M157" i="18"/>
  <c r="M156" i="18" s="1"/>
  <c r="O155" i="18"/>
  <c r="O154" i="18" s="1"/>
  <c r="N155" i="18"/>
  <c r="N154" i="18" s="1"/>
  <c r="M155" i="18"/>
  <c r="M154" i="18" s="1"/>
  <c r="O152" i="18"/>
  <c r="N152" i="18"/>
  <c r="N151" i="18" s="1"/>
  <c r="M152" i="18"/>
  <c r="M151" i="18" s="1"/>
  <c r="C148" i="18"/>
  <c r="O177" i="3"/>
  <c r="O176" i="3" s="1"/>
  <c r="N177" i="3"/>
  <c r="N176" i="3" s="1"/>
  <c r="M177" i="3"/>
  <c r="M176" i="3" s="1"/>
  <c r="O175" i="3"/>
  <c r="O174" i="3" s="1"/>
  <c r="N175" i="3"/>
  <c r="N174" i="3" s="1"/>
  <c r="M175" i="3"/>
  <c r="M174" i="3" s="1"/>
  <c r="O172" i="3"/>
  <c r="O171" i="3" s="1"/>
  <c r="N172" i="3"/>
  <c r="N171" i="3" s="1"/>
  <c r="M172" i="3"/>
  <c r="M171" i="3" s="1"/>
  <c r="O170" i="3"/>
  <c r="O169" i="3" s="1"/>
  <c r="N170" i="3"/>
  <c r="N169" i="3" s="1"/>
  <c r="M170" i="3"/>
  <c r="M169" i="3" s="1"/>
  <c r="O167" i="3"/>
  <c r="O166" i="3" s="1"/>
  <c r="N167" i="3"/>
  <c r="N166" i="3" s="1"/>
  <c r="M167" i="3"/>
  <c r="M166" i="3" s="1"/>
  <c r="O165" i="3"/>
  <c r="O164" i="3" s="1"/>
  <c r="N165" i="3"/>
  <c r="N164" i="3" s="1"/>
  <c r="M165" i="3"/>
  <c r="M164" i="3" s="1"/>
  <c r="O163" i="3"/>
  <c r="O162" i="3" s="1"/>
  <c r="N163" i="3"/>
  <c r="N162" i="3" s="1"/>
  <c r="M163" i="3"/>
  <c r="M162" i="3" s="1"/>
  <c r="O161" i="3"/>
  <c r="O160" i="3" s="1"/>
  <c r="N161" i="3"/>
  <c r="N160" i="3" s="1"/>
  <c r="M161" i="3"/>
  <c r="M160" i="3" s="1"/>
  <c r="O159" i="3"/>
  <c r="O158" i="3" s="1"/>
  <c r="N159" i="3"/>
  <c r="N158" i="3" s="1"/>
  <c r="M159" i="3"/>
  <c r="M158" i="3" s="1"/>
  <c r="O157" i="3"/>
  <c r="O156" i="3" s="1"/>
  <c r="N157" i="3"/>
  <c r="N156" i="3" s="1"/>
  <c r="M157" i="3"/>
  <c r="M156" i="3" s="1"/>
  <c r="O155" i="3"/>
  <c r="O154" i="3" s="1"/>
  <c r="N155" i="3"/>
  <c r="N154" i="3" s="1"/>
  <c r="M155" i="3"/>
  <c r="M154" i="3" s="1"/>
  <c r="O152" i="3"/>
  <c r="N152" i="3"/>
  <c r="N151" i="3" s="1"/>
  <c r="M152" i="3"/>
  <c r="M151" i="3" s="1"/>
  <c r="C148" i="3"/>
  <c r="O177" i="19"/>
  <c r="O176" i="19" s="1"/>
  <c r="N177" i="19"/>
  <c r="N176" i="19" s="1"/>
  <c r="M177" i="19"/>
  <c r="M176" i="19" s="1"/>
  <c r="O175" i="19"/>
  <c r="O174" i="19" s="1"/>
  <c r="N175" i="19"/>
  <c r="N174" i="19" s="1"/>
  <c r="M175" i="19"/>
  <c r="M174" i="19" s="1"/>
  <c r="O172" i="19"/>
  <c r="O171" i="19" s="1"/>
  <c r="N172" i="19"/>
  <c r="N171" i="19" s="1"/>
  <c r="M172" i="19"/>
  <c r="M171" i="19" s="1"/>
  <c r="O170" i="19"/>
  <c r="O169" i="19" s="1"/>
  <c r="N170" i="19"/>
  <c r="N169" i="19" s="1"/>
  <c r="M170" i="19"/>
  <c r="M169" i="19" s="1"/>
  <c r="O167" i="19"/>
  <c r="O166" i="19" s="1"/>
  <c r="N167" i="19"/>
  <c r="N166" i="19" s="1"/>
  <c r="M167" i="19"/>
  <c r="M166" i="19" s="1"/>
  <c r="O165" i="19"/>
  <c r="O164" i="19" s="1"/>
  <c r="N165" i="19"/>
  <c r="N164" i="19" s="1"/>
  <c r="M165" i="19"/>
  <c r="M164" i="19" s="1"/>
  <c r="O163" i="19"/>
  <c r="O162" i="19" s="1"/>
  <c r="N163" i="19"/>
  <c r="N162" i="19" s="1"/>
  <c r="M163" i="19"/>
  <c r="M162" i="19" s="1"/>
  <c r="O161" i="19"/>
  <c r="O160" i="19" s="1"/>
  <c r="N161" i="19"/>
  <c r="N160" i="19" s="1"/>
  <c r="M161" i="19"/>
  <c r="M160" i="19" s="1"/>
  <c r="O159" i="19"/>
  <c r="O158" i="19" s="1"/>
  <c r="N159" i="19"/>
  <c r="N158" i="19" s="1"/>
  <c r="M159" i="19"/>
  <c r="M158" i="19" s="1"/>
  <c r="O157" i="19"/>
  <c r="O156" i="19" s="1"/>
  <c r="N157" i="19"/>
  <c r="N156" i="19" s="1"/>
  <c r="M157" i="19"/>
  <c r="M156" i="19" s="1"/>
  <c r="O155" i="19"/>
  <c r="O154" i="19" s="1"/>
  <c r="N155" i="19"/>
  <c r="N154" i="19" s="1"/>
  <c r="M155" i="19"/>
  <c r="M154" i="19" s="1"/>
  <c r="O152" i="19"/>
  <c r="O151" i="19" s="1"/>
  <c r="N152" i="19"/>
  <c r="M152" i="19"/>
  <c r="M151" i="19" s="1"/>
  <c r="C148" i="19"/>
  <c r="O177" i="20"/>
  <c r="O176" i="20" s="1"/>
  <c r="N177" i="20"/>
  <c r="N176" i="20" s="1"/>
  <c r="M177" i="20"/>
  <c r="M176" i="20" s="1"/>
  <c r="O175" i="20"/>
  <c r="O174" i="20" s="1"/>
  <c r="N175" i="20"/>
  <c r="N174" i="20" s="1"/>
  <c r="M175" i="20"/>
  <c r="M174" i="20" s="1"/>
  <c r="O172" i="20"/>
  <c r="O171" i="20" s="1"/>
  <c r="N172" i="20"/>
  <c r="N171" i="20" s="1"/>
  <c r="M172" i="20"/>
  <c r="M171" i="20" s="1"/>
  <c r="O170" i="20"/>
  <c r="O169" i="20" s="1"/>
  <c r="N170" i="20"/>
  <c r="N169" i="20" s="1"/>
  <c r="M170" i="20"/>
  <c r="M169" i="20" s="1"/>
  <c r="O167" i="20"/>
  <c r="O166" i="20" s="1"/>
  <c r="N167" i="20"/>
  <c r="N166" i="20" s="1"/>
  <c r="M167" i="20"/>
  <c r="M166" i="20" s="1"/>
  <c r="O165" i="20"/>
  <c r="O164" i="20" s="1"/>
  <c r="N165" i="20"/>
  <c r="N164" i="20" s="1"/>
  <c r="M165" i="20"/>
  <c r="M164" i="20" s="1"/>
  <c r="O163" i="20"/>
  <c r="O162" i="20" s="1"/>
  <c r="N163" i="20"/>
  <c r="N162" i="20" s="1"/>
  <c r="M163" i="20"/>
  <c r="M162" i="20" s="1"/>
  <c r="O161" i="20"/>
  <c r="O160" i="20" s="1"/>
  <c r="N161" i="20"/>
  <c r="N160" i="20" s="1"/>
  <c r="M161" i="20"/>
  <c r="M160" i="20" s="1"/>
  <c r="O159" i="20"/>
  <c r="O158" i="20" s="1"/>
  <c r="N159" i="20"/>
  <c r="N158" i="20" s="1"/>
  <c r="M159" i="20"/>
  <c r="M158" i="20" s="1"/>
  <c r="O157" i="20"/>
  <c r="O156" i="20" s="1"/>
  <c r="N157" i="20"/>
  <c r="N156" i="20" s="1"/>
  <c r="M157" i="20"/>
  <c r="M156" i="20" s="1"/>
  <c r="O155" i="20"/>
  <c r="O154" i="20" s="1"/>
  <c r="N155" i="20"/>
  <c r="N154" i="20" s="1"/>
  <c r="M155" i="20"/>
  <c r="M154" i="20" s="1"/>
  <c r="O152" i="20"/>
  <c r="O151" i="20" s="1"/>
  <c r="N152" i="20"/>
  <c r="N151" i="20" s="1"/>
  <c r="M152" i="20"/>
  <c r="C148" i="20"/>
  <c r="O177" i="21"/>
  <c r="O176" i="21" s="1"/>
  <c r="N177" i="21"/>
  <c r="N176" i="21" s="1"/>
  <c r="M177" i="21"/>
  <c r="M176" i="21" s="1"/>
  <c r="O175" i="21"/>
  <c r="O174" i="21" s="1"/>
  <c r="N175" i="21"/>
  <c r="N174" i="21" s="1"/>
  <c r="M175" i="21"/>
  <c r="M174" i="21" s="1"/>
  <c r="O172" i="21"/>
  <c r="O171" i="21" s="1"/>
  <c r="N172" i="21"/>
  <c r="N171" i="21" s="1"/>
  <c r="M172" i="21"/>
  <c r="M171" i="21" s="1"/>
  <c r="O170" i="21"/>
  <c r="O169" i="21" s="1"/>
  <c r="N170" i="21"/>
  <c r="N169" i="21" s="1"/>
  <c r="M170" i="21"/>
  <c r="M169" i="21" s="1"/>
  <c r="O167" i="21"/>
  <c r="O166" i="21" s="1"/>
  <c r="N167" i="21"/>
  <c r="N166" i="21" s="1"/>
  <c r="M167" i="21"/>
  <c r="M166" i="21" s="1"/>
  <c r="O165" i="21"/>
  <c r="O164" i="21" s="1"/>
  <c r="N165" i="21"/>
  <c r="N164" i="21" s="1"/>
  <c r="M165" i="21"/>
  <c r="M164" i="21" s="1"/>
  <c r="O163" i="21"/>
  <c r="O162" i="21" s="1"/>
  <c r="N163" i="21"/>
  <c r="N162" i="21" s="1"/>
  <c r="M163" i="21"/>
  <c r="M162" i="21" s="1"/>
  <c r="O161" i="21"/>
  <c r="O160" i="21" s="1"/>
  <c r="N161" i="21"/>
  <c r="N160" i="21" s="1"/>
  <c r="M161" i="21"/>
  <c r="M160" i="21" s="1"/>
  <c r="O159" i="21"/>
  <c r="O158" i="21" s="1"/>
  <c r="N159" i="21"/>
  <c r="N158" i="21" s="1"/>
  <c r="M159" i="21"/>
  <c r="M158" i="21" s="1"/>
  <c r="O157" i="21"/>
  <c r="O156" i="21" s="1"/>
  <c r="N157" i="21"/>
  <c r="N156" i="21" s="1"/>
  <c r="M157" i="21"/>
  <c r="M156" i="21" s="1"/>
  <c r="O155" i="21"/>
  <c r="O154" i="21" s="1"/>
  <c r="N155" i="21"/>
  <c r="N154" i="21" s="1"/>
  <c r="M155" i="21"/>
  <c r="M154" i="21" s="1"/>
  <c r="O152" i="21"/>
  <c r="O151" i="21" s="1"/>
  <c r="N152" i="21"/>
  <c r="N151" i="21" s="1"/>
  <c r="M152" i="21"/>
  <c r="M151" i="21" s="1"/>
  <c r="C148" i="21"/>
  <c r="O143" i="2"/>
  <c r="O142" i="2" s="1"/>
  <c r="N143" i="2"/>
  <c r="N142" i="2" s="1"/>
  <c r="M143" i="2"/>
  <c r="M142" i="2" s="1"/>
  <c r="O141" i="2"/>
  <c r="O140" i="2" s="1"/>
  <c r="N141" i="2"/>
  <c r="N140" i="2" s="1"/>
  <c r="M141" i="2"/>
  <c r="M140" i="2" s="1"/>
  <c r="O138" i="2"/>
  <c r="O137" i="2" s="1"/>
  <c r="N138" i="2"/>
  <c r="N137" i="2" s="1"/>
  <c r="M138" i="2"/>
  <c r="M137" i="2" s="1"/>
  <c r="O136" i="2"/>
  <c r="O135" i="2" s="1"/>
  <c r="N136" i="2"/>
  <c r="N135" i="2" s="1"/>
  <c r="M136" i="2"/>
  <c r="M135" i="2" s="1"/>
  <c r="O133" i="2"/>
  <c r="O132" i="2" s="1"/>
  <c r="N133" i="2"/>
  <c r="N132" i="2" s="1"/>
  <c r="M133" i="2"/>
  <c r="M132" i="2" s="1"/>
  <c r="O131" i="2"/>
  <c r="O130" i="2" s="1"/>
  <c r="N131" i="2"/>
  <c r="N130" i="2" s="1"/>
  <c r="M131" i="2"/>
  <c r="M130" i="2" s="1"/>
  <c r="O129" i="2"/>
  <c r="O128" i="2" s="1"/>
  <c r="N129" i="2"/>
  <c r="N128" i="2" s="1"/>
  <c r="M129" i="2"/>
  <c r="M128" i="2" s="1"/>
  <c r="O127" i="2"/>
  <c r="O126" i="2" s="1"/>
  <c r="N127" i="2"/>
  <c r="N126" i="2" s="1"/>
  <c r="M127" i="2"/>
  <c r="M126" i="2" s="1"/>
  <c r="O125" i="2"/>
  <c r="O124" i="2" s="1"/>
  <c r="N125" i="2"/>
  <c r="N124" i="2" s="1"/>
  <c r="M125" i="2"/>
  <c r="M124" i="2" s="1"/>
  <c r="O123" i="2"/>
  <c r="O122" i="2" s="1"/>
  <c r="N123" i="2"/>
  <c r="N122" i="2" s="1"/>
  <c r="M123" i="2"/>
  <c r="M122" i="2" s="1"/>
  <c r="O121" i="2"/>
  <c r="O120" i="2" s="1"/>
  <c r="N121" i="2"/>
  <c r="N120" i="2" s="1"/>
  <c r="M121" i="2"/>
  <c r="M120" i="2" s="1"/>
  <c r="O118" i="2"/>
  <c r="O117" i="2" s="1"/>
  <c r="N118" i="2"/>
  <c r="N117" i="2" s="1"/>
  <c r="M118" i="2"/>
  <c r="C114" i="2"/>
  <c r="O143" i="17"/>
  <c r="O142" i="17" s="1"/>
  <c r="N143" i="17"/>
  <c r="N142" i="17" s="1"/>
  <c r="M143" i="17"/>
  <c r="M142" i="17" s="1"/>
  <c r="O141" i="17"/>
  <c r="O140" i="17" s="1"/>
  <c r="N141" i="17"/>
  <c r="N140" i="17" s="1"/>
  <c r="M141" i="17"/>
  <c r="M140" i="17" s="1"/>
  <c r="O138" i="17"/>
  <c r="O137" i="17" s="1"/>
  <c r="N138" i="17"/>
  <c r="N137" i="17" s="1"/>
  <c r="M138" i="17"/>
  <c r="M137" i="17" s="1"/>
  <c r="O136" i="17"/>
  <c r="O135" i="17" s="1"/>
  <c r="N136" i="17"/>
  <c r="N135" i="17" s="1"/>
  <c r="M136" i="17"/>
  <c r="M135" i="17" s="1"/>
  <c r="O133" i="17"/>
  <c r="O132" i="17" s="1"/>
  <c r="N133" i="17"/>
  <c r="N132" i="17" s="1"/>
  <c r="M133" i="17"/>
  <c r="M132" i="17" s="1"/>
  <c r="O131" i="17"/>
  <c r="O130" i="17" s="1"/>
  <c r="N131" i="17"/>
  <c r="N130" i="17" s="1"/>
  <c r="M131" i="17"/>
  <c r="M130" i="17" s="1"/>
  <c r="O129" i="17"/>
  <c r="O128" i="17" s="1"/>
  <c r="N129" i="17"/>
  <c r="N128" i="17" s="1"/>
  <c r="M129" i="17"/>
  <c r="M128" i="17" s="1"/>
  <c r="O127" i="17"/>
  <c r="O126" i="17" s="1"/>
  <c r="N127" i="17"/>
  <c r="N126" i="17" s="1"/>
  <c r="M127" i="17"/>
  <c r="M126" i="17" s="1"/>
  <c r="O125" i="17"/>
  <c r="O124" i="17" s="1"/>
  <c r="N125" i="17"/>
  <c r="N124" i="17" s="1"/>
  <c r="M125" i="17"/>
  <c r="M124" i="17" s="1"/>
  <c r="O123" i="17"/>
  <c r="O122" i="17" s="1"/>
  <c r="N123" i="17"/>
  <c r="N122" i="17" s="1"/>
  <c r="M123" i="17"/>
  <c r="M122" i="17" s="1"/>
  <c r="O121" i="17"/>
  <c r="O120" i="17" s="1"/>
  <c r="N121" i="17"/>
  <c r="N120" i="17" s="1"/>
  <c r="M121" i="17"/>
  <c r="M120" i="17" s="1"/>
  <c r="O118" i="17"/>
  <c r="N118" i="17"/>
  <c r="N117" i="17" s="1"/>
  <c r="M118" i="17"/>
  <c r="M117" i="17" s="1"/>
  <c r="C114" i="17"/>
  <c r="O143" i="18"/>
  <c r="O142" i="18" s="1"/>
  <c r="N143" i="18"/>
  <c r="N142" i="18" s="1"/>
  <c r="M143" i="18"/>
  <c r="M142" i="18" s="1"/>
  <c r="O141" i="18"/>
  <c r="O140" i="18" s="1"/>
  <c r="N141" i="18"/>
  <c r="N140" i="18" s="1"/>
  <c r="M141" i="18"/>
  <c r="M140" i="18" s="1"/>
  <c r="M146" i="18" s="1"/>
  <c r="O138" i="18"/>
  <c r="O137" i="18" s="1"/>
  <c r="N138" i="18"/>
  <c r="N137" i="18" s="1"/>
  <c r="M138" i="18"/>
  <c r="M137" i="18" s="1"/>
  <c r="O136" i="18"/>
  <c r="O135" i="18" s="1"/>
  <c r="N136" i="18"/>
  <c r="N135" i="18" s="1"/>
  <c r="M136" i="18"/>
  <c r="M135" i="18" s="1"/>
  <c r="O133" i="18"/>
  <c r="O132" i="18" s="1"/>
  <c r="N133" i="18"/>
  <c r="N132" i="18" s="1"/>
  <c r="M133" i="18"/>
  <c r="M132" i="18" s="1"/>
  <c r="O131" i="18"/>
  <c r="O130" i="18" s="1"/>
  <c r="N131" i="18"/>
  <c r="N130" i="18" s="1"/>
  <c r="M131" i="18"/>
  <c r="M130" i="18" s="1"/>
  <c r="O129" i="18"/>
  <c r="O128" i="18" s="1"/>
  <c r="N129" i="18"/>
  <c r="N128" i="18" s="1"/>
  <c r="M129" i="18"/>
  <c r="M128" i="18" s="1"/>
  <c r="O127" i="18"/>
  <c r="O126" i="18" s="1"/>
  <c r="N127" i="18"/>
  <c r="N126" i="18" s="1"/>
  <c r="M127" i="18"/>
  <c r="M126" i="18" s="1"/>
  <c r="O125" i="18"/>
  <c r="O124" i="18" s="1"/>
  <c r="N125" i="18"/>
  <c r="N124" i="18" s="1"/>
  <c r="M125" i="18"/>
  <c r="M124" i="18" s="1"/>
  <c r="O123" i="18"/>
  <c r="O122" i="18" s="1"/>
  <c r="N123" i="18"/>
  <c r="N122" i="18" s="1"/>
  <c r="M123" i="18"/>
  <c r="M122" i="18" s="1"/>
  <c r="O121" i="18"/>
  <c r="O120" i="18" s="1"/>
  <c r="N121" i="18"/>
  <c r="N120" i="18" s="1"/>
  <c r="M121" i="18"/>
  <c r="M120" i="18" s="1"/>
  <c r="O118" i="18"/>
  <c r="O117" i="18" s="1"/>
  <c r="N118" i="18"/>
  <c r="N117" i="18" s="1"/>
  <c r="M118" i="18"/>
  <c r="C114" i="18"/>
  <c r="O143" i="3"/>
  <c r="O142" i="3" s="1"/>
  <c r="N143" i="3"/>
  <c r="N142" i="3" s="1"/>
  <c r="M143" i="3"/>
  <c r="M142" i="3" s="1"/>
  <c r="O141" i="3"/>
  <c r="O140" i="3" s="1"/>
  <c r="N141" i="3"/>
  <c r="N140" i="3" s="1"/>
  <c r="M141" i="3"/>
  <c r="M140" i="3" s="1"/>
  <c r="O138" i="3"/>
  <c r="O137" i="3" s="1"/>
  <c r="N138" i="3"/>
  <c r="N137" i="3" s="1"/>
  <c r="M138" i="3"/>
  <c r="M137" i="3" s="1"/>
  <c r="O136" i="3"/>
  <c r="O135" i="3" s="1"/>
  <c r="N136" i="3"/>
  <c r="N135" i="3" s="1"/>
  <c r="M136" i="3"/>
  <c r="M135" i="3" s="1"/>
  <c r="O133" i="3"/>
  <c r="O132" i="3" s="1"/>
  <c r="N133" i="3"/>
  <c r="N132" i="3" s="1"/>
  <c r="M133" i="3"/>
  <c r="M132" i="3" s="1"/>
  <c r="O131" i="3"/>
  <c r="O130" i="3" s="1"/>
  <c r="N131" i="3"/>
  <c r="N130" i="3" s="1"/>
  <c r="M131" i="3"/>
  <c r="M130" i="3" s="1"/>
  <c r="O129" i="3"/>
  <c r="O128" i="3" s="1"/>
  <c r="N129" i="3"/>
  <c r="N128" i="3" s="1"/>
  <c r="M129" i="3"/>
  <c r="M128" i="3" s="1"/>
  <c r="O127" i="3"/>
  <c r="O126" i="3" s="1"/>
  <c r="N127" i="3"/>
  <c r="N126" i="3" s="1"/>
  <c r="M127" i="3"/>
  <c r="M126" i="3" s="1"/>
  <c r="O125" i="3"/>
  <c r="O124" i="3" s="1"/>
  <c r="N125" i="3"/>
  <c r="N124" i="3" s="1"/>
  <c r="M125" i="3"/>
  <c r="M124" i="3" s="1"/>
  <c r="O123" i="3"/>
  <c r="O122" i="3" s="1"/>
  <c r="N123" i="3"/>
  <c r="N122" i="3" s="1"/>
  <c r="M123" i="3"/>
  <c r="M122" i="3" s="1"/>
  <c r="O121" i="3"/>
  <c r="O120" i="3" s="1"/>
  <c r="N121" i="3"/>
  <c r="N120" i="3" s="1"/>
  <c r="M121" i="3"/>
  <c r="M120" i="3" s="1"/>
  <c r="O118" i="3"/>
  <c r="O117" i="3" s="1"/>
  <c r="N118" i="3"/>
  <c r="N117" i="3" s="1"/>
  <c r="M118" i="3"/>
  <c r="M117" i="3" s="1"/>
  <c r="C114" i="3"/>
  <c r="O143" i="19"/>
  <c r="O142" i="19" s="1"/>
  <c r="N143" i="19"/>
  <c r="N142" i="19" s="1"/>
  <c r="M143" i="19"/>
  <c r="M142" i="19" s="1"/>
  <c r="O141" i="19"/>
  <c r="O140" i="19" s="1"/>
  <c r="N141" i="19"/>
  <c r="N140" i="19" s="1"/>
  <c r="M141" i="19"/>
  <c r="M140" i="19" s="1"/>
  <c r="O138" i="19"/>
  <c r="O137" i="19" s="1"/>
  <c r="N138" i="19"/>
  <c r="N137" i="19" s="1"/>
  <c r="M138" i="19"/>
  <c r="M137" i="19" s="1"/>
  <c r="O136" i="19"/>
  <c r="O135" i="19" s="1"/>
  <c r="N136" i="19"/>
  <c r="N135" i="19" s="1"/>
  <c r="M136" i="19"/>
  <c r="M135" i="19" s="1"/>
  <c r="O133" i="19"/>
  <c r="O132" i="19" s="1"/>
  <c r="N133" i="19"/>
  <c r="N132" i="19" s="1"/>
  <c r="M133" i="19"/>
  <c r="M132" i="19" s="1"/>
  <c r="O131" i="19"/>
  <c r="O130" i="19" s="1"/>
  <c r="N131" i="19"/>
  <c r="N130" i="19" s="1"/>
  <c r="M131" i="19"/>
  <c r="M130" i="19" s="1"/>
  <c r="O129" i="19"/>
  <c r="O128" i="19" s="1"/>
  <c r="N129" i="19"/>
  <c r="N128" i="19" s="1"/>
  <c r="M129" i="19"/>
  <c r="M128" i="19" s="1"/>
  <c r="O127" i="19"/>
  <c r="O126" i="19" s="1"/>
  <c r="N127" i="19"/>
  <c r="N126" i="19" s="1"/>
  <c r="M127" i="19"/>
  <c r="M126" i="19" s="1"/>
  <c r="O125" i="19"/>
  <c r="O124" i="19" s="1"/>
  <c r="N125" i="19"/>
  <c r="N124" i="19" s="1"/>
  <c r="M125" i="19"/>
  <c r="M124" i="19" s="1"/>
  <c r="O123" i="19"/>
  <c r="O122" i="19" s="1"/>
  <c r="N123" i="19"/>
  <c r="N122" i="19" s="1"/>
  <c r="M123" i="19"/>
  <c r="M122" i="19" s="1"/>
  <c r="O121" i="19"/>
  <c r="O120" i="19" s="1"/>
  <c r="N121" i="19"/>
  <c r="N120" i="19" s="1"/>
  <c r="M121" i="19"/>
  <c r="M120" i="19" s="1"/>
  <c r="O118" i="19"/>
  <c r="N118" i="19"/>
  <c r="M118" i="19"/>
  <c r="M117" i="19" s="1"/>
  <c r="C114" i="19"/>
  <c r="O143" i="20"/>
  <c r="O142" i="20" s="1"/>
  <c r="N143" i="20"/>
  <c r="N142" i="20" s="1"/>
  <c r="M143" i="20"/>
  <c r="M142" i="20" s="1"/>
  <c r="O141" i="20"/>
  <c r="O140" i="20" s="1"/>
  <c r="N141" i="20"/>
  <c r="N140" i="20" s="1"/>
  <c r="M141" i="20"/>
  <c r="M140" i="20" s="1"/>
  <c r="O138" i="20"/>
  <c r="O137" i="20" s="1"/>
  <c r="N138" i="20"/>
  <c r="N137" i="20" s="1"/>
  <c r="M138" i="20"/>
  <c r="M137" i="20" s="1"/>
  <c r="O136" i="20"/>
  <c r="O135" i="20" s="1"/>
  <c r="N136" i="20"/>
  <c r="N135" i="20" s="1"/>
  <c r="M136" i="20"/>
  <c r="M135" i="20" s="1"/>
  <c r="O133" i="20"/>
  <c r="O132" i="20" s="1"/>
  <c r="N133" i="20"/>
  <c r="N132" i="20" s="1"/>
  <c r="M133" i="20"/>
  <c r="M132" i="20" s="1"/>
  <c r="O131" i="20"/>
  <c r="O130" i="20" s="1"/>
  <c r="N131" i="20"/>
  <c r="N130" i="20" s="1"/>
  <c r="M131" i="20"/>
  <c r="M130" i="20" s="1"/>
  <c r="O129" i="20"/>
  <c r="O128" i="20" s="1"/>
  <c r="N129" i="20"/>
  <c r="N128" i="20" s="1"/>
  <c r="M129" i="20"/>
  <c r="M128" i="20" s="1"/>
  <c r="O127" i="20"/>
  <c r="O126" i="20" s="1"/>
  <c r="N127" i="20"/>
  <c r="N126" i="20" s="1"/>
  <c r="M127" i="20"/>
  <c r="M126" i="20" s="1"/>
  <c r="O125" i="20"/>
  <c r="O124" i="20" s="1"/>
  <c r="N125" i="20"/>
  <c r="N124" i="20" s="1"/>
  <c r="M125" i="20"/>
  <c r="M124" i="20" s="1"/>
  <c r="O123" i="20"/>
  <c r="O122" i="20" s="1"/>
  <c r="N123" i="20"/>
  <c r="N122" i="20" s="1"/>
  <c r="M123" i="20"/>
  <c r="M122" i="20" s="1"/>
  <c r="O121" i="20"/>
  <c r="O120" i="20" s="1"/>
  <c r="N121" i="20"/>
  <c r="N120" i="20" s="1"/>
  <c r="M121" i="20"/>
  <c r="M120" i="20" s="1"/>
  <c r="O118" i="20"/>
  <c r="O117" i="20" s="1"/>
  <c r="N118" i="20"/>
  <c r="M118" i="20"/>
  <c r="M117" i="20" s="1"/>
  <c r="C114" i="20"/>
  <c r="O143" i="21"/>
  <c r="O142" i="21" s="1"/>
  <c r="N143" i="21"/>
  <c r="N142" i="21" s="1"/>
  <c r="M143" i="21"/>
  <c r="M142" i="21" s="1"/>
  <c r="O141" i="21"/>
  <c r="O140" i="21" s="1"/>
  <c r="N141" i="21"/>
  <c r="N140" i="21" s="1"/>
  <c r="M141" i="21"/>
  <c r="M140" i="21" s="1"/>
  <c r="O138" i="21"/>
  <c r="O137" i="21" s="1"/>
  <c r="N138" i="21"/>
  <c r="N137" i="21" s="1"/>
  <c r="M138" i="21"/>
  <c r="M137" i="21" s="1"/>
  <c r="O136" i="21"/>
  <c r="O135" i="21" s="1"/>
  <c r="N136" i="21"/>
  <c r="N135" i="21" s="1"/>
  <c r="M136" i="21"/>
  <c r="M135" i="21" s="1"/>
  <c r="O133" i="21"/>
  <c r="O132" i="21" s="1"/>
  <c r="N133" i="21"/>
  <c r="N132" i="21" s="1"/>
  <c r="M133" i="21"/>
  <c r="M132" i="21" s="1"/>
  <c r="O131" i="21"/>
  <c r="O130" i="21" s="1"/>
  <c r="N131" i="21"/>
  <c r="N130" i="21" s="1"/>
  <c r="M131" i="21"/>
  <c r="M130" i="21" s="1"/>
  <c r="O129" i="21"/>
  <c r="O128" i="21" s="1"/>
  <c r="N129" i="21"/>
  <c r="N128" i="21" s="1"/>
  <c r="M129" i="21"/>
  <c r="M128" i="21" s="1"/>
  <c r="O127" i="21"/>
  <c r="O126" i="21" s="1"/>
  <c r="N127" i="21"/>
  <c r="N126" i="21" s="1"/>
  <c r="M127" i="21"/>
  <c r="M126" i="21" s="1"/>
  <c r="O125" i="21"/>
  <c r="O124" i="21" s="1"/>
  <c r="N125" i="21"/>
  <c r="N124" i="21" s="1"/>
  <c r="M125" i="21"/>
  <c r="M124" i="21" s="1"/>
  <c r="O123" i="21"/>
  <c r="O122" i="21" s="1"/>
  <c r="N123" i="21"/>
  <c r="N122" i="21" s="1"/>
  <c r="M123" i="21"/>
  <c r="M122" i="21" s="1"/>
  <c r="O121" i="21"/>
  <c r="O120" i="21" s="1"/>
  <c r="N121" i="21"/>
  <c r="N120" i="21" s="1"/>
  <c r="M121" i="21"/>
  <c r="M120" i="21" s="1"/>
  <c r="O118" i="21"/>
  <c r="N118" i="21"/>
  <c r="N117" i="21" s="1"/>
  <c r="M118" i="21"/>
  <c r="C114" i="21"/>
  <c r="F22" i="20"/>
  <c r="E22" i="20"/>
  <c r="D22" i="20"/>
  <c r="B1" i="21"/>
  <c r="C80" i="21" s="1"/>
  <c r="B1" i="20"/>
  <c r="C80" i="20" s="1"/>
  <c r="B1" i="19"/>
  <c r="C80" i="19" s="1"/>
  <c r="B1" i="3"/>
  <c r="C80" i="3" s="1"/>
  <c r="B1" i="18"/>
  <c r="C80" i="18" s="1"/>
  <c r="B1" i="17"/>
  <c r="C80" i="17" s="1"/>
  <c r="B1" i="2"/>
  <c r="C80" i="2" s="1"/>
  <c r="F71" i="69" l="1"/>
  <c r="E27" i="79" s="1"/>
  <c r="I16" i="69"/>
  <c r="H29" i="79" s="1"/>
  <c r="H69" i="69"/>
  <c r="G25" i="79" s="1"/>
  <c r="G26" i="79"/>
  <c r="N16" i="79" s="1"/>
  <c r="F16" i="69"/>
  <c r="F17" i="69" s="1"/>
  <c r="O17" i="79"/>
  <c r="O19" i="79" s="1"/>
  <c r="H98" i="51"/>
  <c r="G15" i="79"/>
  <c r="F20" i="51"/>
  <c r="E17" i="79"/>
  <c r="I3" i="51"/>
  <c r="I23" i="51"/>
  <c r="I5" i="51" s="1"/>
  <c r="I23" i="78" s="1"/>
  <c r="I21" i="51"/>
  <c r="G69" i="69"/>
  <c r="F25" i="79" s="1"/>
  <c r="M15" i="79" s="1"/>
  <c r="F26" i="79"/>
  <c r="M16" i="79" s="1"/>
  <c r="F14" i="79"/>
  <c r="M14" i="79" s="1"/>
  <c r="G101" i="51"/>
  <c r="E16" i="69"/>
  <c r="E3" i="69" s="1"/>
  <c r="D71" i="69"/>
  <c r="D16" i="69" s="1"/>
  <c r="D3" i="69" s="1"/>
  <c r="C29" i="79" s="1"/>
  <c r="E3" i="51"/>
  <c r="E21" i="51"/>
  <c r="E23" i="51"/>
  <c r="E5" i="51" s="1"/>
  <c r="E23" i="78" s="1"/>
  <c r="D101" i="51"/>
  <c r="C17" i="79" s="1"/>
  <c r="F32" i="78"/>
  <c r="F33" i="78" s="1"/>
  <c r="D13" i="78"/>
  <c r="G31" i="78"/>
  <c r="H31" i="78"/>
  <c r="F13" i="78"/>
  <c r="D33" i="78"/>
  <c r="G35" i="69"/>
  <c r="G8" i="69" s="1"/>
  <c r="H35" i="69"/>
  <c r="H8" i="69" s="1"/>
  <c r="F18" i="69"/>
  <c r="G22" i="51"/>
  <c r="G75" i="69"/>
  <c r="G82" i="69"/>
  <c r="D18" i="69"/>
  <c r="O146" i="18"/>
  <c r="O180" i="20"/>
  <c r="H22" i="51"/>
  <c r="H75" i="69"/>
  <c r="H82" i="69"/>
  <c r="N146" i="2"/>
  <c r="N218" i="20"/>
  <c r="N145" i="21"/>
  <c r="O146" i="21"/>
  <c r="O146" i="3"/>
  <c r="N146" i="18"/>
  <c r="N180" i="18"/>
  <c r="O218" i="17"/>
  <c r="O218" i="2"/>
  <c r="N146" i="17"/>
  <c r="N180" i="17"/>
  <c r="F19" i="69"/>
  <c r="M146" i="19"/>
  <c r="M180" i="18"/>
  <c r="N218" i="18"/>
  <c r="M146" i="21"/>
  <c r="O146" i="2"/>
  <c r="N180" i="21"/>
  <c r="M180" i="17"/>
  <c r="M218" i="21"/>
  <c r="O145" i="21"/>
  <c r="O218" i="20"/>
  <c r="N146" i="19"/>
  <c r="O180" i="3"/>
  <c r="O218" i="21"/>
  <c r="N218" i="17"/>
  <c r="N218" i="2"/>
  <c r="M146" i="17"/>
  <c r="O218" i="19"/>
  <c r="O179" i="2"/>
  <c r="O145" i="2"/>
  <c r="M180" i="19"/>
  <c r="N217" i="2"/>
  <c r="M180" i="20"/>
  <c r="N179" i="2"/>
  <c r="N218" i="21"/>
  <c r="O217" i="2"/>
  <c r="N146" i="20"/>
  <c r="O217" i="19"/>
  <c r="O218" i="18"/>
  <c r="N145" i="2"/>
  <c r="N179" i="21"/>
  <c r="H6" i="68"/>
  <c r="H19" i="78"/>
  <c r="M179" i="17"/>
  <c r="M218" i="19"/>
  <c r="M217" i="18"/>
  <c r="N217" i="17"/>
  <c r="M179" i="18"/>
  <c r="M217" i="17"/>
  <c r="O145" i="20"/>
  <c r="M146" i="20"/>
  <c r="M145" i="19"/>
  <c r="N146" i="3"/>
  <c r="N180" i="19"/>
  <c r="N179" i="17"/>
  <c r="N151" i="17"/>
  <c r="O180" i="17"/>
  <c r="M217" i="21"/>
  <c r="M218" i="3"/>
  <c r="O146" i="17"/>
  <c r="O179" i="20"/>
  <c r="M179" i="3"/>
  <c r="N217" i="20"/>
  <c r="N217" i="18"/>
  <c r="O146" i="19"/>
  <c r="N145" i="3"/>
  <c r="N145" i="18"/>
  <c r="O180" i="21"/>
  <c r="O180" i="18"/>
  <c r="N218" i="3"/>
  <c r="M145" i="17"/>
  <c r="N180" i="3"/>
  <c r="O217" i="20"/>
  <c r="N217" i="19"/>
  <c r="O217" i="3"/>
  <c r="N217" i="21"/>
  <c r="O217" i="17"/>
  <c r="M217" i="3"/>
  <c r="O217" i="18"/>
  <c r="O189" i="18"/>
  <c r="M217" i="2"/>
  <c r="M189" i="2"/>
  <c r="M218" i="2"/>
  <c r="N189" i="21"/>
  <c r="M217" i="19"/>
  <c r="M189" i="19"/>
  <c r="N218" i="19"/>
  <c r="N217" i="3"/>
  <c r="N189" i="3"/>
  <c r="N189" i="18"/>
  <c r="M218" i="17"/>
  <c r="M217" i="20"/>
  <c r="O217" i="21"/>
  <c r="O189" i="21"/>
  <c r="M218" i="20"/>
  <c r="O218" i="3"/>
  <c r="M218" i="18"/>
  <c r="M179" i="21"/>
  <c r="M179" i="19"/>
  <c r="N179" i="3"/>
  <c r="N179" i="20"/>
  <c r="N180" i="20"/>
  <c r="O179" i="19"/>
  <c r="O179" i="18"/>
  <c r="M180" i="21"/>
  <c r="O179" i="21"/>
  <c r="O179" i="3"/>
  <c r="O151" i="3"/>
  <c r="M180" i="2"/>
  <c r="M179" i="20"/>
  <c r="M151" i="20"/>
  <c r="N179" i="19"/>
  <c r="N151" i="19"/>
  <c r="O180" i="19"/>
  <c r="M180" i="3"/>
  <c r="O151" i="18"/>
  <c r="M179" i="2"/>
  <c r="N179" i="18"/>
  <c r="O179" i="17"/>
  <c r="O151" i="17"/>
  <c r="M151" i="2"/>
  <c r="N145" i="19"/>
  <c r="N146" i="21"/>
  <c r="M145" i="20"/>
  <c r="M145" i="3"/>
  <c r="N145" i="20"/>
  <c r="N117" i="20"/>
  <c r="O145" i="19"/>
  <c r="O117" i="19"/>
  <c r="M146" i="3"/>
  <c r="O145" i="3"/>
  <c r="O117" i="21"/>
  <c r="O146" i="20"/>
  <c r="N117" i="19"/>
  <c r="M145" i="18"/>
  <c r="M117" i="18"/>
  <c r="M146" i="2"/>
  <c r="M145" i="21"/>
  <c r="M117" i="21"/>
  <c r="N145" i="17"/>
  <c r="O145" i="17"/>
  <c r="O117" i="17"/>
  <c r="M145" i="2"/>
  <c r="O145" i="18"/>
  <c r="M117" i="2"/>
  <c r="O109" i="2"/>
  <c r="O108" i="2" s="1"/>
  <c r="N109" i="2"/>
  <c r="N108" i="2" s="1"/>
  <c r="M109" i="2"/>
  <c r="M108" i="2" s="1"/>
  <c r="O107" i="2"/>
  <c r="O106" i="2" s="1"/>
  <c r="N107" i="2"/>
  <c r="N106" i="2" s="1"/>
  <c r="M107" i="2"/>
  <c r="M106" i="2" s="1"/>
  <c r="O104" i="2"/>
  <c r="O103" i="2" s="1"/>
  <c r="N104" i="2"/>
  <c r="N103" i="2" s="1"/>
  <c r="M104" i="2"/>
  <c r="M103" i="2" s="1"/>
  <c r="O102" i="2"/>
  <c r="O101" i="2" s="1"/>
  <c r="N102" i="2"/>
  <c r="N101" i="2" s="1"/>
  <c r="M102" i="2"/>
  <c r="M101" i="2" s="1"/>
  <c r="O99" i="2"/>
  <c r="O98" i="2" s="1"/>
  <c r="N99" i="2"/>
  <c r="N98" i="2" s="1"/>
  <c r="M99" i="2"/>
  <c r="M98" i="2" s="1"/>
  <c r="O97" i="2"/>
  <c r="O96" i="2" s="1"/>
  <c r="N97" i="2"/>
  <c r="N96" i="2" s="1"/>
  <c r="M97" i="2"/>
  <c r="M96" i="2" s="1"/>
  <c r="O95" i="2"/>
  <c r="O94" i="2" s="1"/>
  <c r="N95" i="2"/>
  <c r="N94" i="2" s="1"/>
  <c r="M95" i="2"/>
  <c r="M94" i="2" s="1"/>
  <c r="O93" i="2"/>
  <c r="O92" i="2" s="1"/>
  <c r="N93" i="2"/>
  <c r="N92" i="2" s="1"/>
  <c r="M93" i="2"/>
  <c r="M92" i="2" s="1"/>
  <c r="O91" i="2"/>
  <c r="O90" i="2" s="1"/>
  <c r="N91" i="2"/>
  <c r="N90" i="2" s="1"/>
  <c r="M91" i="2"/>
  <c r="M90" i="2" s="1"/>
  <c r="O89" i="2"/>
  <c r="O88" i="2" s="1"/>
  <c r="N89" i="2"/>
  <c r="N88" i="2" s="1"/>
  <c r="M89" i="2"/>
  <c r="M88" i="2" s="1"/>
  <c r="O87" i="2"/>
  <c r="O86" i="2" s="1"/>
  <c r="N87" i="2"/>
  <c r="N86" i="2" s="1"/>
  <c r="M87" i="2"/>
  <c r="M86" i="2" s="1"/>
  <c r="O84" i="2"/>
  <c r="N84" i="2"/>
  <c r="N83" i="2" s="1"/>
  <c r="M84" i="2"/>
  <c r="M83" i="2" s="1"/>
  <c r="O109" i="17"/>
  <c r="O108" i="17" s="1"/>
  <c r="N109" i="17"/>
  <c r="N108" i="17" s="1"/>
  <c r="M109" i="17"/>
  <c r="M108" i="17" s="1"/>
  <c r="O107" i="17"/>
  <c r="O106" i="17" s="1"/>
  <c r="N107" i="17"/>
  <c r="N106" i="17" s="1"/>
  <c r="M107" i="17"/>
  <c r="M106" i="17" s="1"/>
  <c r="O104" i="17"/>
  <c r="O103" i="17" s="1"/>
  <c r="N104" i="17"/>
  <c r="N103" i="17" s="1"/>
  <c r="M104" i="17"/>
  <c r="M103" i="17" s="1"/>
  <c r="O102" i="17"/>
  <c r="O101" i="17" s="1"/>
  <c r="N102" i="17"/>
  <c r="N101" i="17" s="1"/>
  <c r="M102" i="17"/>
  <c r="M101" i="17" s="1"/>
  <c r="O99" i="17"/>
  <c r="O98" i="17" s="1"/>
  <c r="N99" i="17"/>
  <c r="N98" i="17" s="1"/>
  <c r="M99" i="17"/>
  <c r="M98" i="17" s="1"/>
  <c r="O97" i="17"/>
  <c r="O96" i="17" s="1"/>
  <c r="N97" i="17"/>
  <c r="N96" i="17" s="1"/>
  <c r="M97" i="17"/>
  <c r="M96" i="17" s="1"/>
  <c r="O95" i="17"/>
  <c r="O94" i="17" s="1"/>
  <c r="N95" i="17"/>
  <c r="N94" i="17" s="1"/>
  <c r="M95" i="17"/>
  <c r="M94" i="17" s="1"/>
  <c r="O93" i="17"/>
  <c r="O92" i="17" s="1"/>
  <c r="N93" i="17"/>
  <c r="N92" i="17" s="1"/>
  <c r="M93" i="17"/>
  <c r="M92" i="17" s="1"/>
  <c r="O91" i="17"/>
  <c r="O90" i="17" s="1"/>
  <c r="N91" i="17"/>
  <c r="N90" i="17" s="1"/>
  <c r="M91" i="17"/>
  <c r="M90" i="17" s="1"/>
  <c r="O89" i="17"/>
  <c r="O88" i="17" s="1"/>
  <c r="N89" i="17"/>
  <c r="N88" i="17" s="1"/>
  <c r="M89" i="17"/>
  <c r="M88" i="17" s="1"/>
  <c r="O87" i="17"/>
  <c r="O86" i="17" s="1"/>
  <c r="N87" i="17"/>
  <c r="N86" i="17" s="1"/>
  <c r="M87" i="17"/>
  <c r="M86" i="17" s="1"/>
  <c r="O84" i="17"/>
  <c r="N84" i="17"/>
  <c r="N83" i="17" s="1"/>
  <c r="M84" i="17"/>
  <c r="O109" i="18"/>
  <c r="O108" i="18" s="1"/>
  <c r="N109" i="18"/>
  <c r="N108" i="18" s="1"/>
  <c r="M109" i="18"/>
  <c r="M108" i="18" s="1"/>
  <c r="O107" i="18"/>
  <c r="O106" i="18" s="1"/>
  <c r="N107" i="18"/>
  <c r="N106" i="18" s="1"/>
  <c r="M107" i="18"/>
  <c r="M106" i="18" s="1"/>
  <c r="O104" i="18"/>
  <c r="O103" i="18" s="1"/>
  <c r="N104" i="18"/>
  <c r="N103" i="18" s="1"/>
  <c r="M104" i="18"/>
  <c r="M103" i="18" s="1"/>
  <c r="O102" i="18"/>
  <c r="O101" i="18" s="1"/>
  <c r="N102" i="18"/>
  <c r="N101" i="18" s="1"/>
  <c r="M102" i="18"/>
  <c r="M101" i="18" s="1"/>
  <c r="O99" i="18"/>
  <c r="O98" i="18" s="1"/>
  <c r="N99" i="18"/>
  <c r="N98" i="18" s="1"/>
  <c r="M99" i="18"/>
  <c r="M98" i="18" s="1"/>
  <c r="O97" i="18"/>
  <c r="O96" i="18" s="1"/>
  <c r="N97" i="18"/>
  <c r="N96" i="18" s="1"/>
  <c r="M97" i="18"/>
  <c r="M96" i="18" s="1"/>
  <c r="O95" i="18"/>
  <c r="O94" i="18" s="1"/>
  <c r="N95" i="18"/>
  <c r="N94" i="18" s="1"/>
  <c r="M95" i="18"/>
  <c r="M94" i="18" s="1"/>
  <c r="O93" i="18"/>
  <c r="O92" i="18" s="1"/>
  <c r="N93" i="18"/>
  <c r="N92" i="18" s="1"/>
  <c r="M93" i="18"/>
  <c r="M92" i="18" s="1"/>
  <c r="O91" i="18"/>
  <c r="O90" i="18" s="1"/>
  <c r="N91" i="18"/>
  <c r="N90" i="18" s="1"/>
  <c r="M91" i="18"/>
  <c r="M90" i="18" s="1"/>
  <c r="O89" i="18"/>
  <c r="O88" i="18" s="1"/>
  <c r="N89" i="18"/>
  <c r="N88" i="18" s="1"/>
  <c r="M89" i="18"/>
  <c r="M88" i="18" s="1"/>
  <c r="O87" i="18"/>
  <c r="O86" i="18" s="1"/>
  <c r="N87" i="18"/>
  <c r="N86" i="18" s="1"/>
  <c r="M87" i="18"/>
  <c r="M86" i="18" s="1"/>
  <c r="O84" i="18"/>
  <c r="O83" i="18" s="1"/>
  <c r="N84" i="18"/>
  <c r="M84" i="18"/>
  <c r="M83" i="18" s="1"/>
  <c r="O109" i="3"/>
  <c r="O108" i="3" s="1"/>
  <c r="N109" i="3"/>
  <c r="N108" i="3" s="1"/>
  <c r="M109" i="3"/>
  <c r="M108" i="3" s="1"/>
  <c r="O107" i="3"/>
  <c r="O106" i="3" s="1"/>
  <c r="N107" i="3"/>
  <c r="N106" i="3" s="1"/>
  <c r="M107" i="3"/>
  <c r="M106" i="3" s="1"/>
  <c r="O104" i="3"/>
  <c r="O103" i="3" s="1"/>
  <c r="N104" i="3"/>
  <c r="N103" i="3" s="1"/>
  <c r="M104" i="3"/>
  <c r="M103" i="3" s="1"/>
  <c r="O102" i="3"/>
  <c r="O101" i="3" s="1"/>
  <c r="N102" i="3"/>
  <c r="N101" i="3" s="1"/>
  <c r="M102" i="3"/>
  <c r="M101" i="3" s="1"/>
  <c r="O99" i="3"/>
  <c r="O98" i="3" s="1"/>
  <c r="N99" i="3"/>
  <c r="N98" i="3" s="1"/>
  <c r="M99" i="3"/>
  <c r="M98" i="3" s="1"/>
  <c r="O97" i="3"/>
  <c r="O96" i="3" s="1"/>
  <c r="N97" i="3"/>
  <c r="N96" i="3" s="1"/>
  <c r="M97" i="3"/>
  <c r="M96" i="3" s="1"/>
  <c r="O95" i="3"/>
  <c r="O94" i="3" s="1"/>
  <c r="N95" i="3"/>
  <c r="N94" i="3" s="1"/>
  <c r="M95" i="3"/>
  <c r="M94" i="3" s="1"/>
  <c r="O93" i="3"/>
  <c r="O92" i="3" s="1"/>
  <c r="N93" i="3"/>
  <c r="N92" i="3" s="1"/>
  <c r="M93" i="3"/>
  <c r="M92" i="3" s="1"/>
  <c r="O91" i="3"/>
  <c r="O90" i="3" s="1"/>
  <c r="N91" i="3"/>
  <c r="N90" i="3" s="1"/>
  <c r="M91" i="3"/>
  <c r="M90" i="3" s="1"/>
  <c r="O89" i="3"/>
  <c r="O88" i="3" s="1"/>
  <c r="N89" i="3"/>
  <c r="N88" i="3" s="1"/>
  <c r="M89" i="3"/>
  <c r="M88" i="3" s="1"/>
  <c r="O87" i="3"/>
  <c r="O86" i="3" s="1"/>
  <c r="N87" i="3"/>
  <c r="N86" i="3" s="1"/>
  <c r="M87" i="3"/>
  <c r="M86" i="3" s="1"/>
  <c r="O84" i="3"/>
  <c r="O83" i="3" s="1"/>
  <c r="N84" i="3"/>
  <c r="N83" i="3" s="1"/>
  <c r="M84" i="3"/>
  <c r="O109" i="19"/>
  <c r="O108" i="19" s="1"/>
  <c r="N109" i="19"/>
  <c r="N108" i="19" s="1"/>
  <c r="M109" i="19"/>
  <c r="M108" i="19" s="1"/>
  <c r="O107" i="19"/>
  <c r="O106" i="19" s="1"/>
  <c r="N107" i="19"/>
  <c r="N106" i="19" s="1"/>
  <c r="M107" i="19"/>
  <c r="M106" i="19" s="1"/>
  <c r="O104" i="19"/>
  <c r="O103" i="19" s="1"/>
  <c r="N104" i="19"/>
  <c r="N103" i="19" s="1"/>
  <c r="M104" i="19"/>
  <c r="M103" i="19" s="1"/>
  <c r="O102" i="19"/>
  <c r="O101" i="19" s="1"/>
  <c r="N102" i="19"/>
  <c r="N101" i="19" s="1"/>
  <c r="M102" i="19"/>
  <c r="M101" i="19" s="1"/>
  <c r="O99" i="19"/>
  <c r="O98" i="19" s="1"/>
  <c r="N99" i="19"/>
  <c r="N98" i="19" s="1"/>
  <c r="M99" i="19"/>
  <c r="M98" i="19" s="1"/>
  <c r="O97" i="19"/>
  <c r="O96" i="19" s="1"/>
  <c r="N97" i="19"/>
  <c r="N96" i="19" s="1"/>
  <c r="M97" i="19"/>
  <c r="M96" i="19" s="1"/>
  <c r="O95" i="19"/>
  <c r="O94" i="19" s="1"/>
  <c r="N95" i="19"/>
  <c r="N94" i="19" s="1"/>
  <c r="M95" i="19"/>
  <c r="M94" i="19" s="1"/>
  <c r="O93" i="19"/>
  <c r="O92" i="19" s="1"/>
  <c r="N93" i="19"/>
  <c r="N92" i="19" s="1"/>
  <c r="M93" i="19"/>
  <c r="M92" i="19" s="1"/>
  <c r="O91" i="19"/>
  <c r="O90" i="19" s="1"/>
  <c r="N91" i="19"/>
  <c r="N90" i="19" s="1"/>
  <c r="M91" i="19"/>
  <c r="M90" i="19" s="1"/>
  <c r="O89" i="19"/>
  <c r="O88" i="19" s="1"/>
  <c r="N89" i="19"/>
  <c r="N88" i="19" s="1"/>
  <c r="M89" i="19"/>
  <c r="M88" i="19" s="1"/>
  <c r="O87" i="19"/>
  <c r="O86" i="19" s="1"/>
  <c r="N87" i="19"/>
  <c r="N86" i="19" s="1"/>
  <c r="M87" i="19"/>
  <c r="M86" i="19" s="1"/>
  <c r="O84" i="19"/>
  <c r="N84" i="19"/>
  <c r="N83" i="19" s="1"/>
  <c r="M84" i="19"/>
  <c r="M83" i="19" s="1"/>
  <c r="O109" i="20"/>
  <c r="O108" i="20" s="1"/>
  <c r="N109" i="20"/>
  <c r="N108" i="20" s="1"/>
  <c r="M109" i="20"/>
  <c r="M108" i="20" s="1"/>
  <c r="O107" i="20"/>
  <c r="O106" i="20" s="1"/>
  <c r="N107" i="20"/>
  <c r="N106" i="20" s="1"/>
  <c r="M107" i="20"/>
  <c r="M106" i="20" s="1"/>
  <c r="O104" i="20"/>
  <c r="O103" i="20" s="1"/>
  <c r="N104" i="20"/>
  <c r="N103" i="20" s="1"/>
  <c r="M104" i="20"/>
  <c r="M103" i="20" s="1"/>
  <c r="O102" i="20"/>
  <c r="O101" i="20" s="1"/>
  <c r="N102" i="20"/>
  <c r="N101" i="20" s="1"/>
  <c r="M102" i="20"/>
  <c r="M101" i="20" s="1"/>
  <c r="O99" i="20"/>
  <c r="O98" i="20" s="1"/>
  <c r="N99" i="20"/>
  <c r="N98" i="20" s="1"/>
  <c r="M99" i="20"/>
  <c r="M98" i="20" s="1"/>
  <c r="O97" i="20"/>
  <c r="O96" i="20" s="1"/>
  <c r="N97" i="20"/>
  <c r="N96" i="20" s="1"/>
  <c r="M97" i="20"/>
  <c r="M96" i="20" s="1"/>
  <c r="O95" i="20"/>
  <c r="O94" i="20" s="1"/>
  <c r="N95" i="20"/>
  <c r="N94" i="20" s="1"/>
  <c r="M95" i="20"/>
  <c r="M94" i="20" s="1"/>
  <c r="O93" i="20"/>
  <c r="O92" i="20" s="1"/>
  <c r="N93" i="20"/>
  <c r="N92" i="20" s="1"/>
  <c r="M93" i="20"/>
  <c r="M92" i="20" s="1"/>
  <c r="O91" i="20"/>
  <c r="O90" i="20" s="1"/>
  <c r="N91" i="20"/>
  <c r="N90" i="20" s="1"/>
  <c r="M91" i="20"/>
  <c r="M90" i="20" s="1"/>
  <c r="O89" i="20"/>
  <c r="O88" i="20" s="1"/>
  <c r="N89" i="20"/>
  <c r="N88" i="20" s="1"/>
  <c r="M89" i="20"/>
  <c r="M88" i="20" s="1"/>
  <c r="O87" i="20"/>
  <c r="O86" i="20" s="1"/>
  <c r="N87" i="20"/>
  <c r="N86" i="20" s="1"/>
  <c r="M87" i="20"/>
  <c r="M86" i="20" s="1"/>
  <c r="O84" i="20"/>
  <c r="N84" i="20"/>
  <c r="M84" i="20"/>
  <c r="M83" i="20" s="1"/>
  <c r="O109" i="21"/>
  <c r="O108" i="21" s="1"/>
  <c r="N109" i="21"/>
  <c r="N108" i="21" s="1"/>
  <c r="M109" i="21"/>
  <c r="M108" i="21" s="1"/>
  <c r="O107" i="21"/>
  <c r="O106" i="21" s="1"/>
  <c r="N107" i="21"/>
  <c r="N106" i="21" s="1"/>
  <c r="M107" i="21"/>
  <c r="M106" i="21" s="1"/>
  <c r="O104" i="21"/>
  <c r="O103" i="21" s="1"/>
  <c r="N104" i="21"/>
  <c r="N103" i="21" s="1"/>
  <c r="M104" i="21"/>
  <c r="M103" i="21" s="1"/>
  <c r="O102" i="21"/>
  <c r="O101" i="21" s="1"/>
  <c r="N102" i="21"/>
  <c r="N101" i="21" s="1"/>
  <c r="M102" i="21"/>
  <c r="M101" i="21" s="1"/>
  <c r="O99" i="21"/>
  <c r="O98" i="21" s="1"/>
  <c r="N99" i="21"/>
  <c r="N98" i="21" s="1"/>
  <c r="M99" i="21"/>
  <c r="M98" i="21" s="1"/>
  <c r="O97" i="21"/>
  <c r="O96" i="21" s="1"/>
  <c r="N97" i="21"/>
  <c r="N96" i="21" s="1"/>
  <c r="M97" i="21"/>
  <c r="M96" i="21" s="1"/>
  <c r="O95" i="21"/>
  <c r="O94" i="21" s="1"/>
  <c r="N95" i="21"/>
  <c r="N94" i="21" s="1"/>
  <c r="M95" i="21"/>
  <c r="M94" i="21" s="1"/>
  <c r="O93" i="21"/>
  <c r="O92" i="21" s="1"/>
  <c r="N93" i="21"/>
  <c r="N92" i="21" s="1"/>
  <c r="M93" i="21"/>
  <c r="M92" i="21" s="1"/>
  <c r="O91" i="21"/>
  <c r="O90" i="21" s="1"/>
  <c r="N91" i="21"/>
  <c r="N90" i="21" s="1"/>
  <c r="M91" i="21"/>
  <c r="M90" i="21" s="1"/>
  <c r="O89" i="21"/>
  <c r="O88" i="21" s="1"/>
  <c r="N89" i="21"/>
  <c r="N88" i="21" s="1"/>
  <c r="M89" i="21"/>
  <c r="M88" i="21" s="1"/>
  <c r="O87" i="21"/>
  <c r="O86" i="21" s="1"/>
  <c r="N87" i="21"/>
  <c r="N86" i="21" s="1"/>
  <c r="M87" i="21"/>
  <c r="M86" i="21" s="1"/>
  <c r="O84" i="21"/>
  <c r="O83" i="21" s="1"/>
  <c r="N84" i="21"/>
  <c r="M84" i="21"/>
  <c r="C18" i="7"/>
  <c r="C17" i="7"/>
  <c r="C16" i="7"/>
  <c r="C5" i="7"/>
  <c r="F3" i="69" l="1"/>
  <c r="E29" i="79" s="1"/>
  <c r="I3" i="69"/>
  <c r="I26" i="78" s="1"/>
  <c r="I19" i="69"/>
  <c r="I5" i="69" s="1"/>
  <c r="I28" i="78" s="1"/>
  <c r="I10" i="78" s="1"/>
  <c r="I17" i="69"/>
  <c r="I4" i="69" s="1"/>
  <c r="I27" i="78" s="1"/>
  <c r="L17" i="79"/>
  <c r="L19" i="79" s="1"/>
  <c r="G71" i="69"/>
  <c r="G16" i="69" s="1"/>
  <c r="H19" i="79"/>
  <c r="H30" i="79" s="1"/>
  <c r="I21" i="78"/>
  <c r="N15" i="79"/>
  <c r="G20" i="51"/>
  <c r="F17" i="79"/>
  <c r="G14" i="79"/>
  <c r="N14" i="79" s="1"/>
  <c r="H101" i="51"/>
  <c r="I4" i="51"/>
  <c r="I22" i="78" s="1"/>
  <c r="I19" i="51"/>
  <c r="I34" i="51" s="1"/>
  <c r="F3" i="51"/>
  <c r="F23" i="51"/>
  <c r="F5" i="51" s="1"/>
  <c r="F23" i="78" s="1"/>
  <c r="F21" i="51"/>
  <c r="H71" i="69"/>
  <c r="E5" i="78"/>
  <c r="C40" i="79"/>
  <c r="E21" i="78"/>
  <c r="D19" i="79"/>
  <c r="E26" i="78"/>
  <c r="D29" i="79"/>
  <c r="I5" i="78"/>
  <c r="F5" i="78"/>
  <c r="E19" i="69"/>
  <c r="E5" i="69" s="1"/>
  <c r="E28" i="78" s="1"/>
  <c r="E10" i="78" s="1"/>
  <c r="E17" i="69"/>
  <c r="E4" i="69" s="1"/>
  <c r="E27" i="78" s="1"/>
  <c r="C27" i="79"/>
  <c r="J17" i="79" s="1"/>
  <c r="J19" i="79" s="1"/>
  <c r="E19" i="51"/>
  <c r="E34" i="51" s="1"/>
  <c r="E4" i="51"/>
  <c r="D20" i="51"/>
  <c r="H32" i="78"/>
  <c r="H33" i="78" s="1"/>
  <c r="G32" i="78"/>
  <c r="G33" i="78" s="1"/>
  <c r="H13" i="78"/>
  <c r="G13" i="78"/>
  <c r="G5" i="78" s="1"/>
  <c r="F4" i="69"/>
  <c r="G18" i="69"/>
  <c r="D17" i="69"/>
  <c r="D4" i="69" s="1"/>
  <c r="D27" i="78" s="1"/>
  <c r="D19" i="69"/>
  <c r="D5" i="69" s="1"/>
  <c r="D26" i="78"/>
  <c r="F5" i="69"/>
  <c r="H18" i="69"/>
  <c r="F15" i="69"/>
  <c r="F30" i="69" s="1"/>
  <c r="O112" i="20"/>
  <c r="M112" i="19"/>
  <c r="N112" i="2"/>
  <c r="O112" i="21"/>
  <c r="O111" i="18"/>
  <c r="N111" i="2"/>
  <c r="N112" i="21"/>
  <c r="O112" i="19"/>
  <c r="M112" i="3"/>
  <c r="N111" i="21"/>
  <c r="M112" i="21"/>
  <c r="O111" i="20"/>
  <c r="N112" i="20"/>
  <c r="O111" i="19"/>
  <c r="M111" i="18"/>
  <c r="N112" i="18"/>
  <c r="M111" i="17"/>
  <c r="O112" i="17"/>
  <c r="O112" i="2"/>
  <c r="M112" i="18"/>
  <c r="N112" i="17"/>
  <c r="M111" i="3"/>
  <c r="O112" i="3"/>
  <c r="M111" i="2"/>
  <c r="O111" i="21"/>
  <c r="M112" i="20"/>
  <c r="M111" i="19"/>
  <c r="N112" i="19"/>
  <c r="N111" i="3"/>
  <c r="M111" i="21"/>
  <c r="N111" i="20"/>
  <c r="M111" i="20"/>
  <c r="N111" i="19"/>
  <c r="O111" i="3"/>
  <c r="N111" i="17"/>
  <c r="O111" i="2"/>
  <c r="M83" i="21"/>
  <c r="N83" i="20"/>
  <c r="O83" i="19"/>
  <c r="M112" i="17"/>
  <c r="N83" i="21"/>
  <c r="O83" i="20"/>
  <c r="M83" i="3"/>
  <c r="O83" i="2"/>
  <c r="O112" i="18"/>
  <c r="N112" i="3"/>
  <c r="N111" i="18"/>
  <c r="N83" i="18"/>
  <c r="M83" i="17"/>
  <c r="O111" i="17"/>
  <c r="O83" i="17"/>
  <c r="M112" i="2"/>
  <c r="F26" i="78" l="1"/>
  <c r="I15" i="69"/>
  <c r="I30" i="69" s="1"/>
  <c r="I24" i="78"/>
  <c r="G3" i="69"/>
  <c r="F29" i="79" s="1"/>
  <c r="G19" i="69"/>
  <c r="G17" i="69"/>
  <c r="G4" i="69" s="1"/>
  <c r="F27" i="79"/>
  <c r="M17" i="79" s="1"/>
  <c r="M19" i="79" s="1"/>
  <c r="I6" i="51"/>
  <c r="G23" i="51"/>
  <c r="G5" i="51" s="1"/>
  <c r="G23" i="78" s="1"/>
  <c r="G21" i="51"/>
  <c r="G4" i="51" s="1"/>
  <c r="G22" i="78" s="1"/>
  <c r="G3" i="51"/>
  <c r="E19" i="79"/>
  <c r="E30" i="79" s="1"/>
  <c r="F21" i="78"/>
  <c r="H20" i="51"/>
  <c r="G17" i="79"/>
  <c r="H16" i="69"/>
  <c r="G27" i="79"/>
  <c r="F4" i="51"/>
  <c r="F19" i="51"/>
  <c r="F34" i="51" s="1"/>
  <c r="D30" i="79"/>
  <c r="H5" i="78"/>
  <c r="G40" i="79"/>
  <c r="E15" i="69"/>
  <c r="E30" i="69" s="1"/>
  <c r="D21" i="51"/>
  <c r="D4" i="51" s="1"/>
  <c r="D22" i="78" s="1"/>
  <c r="D9" i="78" s="1"/>
  <c r="D23" i="51"/>
  <c r="D5" i="51" s="1"/>
  <c r="D23" i="78" s="1"/>
  <c r="D3" i="51"/>
  <c r="C19" i="79" s="1"/>
  <c r="E22" i="78"/>
  <c r="E24" i="78" s="1"/>
  <c r="E6" i="51"/>
  <c r="F27" i="78"/>
  <c r="F28" i="78"/>
  <c r="F10" i="78" s="1"/>
  <c r="D28" i="78"/>
  <c r="D15" i="69"/>
  <c r="D30" i="69" s="1"/>
  <c r="D6" i="69"/>
  <c r="C22" i="24"/>
  <c r="G15" i="69" l="1"/>
  <c r="G30" i="69" s="1"/>
  <c r="G5" i="69"/>
  <c r="G28" i="78" s="1"/>
  <c r="G10" i="78" s="1"/>
  <c r="G19" i="51"/>
  <c r="G34" i="51" s="1"/>
  <c r="G26" i="78"/>
  <c r="F22" i="78"/>
  <c r="F24" i="78" s="1"/>
  <c r="F6" i="51"/>
  <c r="N17" i="79"/>
  <c r="N19" i="79" s="1"/>
  <c r="F19" i="79"/>
  <c r="F30" i="79" s="1"/>
  <c r="G21" i="78"/>
  <c r="G24" i="78" s="1"/>
  <c r="H21" i="51"/>
  <c r="H4" i="51" s="1"/>
  <c r="H22" i="78" s="1"/>
  <c r="H3" i="51"/>
  <c r="H23" i="51"/>
  <c r="H5" i="51" s="1"/>
  <c r="H23" i="78" s="1"/>
  <c r="H3" i="69"/>
  <c r="H17" i="69"/>
  <c r="H19" i="69"/>
  <c r="H5" i="69" s="1"/>
  <c r="H28" i="78" s="1"/>
  <c r="C30" i="79"/>
  <c r="D10" i="78"/>
  <c r="D19" i="51"/>
  <c r="D34" i="51" s="1"/>
  <c r="D21" i="78"/>
  <c r="D6" i="51"/>
  <c r="G27" i="78"/>
  <c r="D29" i="78"/>
  <c r="G6" i="51"/>
  <c r="C29" i="24"/>
  <c r="D29" i="24"/>
  <c r="E29" i="24"/>
  <c r="F29" i="24"/>
  <c r="H10" i="78" l="1"/>
  <c r="G29" i="79"/>
  <c r="H26" i="78"/>
  <c r="H19" i="51"/>
  <c r="H34" i="51" s="1"/>
  <c r="H15" i="69"/>
  <c r="H30" i="69" s="1"/>
  <c r="H4" i="69"/>
  <c r="H27" i="78" s="1"/>
  <c r="G19" i="79"/>
  <c r="H21" i="78"/>
  <c r="H24" i="78" s="1"/>
  <c r="H6" i="51"/>
  <c r="D24" i="78"/>
  <c r="D8" i="78"/>
  <c r="D11" i="78" s="1"/>
  <c r="C49" i="24"/>
  <c r="H26" i="7"/>
  <c r="I26" i="7"/>
  <c r="J26" i="7"/>
  <c r="I25" i="7"/>
  <c r="J25" i="7"/>
  <c r="H25" i="7"/>
  <c r="I24" i="7"/>
  <c r="J24" i="7"/>
  <c r="H24" i="7"/>
  <c r="C39" i="79" l="1"/>
  <c r="C41" i="79" s="1"/>
  <c r="C37" i="79"/>
  <c r="C36" i="79"/>
  <c r="G30" i="79"/>
  <c r="C31" i="79"/>
  <c r="H20" i="7"/>
  <c r="J20" i="7"/>
  <c r="I20" i="7"/>
  <c r="C58" i="24"/>
  <c r="C57" i="24"/>
  <c r="C55" i="24"/>
  <c r="C53" i="24"/>
  <c r="C52" i="24"/>
  <c r="C50" i="24"/>
  <c r="C45" i="24"/>
  <c r="C46" i="24"/>
  <c r="C44" i="24"/>
  <c r="C42" i="24"/>
  <c r="C40" i="24"/>
  <c r="C39" i="24"/>
  <c r="C35" i="24"/>
  <c r="C36" i="24"/>
  <c r="C34" i="24"/>
  <c r="C32" i="24"/>
  <c r="C30" i="24"/>
  <c r="C27" i="24"/>
  <c r="C24" i="24"/>
  <c r="C25" i="24"/>
  <c r="C23" i="24"/>
  <c r="C19" i="24"/>
  <c r="C20" i="24"/>
  <c r="C18" i="24"/>
  <c r="C15" i="24"/>
  <c r="C16" i="24"/>
  <c r="C14" i="24"/>
  <c r="C11" i="24"/>
  <c r="C12" i="24"/>
  <c r="C10" i="24"/>
  <c r="C8" i="24"/>
  <c r="C6" i="24"/>
  <c r="C5" i="24"/>
  <c r="E8" i="25"/>
  <c r="F4" i="25"/>
  <c r="E4" i="25"/>
  <c r="D4" i="25"/>
  <c r="F30" i="24"/>
  <c r="I18" i="25"/>
  <c r="J18" i="25"/>
  <c r="F51" i="18"/>
  <c r="F52" i="18" s="1"/>
  <c r="I59" i="7"/>
  <c r="J59" i="7"/>
  <c r="E25" i="18"/>
  <c r="F25" i="18"/>
  <c r="E43" i="18"/>
  <c r="F43" i="18"/>
  <c r="E44" i="18"/>
  <c r="E30" i="25" s="1"/>
  <c r="F44" i="18"/>
  <c r="F30" i="25" s="1"/>
  <c r="E29" i="21"/>
  <c r="F29" i="21"/>
  <c r="E181" i="19"/>
  <c r="F181" i="19"/>
  <c r="E59" i="7" l="1"/>
  <c r="F32" i="24"/>
  <c r="F59" i="7"/>
  <c r="F27" i="18"/>
  <c r="D8" i="25"/>
  <c r="H11" i="7"/>
  <c r="F8" i="25"/>
  <c r="J11" i="7"/>
  <c r="E8" i="24"/>
  <c r="I11" i="7"/>
  <c r="E11" i="24"/>
  <c r="E30" i="24"/>
  <c r="I23" i="25"/>
  <c r="F23" i="25"/>
  <c r="F27" i="2"/>
  <c r="F33" i="2" s="1"/>
  <c r="E27" i="18"/>
  <c r="E182" i="19"/>
  <c r="E183" i="19" s="1"/>
  <c r="J23" i="25"/>
  <c r="F13" i="19"/>
  <c r="F52" i="24" s="1"/>
  <c r="E23" i="21"/>
  <c r="E58" i="24" s="1"/>
  <c r="J73" i="7"/>
  <c r="F185" i="19"/>
  <c r="F14" i="19"/>
  <c r="F53" i="24" s="1"/>
  <c r="F31" i="3"/>
  <c r="F35" i="3" s="1"/>
  <c r="E33" i="3"/>
  <c r="E37" i="3" s="1"/>
  <c r="E185" i="19"/>
  <c r="F182" i="19"/>
  <c r="F183" i="19" s="1"/>
  <c r="E13" i="19"/>
  <c r="E52" i="24" s="1"/>
  <c r="I72" i="7"/>
  <c r="F24" i="24"/>
  <c r="F23" i="21"/>
  <c r="F58" i="24" s="1"/>
  <c r="E32" i="24"/>
  <c r="E23" i="25"/>
  <c r="E10" i="24"/>
  <c r="F10" i="24"/>
  <c r="F8" i="24"/>
  <c r="E27" i="2"/>
  <c r="E33" i="2" s="1"/>
  <c r="E22" i="2" s="1"/>
  <c r="E39" i="24" s="1"/>
  <c r="F37" i="18"/>
  <c r="F31" i="25" s="1"/>
  <c r="J32" i="25"/>
  <c r="F30" i="2"/>
  <c r="F34" i="2" s="1"/>
  <c r="I73" i="7"/>
  <c r="F181" i="20"/>
  <c r="E181" i="20"/>
  <c r="F32" i="3"/>
  <c r="F36" i="3" s="1"/>
  <c r="F33" i="3"/>
  <c r="F37" i="3" s="1"/>
  <c r="E32" i="3"/>
  <c r="E36" i="3" s="1"/>
  <c r="D10" i="24"/>
  <c r="D44" i="18"/>
  <c r="D30" i="25" s="1"/>
  <c r="D43" i="18"/>
  <c r="J35" i="7" l="1"/>
  <c r="E36" i="24"/>
  <c r="F13" i="18"/>
  <c r="F44" i="24" s="1"/>
  <c r="F36" i="24"/>
  <c r="H59" i="7"/>
  <c r="D59" i="7"/>
  <c r="I67" i="7"/>
  <c r="I8" i="7"/>
  <c r="E19" i="24"/>
  <c r="I68" i="7"/>
  <c r="E12" i="24"/>
  <c r="F22" i="3"/>
  <c r="F49" i="24" s="1"/>
  <c r="F73" i="7"/>
  <c r="I71" i="7"/>
  <c r="E14" i="19"/>
  <c r="E53" i="24" s="1"/>
  <c r="E31" i="3"/>
  <c r="E35" i="3" s="1"/>
  <c r="E22" i="3" s="1"/>
  <c r="E49" i="24" s="1"/>
  <c r="F22" i="2"/>
  <c r="F39" i="24" s="1"/>
  <c r="E37" i="18"/>
  <c r="E15" i="18" s="1"/>
  <c r="E46" i="24" s="1"/>
  <c r="E13" i="18"/>
  <c r="E44" i="24" s="1"/>
  <c r="F60" i="7"/>
  <c r="J60" i="7"/>
  <c r="I66" i="7"/>
  <c r="J57" i="7"/>
  <c r="E29" i="25"/>
  <c r="F14" i="18"/>
  <c r="F45" i="24" s="1"/>
  <c r="F32" i="25"/>
  <c r="F5" i="24"/>
  <c r="F35" i="24"/>
  <c r="F34" i="24"/>
  <c r="J8" i="7"/>
  <c r="E5" i="24"/>
  <c r="D30" i="24"/>
  <c r="F25" i="24"/>
  <c r="F72" i="7"/>
  <c r="F41" i="25"/>
  <c r="E73" i="7"/>
  <c r="E72" i="7"/>
  <c r="J64" i="7"/>
  <c r="I69" i="7"/>
  <c r="E24" i="24"/>
  <c r="E23" i="24"/>
  <c r="E25" i="24"/>
  <c r="F23" i="24"/>
  <c r="J69" i="7"/>
  <c r="D32" i="24"/>
  <c r="H23" i="25"/>
  <c r="D23" i="25"/>
  <c r="F19" i="24"/>
  <c r="F18" i="24"/>
  <c r="F18" i="25"/>
  <c r="E18" i="24"/>
  <c r="E18" i="25"/>
  <c r="F20" i="24"/>
  <c r="E20" i="24"/>
  <c r="J31" i="25"/>
  <c r="E51" i="18"/>
  <c r="E52" i="18" s="1"/>
  <c r="E14" i="18" s="1"/>
  <c r="E45" i="24" s="1"/>
  <c r="I60" i="7"/>
  <c r="E30" i="2"/>
  <c r="E34" i="2" s="1"/>
  <c r="J62" i="7"/>
  <c r="F23" i="2"/>
  <c r="F40" i="24" s="1"/>
  <c r="F15" i="18"/>
  <c r="F46" i="24" s="1"/>
  <c r="J72" i="7"/>
  <c r="J71" i="7" s="1"/>
  <c r="E55" i="24"/>
  <c r="F55" i="24"/>
  <c r="F23" i="3"/>
  <c r="F50" i="24" s="1"/>
  <c r="D37" i="18"/>
  <c r="E23" i="3" l="1"/>
  <c r="E50" i="24" s="1"/>
  <c r="H35" i="7"/>
  <c r="I13" i="7"/>
  <c r="E6" i="24"/>
  <c r="F6" i="24"/>
  <c r="H41" i="7"/>
  <c r="J48" i="7"/>
  <c r="F29" i="25"/>
  <c r="F28" i="25" s="1"/>
  <c r="F25" i="25" s="1"/>
  <c r="I64" i="7"/>
  <c r="F71" i="7"/>
  <c r="E31" i="25"/>
  <c r="E68" i="7"/>
  <c r="J6" i="7"/>
  <c r="I29" i="25"/>
  <c r="F61" i="7"/>
  <c r="J61" i="7"/>
  <c r="J58" i="7" s="1"/>
  <c r="F56" i="7"/>
  <c r="J56" i="7"/>
  <c r="J5" i="7"/>
  <c r="J4" i="7" s="1"/>
  <c r="I5" i="7"/>
  <c r="I35" i="7"/>
  <c r="E61" i="7"/>
  <c r="I61" i="7"/>
  <c r="E66" i="7"/>
  <c r="I70" i="7"/>
  <c r="I65" i="7" s="1"/>
  <c r="J70" i="7"/>
  <c r="J68" i="7"/>
  <c r="I41" i="7"/>
  <c r="J41" i="7"/>
  <c r="J66" i="7"/>
  <c r="F66" i="7"/>
  <c r="F22" i="17"/>
  <c r="F42" i="24" s="1"/>
  <c r="I62" i="7"/>
  <c r="F62" i="7"/>
  <c r="F12" i="24"/>
  <c r="J12" i="7"/>
  <c r="J29" i="25"/>
  <c r="J28" i="25" s="1"/>
  <c r="J25" i="25" s="1"/>
  <c r="E60" i="7"/>
  <c r="E35" i="24"/>
  <c r="E34" i="24"/>
  <c r="F24" i="25"/>
  <c r="F57" i="7"/>
  <c r="F11" i="24"/>
  <c r="E71" i="7"/>
  <c r="I19" i="25"/>
  <c r="I17" i="25" s="1"/>
  <c r="F69" i="7"/>
  <c r="E70" i="7"/>
  <c r="E69" i="7"/>
  <c r="J67" i="7"/>
  <c r="E35" i="25"/>
  <c r="E67" i="7"/>
  <c r="F70" i="7"/>
  <c r="F68" i="7"/>
  <c r="F64" i="7"/>
  <c r="E41" i="25"/>
  <c r="J24" i="25"/>
  <c r="I24" i="25"/>
  <c r="E24" i="25"/>
  <c r="E23" i="2"/>
  <c r="E40" i="24" s="1"/>
  <c r="D31" i="25"/>
  <c r="D15" i="18"/>
  <c r="D46" i="24" s="1"/>
  <c r="D51" i="18"/>
  <c r="D52" i="18" s="1"/>
  <c r="H60" i="7"/>
  <c r="D30" i="2"/>
  <c r="D34" i="2" s="1"/>
  <c r="D181" i="19"/>
  <c r="D13" i="19"/>
  <c r="D52" i="24" s="1"/>
  <c r="I63" i="7" l="1"/>
  <c r="I48" i="7"/>
  <c r="E19" i="25"/>
  <c r="E17" i="25" s="1"/>
  <c r="E64" i="7"/>
  <c r="I31" i="25"/>
  <c r="J55" i="7"/>
  <c r="J65" i="7"/>
  <c r="J63" i="7" s="1"/>
  <c r="E32" i="25"/>
  <c r="E28" i="25" s="1"/>
  <c r="E25" i="25" s="1"/>
  <c r="F4" i="7"/>
  <c r="F58" i="7"/>
  <c r="F55" i="7" s="1"/>
  <c r="E4" i="7"/>
  <c r="I6" i="7"/>
  <c r="I12" i="7"/>
  <c r="I10" i="7" s="1"/>
  <c r="I4" i="7"/>
  <c r="I58" i="7"/>
  <c r="I32" i="25"/>
  <c r="E56" i="7"/>
  <c r="I56" i="7"/>
  <c r="J20" i="25"/>
  <c r="D60" i="7"/>
  <c r="E62" i="7"/>
  <c r="E58" i="7" s="1"/>
  <c r="F19" i="25"/>
  <c r="F17" i="25" s="1"/>
  <c r="F20" i="25"/>
  <c r="E65" i="7"/>
  <c r="F35" i="25"/>
  <c r="F33" i="25" s="1"/>
  <c r="F67" i="7"/>
  <c r="F65" i="7" s="1"/>
  <c r="F63" i="7" s="1"/>
  <c r="E33" i="25"/>
  <c r="I20" i="25"/>
  <c r="I3" i="25" s="1"/>
  <c r="E20" i="25"/>
  <c r="H31" i="25"/>
  <c r="D24" i="25"/>
  <c r="D36" i="24"/>
  <c r="I57" i="7"/>
  <c r="E22" i="17"/>
  <c r="E42" i="24" s="1"/>
  <c r="H61" i="7"/>
  <c r="D185" i="19"/>
  <c r="D14" i="18"/>
  <c r="D45" i="24" s="1"/>
  <c r="D23" i="2"/>
  <c r="D40" i="24" s="1"/>
  <c r="D32" i="3"/>
  <c r="D36" i="3" s="1"/>
  <c r="D182" i="19"/>
  <c r="D183" i="19" s="1"/>
  <c r="D181" i="20"/>
  <c r="D11" i="4"/>
  <c r="E63" i="7" l="1"/>
  <c r="H24" i="25"/>
  <c r="I28" i="25"/>
  <c r="I25" i="25" s="1"/>
  <c r="I45" i="25" s="1"/>
  <c r="E79" i="7" s="1"/>
  <c r="J19" i="25"/>
  <c r="J17" i="25" s="1"/>
  <c r="J3" i="25" s="1"/>
  <c r="J45" i="25" s="1"/>
  <c r="F79" i="7" s="1"/>
  <c r="E10" i="7"/>
  <c r="I55" i="7"/>
  <c r="D61" i="7"/>
  <c r="E57" i="7"/>
  <c r="E55" i="7" s="1"/>
  <c r="D35" i="24"/>
  <c r="D34" i="24"/>
  <c r="J13" i="7"/>
  <c r="J10" i="7" s="1"/>
  <c r="H48" i="7"/>
  <c r="H66" i="7"/>
  <c r="D55" i="24"/>
  <c r="H32" i="25"/>
  <c r="D32" i="25"/>
  <c r="D31" i="3"/>
  <c r="D35" i="3" s="1"/>
  <c r="D29" i="21"/>
  <c r="D62" i="7" l="1"/>
  <c r="D58" i="7" s="1"/>
  <c r="H62" i="7"/>
  <c r="H58" i="7" s="1"/>
  <c r="H70" i="7"/>
  <c r="F10" i="7"/>
  <c r="D70" i="7"/>
  <c r="D66" i="7"/>
  <c r="H67" i="7"/>
  <c r="H72" i="7"/>
  <c r="D25" i="18"/>
  <c r="D27" i="18" s="1"/>
  <c r="H68" i="7" l="1"/>
  <c r="D67" i="7"/>
  <c r="D68" i="7"/>
  <c r="D72" i="7"/>
  <c r="D13" i="18"/>
  <c r="D44" i="24" s="1"/>
  <c r="F11" i="4" l="1"/>
  <c r="G9" i="4" s="1"/>
  <c r="G10" i="4" s="1"/>
  <c r="E4" i="4"/>
  <c r="E5" i="4" s="1"/>
  <c r="E6" i="4" s="1"/>
  <c r="E7" i="4" s="1"/>
  <c r="E8" i="4" s="1"/>
  <c r="D12" i="4"/>
  <c r="F10" i="4"/>
  <c r="E9" i="4" l="1"/>
  <c r="E10" i="4" s="1"/>
  <c r="E11" i="4"/>
  <c r="H29" i="25"/>
  <c r="H28" i="25" s="1"/>
  <c r="H25" i="25" s="1"/>
  <c r="D29" i="25"/>
  <c r="D28" i="25" s="1"/>
  <c r="D25" i="25" s="1"/>
  <c r="E30" i="21" l="1"/>
  <c r="E22" i="21" s="1"/>
  <c r="E57" i="24" s="1"/>
  <c r="F30" i="21"/>
  <c r="F22" i="21" s="1"/>
  <c r="F57" i="24" s="1"/>
  <c r="D30" i="21"/>
  <c r="D22" i="21" s="1"/>
  <c r="D57" i="24" s="1"/>
  <c r="D27" i="2"/>
  <c r="D8" i="24" l="1"/>
  <c r="D33" i="2"/>
  <c r="J17" i="7" l="1"/>
  <c r="E16" i="24"/>
  <c r="F16" i="24"/>
  <c r="I17" i="7"/>
  <c r="D22" i="2"/>
  <c r="D39" i="24" s="1"/>
  <c r="H73" i="7"/>
  <c r="H71" i="7" s="1"/>
  <c r="D23" i="21"/>
  <c r="D58" i="24" s="1"/>
  <c r="D14" i="19"/>
  <c r="D53" i="24" s="1"/>
  <c r="D12" i="24"/>
  <c r="D14" i="24"/>
  <c r="D16" i="24"/>
  <c r="D33" i="3"/>
  <c r="D37" i="3" s="1"/>
  <c r="D22" i="3" s="1"/>
  <c r="D49" i="24" s="1"/>
  <c r="D56" i="7" l="1"/>
  <c r="H56" i="7"/>
  <c r="E14" i="24"/>
  <c r="D5" i="24"/>
  <c r="H6" i="7"/>
  <c r="D6" i="24"/>
  <c r="F14" i="24"/>
  <c r="D41" i="25"/>
  <c r="D73" i="7"/>
  <c r="D71" i="7" s="1"/>
  <c r="H57" i="7"/>
  <c r="D22" i="17"/>
  <c r="D42" i="24" s="1"/>
  <c r="H69" i="7"/>
  <c r="H65" i="7" s="1"/>
  <c r="H64" i="7"/>
  <c r="D23" i="3"/>
  <c r="D50" i="24" s="1"/>
  <c r="H16" i="7"/>
  <c r="H8" i="7"/>
  <c r="H17" i="7"/>
  <c r="H63" i="7" l="1"/>
  <c r="J16" i="7"/>
  <c r="I16" i="7"/>
  <c r="D11" i="24"/>
  <c r="H31" i="7"/>
  <c r="H55" i="7"/>
  <c r="H5" i="7"/>
  <c r="H4" i="7" s="1"/>
  <c r="D57" i="7"/>
  <c r="D55" i="7" s="1"/>
  <c r="I18" i="7"/>
  <c r="D64" i="7"/>
  <c r="D35" i="25"/>
  <c r="D33" i="25" s="1"/>
  <c r="D69" i="7"/>
  <c r="D65" i="7" s="1"/>
  <c r="H12" i="7"/>
  <c r="E15" i="24"/>
  <c r="F15" i="24"/>
  <c r="D15" i="24"/>
  <c r="H18" i="25"/>
  <c r="D27" i="24"/>
  <c r="J18" i="7" l="1"/>
  <c r="J15" i="7" s="1"/>
  <c r="D4" i="7"/>
  <c r="I15" i="7"/>
  <c r="E12" i="25"/>
  <c r="F12" i="25"/>
  <c r="D63" i="7"/>
  <c r="E27" i="24"/>
  <c r="I31" i="7"/>
  <c r="I3" i="7" s="1"/>
  <c r="I81" i="7" s="1"/>
  <c r="H13" i="7"/>
  <c r="H10" i="7" s="1"/>
  <c r="J31" i="7"/>
  <c r="F27" i="24"/>
  <c r="D20" i="24"/>
  <c r="D18" i="24"/>
  <c r="D25" i="24"/>
  <c r="D24" i="24"/>
  <c r="D23" i="24"/>
  <c r="D19" i="24"/>
  <c r="H18" i="7"/>
  <c r="H15" i="7" s="1"/>
  <c r="D19" i="25" l="1"/>
  <c r="F15" i="7"/>
  <c r="H3" i="7"/>
  <c r="H81" i="7" s="1"/>
  <c r="J3" i="7"/>
  <c r="J81" i="7" s="1"/>
  <c r="D10" i="7"/>
  <c r="E15" i="7"/>
  <c r="D18" i="25"/>
  <c r="D12" i="25"/>
  <c r="D15" i="7"/>
  <c r="F3" i="25"/>
  <c r="F45" i="25" s="1"/>
  <c r="F76" i="7" s="1"/>
  <c r="E3" i="25"/>
  <c r="E45" i="25" s="1"/>
  <c r="E76" i="7" s="1"/>
  <c r="F3" i="7" l="1"/>
  <c r="F75" i="7" s="1"/>
  <c r="F77" i="7" s="1"/>
  <c r="E3" i="7"/>
  <c r="E75" i="7" s="1"/>
  <c r="E77" i="7" s="1"/>
  <c r="D3" i="7"/>
  <c r="D75" i="7" s="1"/>
  <c r="H19" i="25"/>
  <c r="H17" i="25" s="1"/>
  <c r="D17" i="25"/>
  <c r="D20" i="25"/>
  <c r="H20" i="25"/>
  <c r="H3" i="25" l="1"/>
  <c r="H45" i="25" s="1"/>
  <c r="D79" i="7" s="1"/>
  <c r="D3" i="25"/>
  <c r="D45" i="25" s="1"/>
  <c r="D76" i="7" s="1"/>
  <c r="D77" i="7" s="1"/>
  <c r="F8" i="78" l="1"/>
  <c r="H9" i="78"/>
  <c r="G9" i="78"/>
  <c r="I9" i="78"/>
  <c r="E8" i="78"/>
  <c r="G29" i="78" l="1"/>
  <c r="G8" i="78"/>
  <c r="G11" i="78" s="1"/>
  <c r="F29" i="78"/>
  <c r="F9" i="78"/>
  <c r="F11" i="78" s="1"/>
  <c r="I29" i="78"/>
  <c r="I8" i="78"/>
  <c r="I11" i="78" s="1"/>
  <c r="H29" i="78"/>
  <c r="H8" i="78"/>
  <c r="H11" i="78" s="1"/>
  <c r="E29" i="78"/>
  <c r="E9" i="78"/>
  <c r="E11" i="78" s="1"/>
  <c r="G6" i="69"/>
  <c r="F6" i="69"/>
  <c r="E6" i="69"/>
  <c r="I6" i="69"/>
  <c r="H6" i="69"/>
  <c r="G37" i="79" l="1"/>
  <c r="G36" i="79"/>
  <c r="G31" i="79"/>
  <c r="F3" i="78"/>
  <c r="E37" i="79"/>
  <c r="E36" i="79"/>
  <c r="E31" i="79"/>
  <c r="E3" i="78"/>
  <c r="D36" i="79"/>
  <c r="D37" i="79"/>
  <c r="D31" i="79"/>
  <c r="H37" i="79"/>
  <c r="H36" i="79"/>
  <c r="H31" i="79"/>
  <c r="G3" i="78"/>
  <c r="F37" i="79"/>
  <c r="F36" i="79"/>
  <c r="F31" i="79"/>
  <c r="I3" i="78"/>
  <c r="H39" i="79"/>
  <c r="H41" i="79" s="1"/>
  <c r="H3" i="78"/>
  <c r="G39" i="79"/>
  <c r="G41" i="79" s="1"/>
</calcChain>
</file>

<file path=xl/comments1.xml><?xml version="1.0" encoding="utf-8"?>
<comments xmlns="http://schemas.openxmlformats.org/spreadsheetml/2006/main">
  <authors>
    <author>Carmen Abdoll</author>
  </authors>
  <commentList>
    <comment ref="B91" authorId="0">
      <text>
        <r>
          <rPr>
            <b/>
            <sz val="9"/>
            <color indexed="81"/>
            <rFont val="Tahoma"/>
            <family val="2"/>
          </rPr>
          <t>Carmen Abdoll:</t>
        </r>
        <r>
          <rPr>
            <sz val="9"/>
            <color indexed="81"/>
            <rFont val="Tahoma"/>
            <family val="2"/>
          </rPr>
          <t xml:space="preserve">
It is assumed that only facilitators will need flights and car hire
</t>
        </r>
      </text>
    </comment>
    <comment ref="B99" authorId="0">
      <text>
        <r>
          <rPr>
            <b/>
            <sz val="9"/>
            <color indexed="81"/>
            <rFont val="Tahoma"/>
            <family val="2"/>
          </rPr>
          <t>Carmen Abdoll:</t>
        </r>
        <r>
          <rPr>
            <sz val="9"/>
            <color indexed="81"/>
            <rFont val="Tahoma"/>
            <family val="2"/>
          </rPr>
          <t xml:space="preserve">
It is assumed that only facilitators will need flights and car hire
</t>
        </r>
      </text>
    </comment>
  </commentList>
</comments>
</file>

<file path=xl/comments2.xml><?xml version="1.0" encoding="utf-8"?>
<comments xmlns="http://schemas.openxmlformats.org/spreadsheetml/2006/main">
  <authors>
    <author>Carmen Abdoll</author>
  </authors>
  <commentList>
    <comment ref="B65" authorId="0">
      <text>
        <r>
          <rPr>
            <b/>
            <sz val="9"/>
            <color indexed="81"/>
            <rFont val="Tahoma"/>
            <family val="2"/>
          </rPr>
          <t>Carmen Abdoll:</t>
        </r>
        <r>
          <rPr>
            <sz val="9"/>
            <color indexed="81"/>
            <rFont val="Tahoma"/>
            <family val="2"/>
          </rPr>
          <t xml:space="preserve">
including DTDC</t>
        </r>
      </text>
    </comment>
  </commentList>
</comments>
</file>

<file path=xl/comments3.xml><?xml version="1.0" encoding="utf-8"?>
<comments xmlns="http://schemas.openxmlformats.org/spreadsheetml/2006/main">
  <authors>
    <author>Carmen Abdoll</author>
  </authors>
  <commentList>
    <comment ref="B39" authorId="0">
      <text>
        <r>
          <rPr>
            <b/>
            <sz val="9"/>
            <color indexed="81"/>
            <rFont val="Tahoma"/>
            <family val="2"/>
          </rPr>
          <t>Carmen Abdoll:</t>
        </r>
        <r>
          <rPr>
            <sz val="9"/>
            <color indexed="81"/>
            <rFont val="Tahoma"/>
            <family val="2"/>
          </rPr>
          <t xml:space="preserve">
including DTDC</t>
        </r>
      </text>
    </comment>
  </commentList>
</comments>
</file>

<file path=xl/comments4.xml><?xml version="1.0" encoding="utf-8"?>
<comments xmlns="http://schemas.openxmlformats.org/spreadsheetml/2006/main">
  <authors>
    <author>CER002</author>
  </authors>
  <commentList>
    <comment ref="D142" authorId="0">
      <text>
        <r>
          <rPr>
            <b/>
            <sz val="9"/>
            <color indexed="81"/>
            <rFont val="Tahoma"/>
            <family val="2"/>
          </rPr>
          <t>CER002:</t>
        </r>
        <r>
          <rPr>
            <sz val="9"/>
            <color indexed="81"/>
            <rFont val="Tahoma"/>
            <family val="2"/>
          </rPr>
          <t xml:space="preserve">
The price of a 15 000mcg capsule, which is the smallest, is 43c</t>
        </r>
      </text>
    </comment>
  </commentList>
</comments>
</file>

<file path=xl/comments5.xml><?xml version="1.0" encoding="utf-8"?>
<comments xmlns="http://schemas.openxmlformats.org/spreadsheetml/2006/main">
  <authors>
    <author>CER002</author>
  </authors>
  <commentList>
    <comment ref="D177" authorId="0">
      <text>
        <r>
          <rPr>
            <b/>
            <sz val="9"/>
            <color indexed="81"/>
            <rFont val="Tahoma"/>
            <family val="2"/>
          </rPr>
          <t xml:space="preserve">This  total amount may cover a period longer than a year, but is multiplied by # birth occurences to cover both years each mother takes multivitamins for </t>
        </r>
      </text>
    </comment>
    <comment ref="D190" authorId="0">
      <text>
        <r>
          <rPr>
            <b/>
            <sz val="9"/>
            <color indexed="81"/>
            <rFont val="Tahoma"/>
            <family val="2"/>
          </rPr>
          <t>CER002:</t>
        </r>
        <r>
          <rPr>
            <sz val="9"/>
            <color indexed="81"/>
            <rFont val="Tahoma"/>
            <family val="2"/>
          </rPr>
          <t xml:space="preserve">
This is total mother:nurse meetings required</t>
        </r>
      </text>
    </comment>
  </commentList>
</comments>
</file>

<file path=xl/comments6.xml><?xml version="1.0" encoding="utf-8"?>
<comments xmlns="http://schemas.openxmlformats.org/spreadsheetml/2006/main">
  <authors>
    <author>CER002</author>
  </authors>
  <commentList>
    <comment ref="C66" authorId="0">
      <text>
        <r>
          <rPr>
            <b/>
            <sz val="9"/>
            <color indexed="81"/>
            <rFont val="Tahoma"/>
            <family val="2"/>
          </rPr>
          <t>CER002:</t>
        </r>
        <r>
          <rPr>
            <sz val="9"/>
            <color indexed="81"/>
            <rFont val="Tahoma"/>
            <family val="2"/>
          </rPr>
          <t xml:space="preserve">
Need to think this through - all ECD centres must be registered, regardless of income levels</t>
        </r>
      </text>
    </comment>
  </commentList>
</comments>
</file>

<file path=xl/sharedStrings.xml><?xml version="1.0" encoding="utf-8"?>
<sst xmlns="http://schemas.openxmlformats.org/spreadsheetml/2006/main" count="2841" uniqueCount="841">
  <si>
    <t>Municipal building and health clearance certificates</t>
  </si>
  <si>
    <t>Provincial DSD registration of partial care facilities</t>
  </si>
  <si>
    <t>Main types of partial care facilities</t>
  </si>
  <si>
    <t>Age cohort</t>
  </si>
  <si>
    <t>Assumed % of children in partial care</t>
  </si>
  <si>
    <t>Assumed average number of children in each type of facility</t>
  </si>
  <si>
    <t>Day care for babies</t>
  </si>
  <si>
    <t>0 – 1</t>
  </si>
  <si>
    <t>Day care for toddlers</t>
  </si>
  <si>
    <t>1 – 3</t>
  </si>
  <si>
    <t>ECD centres</t>
  </si>
  <si>
    <t>3 – 5</t>
  </si>
  <si>
    <t>After school care facilities</t>
  </si>
  <si>
    <t>5 – 13</t>
  </si>
  <si>
    <t>Other types of facilities</t>
  </si>
  <si>
    <t>0 – 18</t>
  </si>
  <si>
    <t>Percent Applications Turned Down</t>
  </si>
  <si>
    <t>Number of years the registration is valid for:</t>
  </si>
  <si>
    <t>Cost per inspection</t>
  </si>
  <si>
    <t>Registration of Partial Care facilities</t>
  </si>
  <si>
    <t>Percent applications that result in conditional registration</t>
  </si>
  <si>
    <t>Percent applications that are turned down</t>
  </si>
  <si>
    <t>Demand Assumptions</t>
  </si>
  <si>
    <t>Number of officials per team</t>
  </si>
  <si>
    <t>Number of applications the team processes per year</t>
  </si>
  <si>
    <t>Cost of application</t>
  </si>
  <si>
    <t>Registration of ECD programmes</t>
  </si>
  <si>
    <t>Other types of programmes</t>
  </si>
  <si>
    <t>0 – 6</t>
  </si>
  <si>
    <t>Subsidies to ECD centres</t>
  </si>
  <si>
    <t>The ECD subsidy</t>
  </si>
  <si>
    <t>Assumed % of children in ECD Centres</t>
  </si>
  <si>
    <t>Poverty Targeting</t>
  </si>
  <si>
    <t>No. of children falling in the poverty quintiles one, two and three</t>
  </si>
  <si>
    <t>Standardised daily subsidy rate per child</t>
  </si>
  <si>
    <t>Number of days the subsidy is paid</t>
  </si>
  <si>
    <t>NPO Registration</t>
  </si>
  <si>
    <t>Percent of registered ECD centres that will apply for NPO registration</t>
  </si>
  <si>
    <t>Percent of applications that have to be referred back</t>
  </si>
  <si>
    <t>Number of years over which applications are spread</t>
  </si>
  <si>
    <t>Percent of NPO registrations that must be cancelled due to non-compliance</t>
  </si>
  <si>
    <t>Number of officials in team that process applications</t>
  </si>
  <si>
    <t>Number of applications the team can process per year</t>
  </si>
  <si>
    <t>Cost per application</t>
  </si>
  <si>
    <t>ECD subsidy administration</t>
  </si>
  <si>
    <t>Percent of registered ECD centres that will apply for subsidies</t>
  </si>
  <si>
    <t>Percent of applications that must be referred back</t>
  </si>
  <si>
    <t>Percent of subsidy applications that will receive funding</t>
  </si>
  <si>
    <t>Cost per ECD subsidy application</t>
  </si>
  <si>
    <t>Cost of administration of ECD subsidy per subsidy paid</t>
  </si>
  <si>
    <t>Inspection, Monitoring and Assessment of Partial Care and ECD services</t>
  </si>
  <si>
    <t>Number of inspections per quarter</t>
  </si>
  <si>
    <t>Number of inspectors per team</t>
  </si>
  <si>
    <t>Number of inspections each team can make per year</t>
  </si>
  <si>
    <t>Monitoring</t>
  </si>
  <si>
    <t>Inspections</t>
  </si>
  <si>
    <t>Percent of ECD facilities that are inspected each year</t>
  </si>
  <si>
    <t>Oversight of annual and quarterly reports:</t>
  </si>
  <si>
    <t>Number of officials per inspection team</t>
  </si>
  <si>
    <t>Number of annual and quarterly reports reviewed per team per year</t>
  </si>
  <si>
    <t>On-site financial inspections</t>
  </si>
  <si>
    <t>Operating cost per report inspected</t>
  </si>
  <si>
    <t>Number of ECD sites the official can inpsect per year</t>
  </si>
  <si>
    <t>Operating cost per on-site inspection</t>
  </si>
  <si>
    <t>Assessment</t>
  </si>
  <si>
    <t>Number of officals per Development Quality Assurance (DQA) Team</t>
  </si>
  <si>
    <t>Nurse</t>
  </si>
  <si>
    <t>Social Worker</t>
  </si>
  <si>
    <t>Teacher</t>
  </si>
  <si>
    <t>Percent of registered facilities that will be inspected</t>
  </si>
  <si>
    <t>Occupational Therapist</t>
  </si>
  <si>
    <t>Number of ECD programmes a DQA team can assess each year</t>
  </si>
  <si>
    <t>Operating cost per DQA assessment</t>
  </si>
  <si>
    <t>Enforcement</t>
  </si>
  <si>
    <t>Percent of partial care facilities for which there will be complaints:</t>
  </si>
  <si>
    <t>Of the above facilities, the following percent of interventions will be required:</t>
  </si>
  <si>
    <t>light touch intervention</t>
  </si>
  <si>
    <t>medium touch intervention</t>
  </si>
  <si>
    <t>heavy handed intervention</t>
  </si>
  <si>
    <t>Investigating complaints</t>
  </si>
  <si>
    <t>Number of complaints one official can investigate per year</t>
  </si>
  <si>
    <t>Operational costs of each investigation</t>
  </si>
  <si>
    <t>Light touch intervention</t>
  </si>
  <si>
    <t>Medium touch intervention</t>
  </si>
  <si>
    <t>Heavy handed intervention</t>
  </si>
  <si>
    <t>Funding to establish ECD centres and improve infrastructure</t>
  </si>
  <si>
    <t>Building of new ECD centres</t>
  </si>
  <si>
    <t>Size of ECD centres</t>
  </si>
  <si>
    <t>Estimated % of existing ECD centres serving poor children</t>
  </si>
  <si>
    <t>80% of 12 250 centres</t>
  </si>
  <si>
    <t>Number of years the building will be phased over</t>
  </si>
  <si>
    <t>Capital cost per new ECD centre</t>
  </si>
  <si>
    <t>Upgrading existing ECD centre infrastructure</t>
  </si>
  <si>
    <t>Estimated no. of existing ECD Centres</t>
  </si>
  <si>
    <t>Connection to basic services</t>
  </si>
  <si>
    <t>Good condition – no upgrade</t>
  </si>
  <si>
    <t>Light touch upgrade</t>
  </si>
  <si>
    <t>Moderate upgrade</t>
  </si>
  <si>
    <t>Significant upgrade</t>
  </si>
  <si>
    <t>Percent of of existing ECD Centres requiring infrastructure upgrading</t>
  </si>
  <si>
    <t>Cost per service provision connection</t>
  </si>
  <si>
    <t>Percent of new building costs for different types of upgrades</t>
  </si>
  <si>
    <t>Targeting and demand assumptions</t>
  </si>
  <si>
    <t>Number of poorest income quintiles that will be targeted</t>
  </si>
  <si>
    <t>Equipment and LSM materials for ECD centres</t>
  </si>
  <si>
    <t>Percent of of existing ECD Centres to receive equipment sets</t>
  </si>
  <si>
    <t>Set-up furniture, kitchen appliances and a solar geyser</t>
  </si>
  <si>
    <t>Stock of toys and ECD materials</t>
  </si>
  <si>
    <t>Set of outdoor playground equipment</t>
  </si>
  <si>
    <t>Cost assumptions per type of equipment set:</t>
  </si>
  <si>
    <t>Set-up furniture, appliances and a solar geyser</t>
  </si>
  <si>
    <t>Set of outdoor equipment</t>
  </si>
  <si>
    <t>Caregiver capacity building courses</t>
  </si>
  <si>
    <t>Number of facilitators per course</t>
  </si>
  <si>
    <t>Number of people that attend each course</t>
  </si>
  <si>
    <t>Number of training session per intervention</t>
  </si>
  <si>
    <t>Number of courses a facilitator can present in one year</t>
  </si>
  <si>
    <t>Annual salary of facilitators</t>
  </si>
  <si>
    <t>Operational costs per courses</t>
  </si>
  <si>
    <t>Home-based visiting programme</t>
  </si>
  <si>
    <t>Number of home visitors one coordinator can oversee</t>
  </si>
  <si>
    <t>Number of families a home visitor can visit each week</t>
  </si>
  <si>
    <t>Number of families a home visitor is responsible for visiting</t>
  </si>
  <si>
    <t>Number of the poorest municipalities who will be allocated teams</t>
  </si>
  <si>
    <t>Number of teams per municipality</t>
  </si>
  <si>
    <t>Number of teams that will receive initial training</t>
  </si>
  <si>
    <t>Stipends and co-oridinator salary costs per team</t>
  </si>
  <si>
    <t>Annual operating cost per team</t>
  </si>
  <si>
    <t>Quarterly refresher training costs per team per year</t>
  </si>
  <si>
    <t>Initial training costs per team</t>
  </si>
  <si>
    <t>Community based playgroups</t>
  </si>
  <si>
    <t>Number of teams to be set up per year</t>
  </si>
  <si>
    <t>Annual salary costs of ECD facilitators and administors</t>
  </si>
  <si>
    <t>Operating costs per team per year</t>
  </si>
  <si>
    <t>Refreshment costs for children per team per year</t>
  </si>
  <si>
    <t>Set up costs:</t>
  </si>
  <si>
    <t>Bakkies</t>
  </si>
  <si>
    <t>ECD equipment</t>
  </si>
  <si>
    <t>Toy libraries</t>
  </si>
  <si>
    <t>Number of toy libraries to be established at each of the following facilities:</t>
  </si>
  <si>
    <t>Community libraries</t>
  </si>
  <si>
    <t>Municipal multiple purpose centres</t>
  </si>
  <si>
    <t>Primary schools</t>
  </si>
  <si>
    <t>Number of sets of outdoor equipment to be provided per community library</t>
  </si>
  <si>
    <t>Toy librarian salary per year</t>
  </si>
  <si>
    <t>Operating costs per year</t>
  </si>
  <si>
    <t>Replacement costs of toys and consumables</t>
  </si>
  <si>
    <t>Refreshments for children per year</t>
  </si>
  <si>
    <t>Set-up furniture per library</t>
  </si>
  <si>
    <t>Stock of toys and ECD materials per library</t>
  </si>
  <si>
    <t>Set of 10 themed ECD activity boxes per set</t>
  </si>
  <si>
    <r>
      <t>Set of outdoor equipment per library</t>
    </r>
    <r>
      <rPr>
        <sz val="8"/>
        <color theme="1"/>
        <rFont val="Arial"/>
        <family val="2"/>
      </rPr>
      <t> </t>
    </r>
  </si>
  <si>
    <t>Maintenance of outdoor equipment as a percent of equipment costs</t>
  </si>
  <si>
    <t>Number of Toy Library each Toy Librarian works at</t>
  </si>
  <si>
    <t>Training of ECD practitioners</t>
  </si>
  <si>
    <t>Cost of one-year ECD practitioners course</t>
  </si>
  <si>
    <t>Number of years to complete Grade R educator course</t>
  </si>
  <si>
    <t>Number of ECD facilities</t>
  </si>
  <si>
    <t>The payment of stipends to those in training</t>
  </si>
  <si>
    <t>Percentage of students that will qualify for a stipend</t>
  </si>
  <si>
    <t>Value of stipend per month</t>
  </si>
  <si>
    <t>Services for children in Grade R</t>
  </si>
  <si>
    <t>Grade R classrooms</t>
  </si>
  <si>
    <t>Percent of Grade R learners that will attend private or community facilities</t>
  </si>
  <si>
    <t>Percentage of Grade R learners that can be accommodated in existing classrooms</t>
  </si>
  <si>
    <t>Percent of Grade R learners for who new classrooms must be built</t>
  </si>
  <si>
    <t>Capital cost per Grade R classroom</t>
  </si>
  <si>
    <t>Maximum number of Grade R learners per class</t>
  </si>
  <si>
    <t>Grade R educator salaries</t>
  </si>
  <si>
    <t>Percentage of Grade R salaries that government will pay for</t>
  </si>
  <si>
    <t>Salary of the Grade R educator</t>
  </si>
  <si>
    <t>Grade R LSM</t>
  </si>
  <si>
    <t>Percentage of all Grade R classes that will receive LSM packages</t>
  </si>
  <si>
    <t>Percent of the non-consumable package that must be replaced every year</t>
  </si>
  <si>
    <t>Percent of basic package that are consumables</t>
  </si>
  <si>
    <t>Percentage of Grade R classroms government replenish LSM packages at</t>
  </si>
  <si>
    <t xml:space="preserve">Basic Grade R Pack </t>
  </si>
  <si>
    <t>Annual replacement costs of the consumable portion of the pack</t>
  </si>
  <si>
    <t>Annual maintenance costs of the non-consumable portion of the pack</t>
  </si>
  <si>
    <t>Grade R play-ground equipment</t>
  </si>
  <si>
    <t>Percentage of schools that are large enough to receive two sets of playground equipment</t>
  </si>
  <si>
    <t>Percentage of schools with Grade R classes that will receive playground equipment</t>
  </si>
  <si>
    <t>Cost of a set of playground equipment</t>
  </si>
  <si>
    <t>Maintence costs of playground equipment as a percent of initial cost</t>
  </si>
  <si>
    <t>Access to qualified nurses</t>
  </si>
  <si>
    <t>Salary of a qualified nurse</t>
  </si>
  <si>
    <t>Early antenatal care and maternal and child nutrition in the first 1,000 days</t>
  </si>
  <si>
    <t>Provision of supplements and multivitamins</t>
  </si>
  <si>
    <t>Birth occurences predicted in 2013</t>
  </si>
  <si>
    <t>Number of poorest quintiles in target group</t>
  </si>
  <si>
    <t>Percentage of mothers in target group to be covered</t>
  </si>
  <si>
    <t>Percentage of mothers in target group to be given high dosage vitamin A capsule at birth (60 000 mcg)</t>
  </si>
  <si>
    <t>Price per 60 000 mcg Vitamin A capsule</t>
  </si>
  <si>
    <t>Percentage of new births in target group to be given high dosage Vitamin A capsules (7 500 mcg)</t>
  </si>
  <si>
    <t>Number of times new births receive high dosage Vitamin A capsules</t>
  </si>
  <si>
    <t>Price per 7 500 mcg Vitiman A capsule</t>
  </si>
  <si>
    <t>Percentage of children in target group to be covered</t>
  </si>
  <si>
    <t>No of months prior to birth pregnant women are to receive a daily multivitamin tablet</t>
  </si>
  <si>
    <t>No of months mothers will breastfeed children (and continue to receive multivitamin)</t>
  </si>
  <si>
    <t>Provision of antenatal care</t>
  </si>
  <si>
    <t>Number of times a pregnant mother should visit or be visited by a nurse each trimester:</t>
  </si>
  <si>
    <t>First trimester</t>
  </si>
  <si>
    <t>Second trimester</t>
  </si>
  <si>
    <t>Third trimester</t>
  </si>
  <si>
    <t>Percentage of the target group that will visit clinics for check ups</t>
  </si>
  <si>
    <t>Percentage of the target group that will be visited at home by nurses</t>
  </si>
  <si>
    <t>Nurse visits for children from birth to 24 months of age</t>
  </si>
  <si>
    <t>Number of times children from birth to one year should visit or be visited by a nurse:</t>
  </si>
  <si>
    <t>Number of times children from one year to two years should visit or be visited by a nurse:</t>
  </si>
  <si>
    <t xml:space="preserve">Nurse visits for children from 24 months to 6 years  </t>
  </si>
  <si>
    <t>Number of times per year children between 24 months and 6 years should be checked</t>
  </si>
  <si>
    <t>Percentage of target group that will be accessed at early childhood care facilities</t>
  </si>
  <si>
    <t>Average size of group that will be accessed at early childhood care facilities</t>
  </si>
  <si>
    <t>Percentage of target group that will be accessed at home</t>
  </si>
  <si>
    <t>Emergency obstetric care</t>
  </si>
  <si>
    <t>Immunisation, deworming and growth monitoring (Road to Health booklet)</t>
  </si>
  <si>
    <t>Birth: BCG and Polio vaccines</t>
  </si>
  <si>
    <t>6 Weeks: Polio, Rotavirus, DTaP-IPV//HiB, Hepatitus B and PCV</t>
  </si>
  <si>
    <t>14 Weeks: Rotavirus, DTaP-IPV//HiB, Hepatitus B and PCV</t>
  </si>
  <si>
    <t>9 Months: Measles and PVC Vaccines</t>
  </si>
  <si>
    <t>18 Months: DTaP-IPV//HiB and Measles Vaccines</t>
  </si>
  <si>
    <t>6 Years: Diptheria and Tetanus</t>
  </si>
  <si>
    <t>10 Weeks DTaP-IPV//HiB and Hepatitis vaccines</t>
  </si>
  <si>
    <t>Cost estimate per dosage per age/immunisation event:</t>
  </si>
  <si>
    <t>Number of 6 year old children</t>
  </si>
  <si>
    <t>Deworming of children</t>
  </si>
  <si>
    <t>Vaccines</t>
  </si>
  <si>
    <t>Number of tablets to be taken per age group per year</t>
  </si>
  <si>
    <t>Up to 24 months</t>
  </si>
  <si>
    <t>From 24 months to 6 years</t>
  </si>
  <si>
    <t>Sheet Name</t>
  </si>
  <si>
    <t>4.1.1</t>
  </si>
  <si>
    <t>Contents</t>
  </si>
  <si>
    <t>4.1.2</t>
  </si>
  <si>
    <t>4.1.3</t>
  </si>
  <si>
    <t>4.1.4</t>
  </si>
  <si>
    <t>4.1.5</t>
  </si>
  <si>
    <t>4.1.6</t>
  </si>
  <si>
    <t>4.1.7</t>
  </si>
  <si>
    <t>4.1.8</t>
  </si>
  <si>
    <t>4.1.9</t>
  </si>
  <si>
    <t>4.1.10</t>
  </si>
  <si>
    <t>Services in the social development sector</t>
  </si>
  <si>
    <t>Services in the Education Sector</t>
  </si>
  <si>
    <t>4.2.1</t>
  </si>
  <si>
    <t>4.2.2</t>
  </si>
  <si>
    <t>4.2.3</t>
  </si>
  <si>
    <t>Services in the Health Sector</t>
  </si>
  <si>
    <t>4.3.1</t>
  </si>
  <si>
    <t>4.3.2</t>
  </si>
  <si>
    <t>4.3.3</t>
  </si>
  <si>
    <t>4.3.4</t>
  </si>
  <si>
    <t>Eastern Cape</t>
  </si>
  <si>
    <t>Free State</t>
  </si>
  <si>
    <t>Gauteng</t>
  </si>
  <si>
    <t>KwaZulu-Natal</t>
  </si>
  <si>
    <t>Limpopo</t>
  </si>
  <si>
    <t>Mpumalanga</t>
  </si>
  <si>
    <t>Northern Cape</t>
  </si>
  <si>
    <t>North West</t>
  </si>
  <si>
    <t>Western Cape</t>
  </si>
  <si>
    <t>KwaZulu Natal</t>
  </si>
  <si>
    <t>Number of hours per day a nurse is able to administer care</t>
  </si>
  <si>
    <t>Number of days per month a nurse works</t>
  </si>
  <si>
    <t>Emergency Obstetric Care</t>
  </si>
  <si>
    <t>Percentage of children in South Africa that will be covered by the EPI</t>
  </si>
  <si>
    <t>Number of children up to 18 months</t>
  </si>
  <si>
    <t>Up to 12 months</t>
  </si>
  <si>
    <t>12 - 24 months</t>
  </si>
  <si>
    <t>2 to 6 years</t>
  </si>
  <si>
    <t>Number of nurses required per children in each age group:</t>
  </si>
  <si>
    <t>Estimated operational costs of an emergnecy obstetric event per level of treatment:</t>
  </si>
  <si>
    <t>District Hospital</t>
  </si>
  <si>
    <t>Regional Hospital</t>
  </si>
  <si>
    <t>Central or Tertiary Hospital</t>
  </si>
  <si>
    <t>Percentage of total emergency obstetric events occuring at each level of treatment:</t>
  </si>
  <si>
    <t>Estimated percentages of birth occurrences at state hospitals</t>
  </si>
  <si>
    <t>Fixed Scenario</t>
  </si>
  <si>
    <t>Scenario 2</t>
  </si>
  <si>
    <t>Scenario 3</t>
  </si>
  <si>
    <t>Calculations</t>
  </si>
  <si>
    <t>Folic Acid:  Number of days folic acid to be taken per birth mother</t>
  </si>
  <si>
    <t>Price per multivitamin capsule</t>
  </si>
  <si>
    <t>Folic Acid:  Number of folic acid tablets to be taken per year</t>
  </si>
  <si>
    <t>Cost of folic acid tablets per year</t>
  </si>
  <si>
    <t>High dosage vitamin A for mothers</t>
  </si>
  <si>
    <t>A. Provision of supplements and multivitamins</t>
  </si>
  <si>
    <t>B. Provision of antenatal care</t>
  </si>
  <si>
    <t>Percentage of target group that will visit clinics for check ups</t>
  </si>
  <si>
    <t>C. Nurse visits for children from birth to 24 months of age</t>
  </si>
  <si>
    <t xml:space="preserve">D. Nurse visits for children from 24 months to 6 years  </t>
  </si>
  <si>
    <t>Total number of inspections or check ups per age group (based on assumptions in 4.3.2):</t>
  </si>
  <si>
    <t>Number of minutes a nurse takes per inspection or check up per child</t>
  </si>
  <si>
    <t>Estimated price per deworming tablet:</t>
  </si>
  <si>
    <t>A. Vaccines</t>
  </si>
  <si>
    <t>B. Deworming of children</t>
  </si>
  <si>
    <t>Municipal building and health clearance</t>
  </si>
  <si>
    <t>number of applications turned down</t>
  </si>
  <si>
    <t>total applications to be processed</t>
  </si>
  <si>
    <t>Total number of registration events required</t>
  </si>
  <si>
    <t>Number of teams required</t>
  </si>
  <si>
    <t>Number of officals required</t>
  </si>
  <si>
    <t>A. Grade R classrooms</t>
  </si>
  <si>
    <t>B. Grade R educator salaries</t>
  </si>
  <si>
    <t>C. Grade R LSM</t>
  </si>
  <si>
    <t>D. Grade R play-ground equipment</t>
  </si>
  <si>
    <t>Number of years government will take to build classrooms required</t>
  </si>
  <si>
    <t>Targeting and Demand Assumptions</t>
  </si>
  <si>
    <t>Classrooms that will receive packs</t>
  </si>
  <si>
    <t>Number of years government will take to provide LSM packages</t>
  </si>
  <si>
    <t>Number of years over which government will equip all schools with playground equipment</t>
  </si>
  <si>
    <t>Number of Gade R classes</t>
  </si>
  <si>
    <t>Cost per year of Grade R Educators course</t>
  </si>
  <si>
    <t>Percentage of Grade R Teachers that will receive training</t>
  </si>
  <si>
    <t>Number of years government will take to train all teachers who need it</t>
  </si>
  <si>
    <t>Number of ECD practioners to receive training</t>
  </si>
  <si>
    <t>Number of Grade R teachers requiring training</t>
  </si>
  <si>
    <t>Number of months they will receive stipend</t>
  </si>
  <si>
    <t>Set of Furniture of per classroom</t>
  </si>
  <si>
    <t>Percentage of ECD practitioners that need training</t>
  </si>
  <si>
    <t>Number of ECD practitioners per facility</t>
  </si>
  <si>
    <t>Operational cost per check up</t>
  </si>
  <si>
    <t>Cost of travel child visited at home</t>
  </si>
  <si>
    <t>Outputs</t>
  </si>
  <si>
    <t>Number of ECD practitioners trained per year</t>
  </si>
  <si>
    <t>Number of Grade R Educators trained per year</t>
  </si>
  <si>
    <t>Stipends paid per year</t>
  </si>
  <si>
    <t>Grade R Classrooms required to be built</t>
  </si>
  <si>
    <t>Schools that will receive 1 play-ground kit</t>
  </si>
  <si>
    <t>Schools that will receive 2 play-ground kits</t>
  </si>
  <si>
    <t>Grade R classrooms built and furnished per year</t>
  </si>
  <si>
    <t>Play-Ground Equipment provided per year</t>
  </si>
  <si>
    <t>LSM packs provided per year</t>
  </si>
  <si>
    <t>Number of mothers and new borns provided with supplements</t>
  </si>
  <si>
    <t>Number of nurse:children interactions with 0-6 year olds per year</t>
  </si>
  <si>
    <t>Number of emergency obstetric care procedures</t>
  </si>
  <si>
    <t>Annual Operational Costs</t>
  </si>
  <si>
    <t xml:space="preserve">Total Capital Costs </t>
  </si>
  <si>
    <t>Capital Costs per year (number of years will differ)</t>
  </si>
  <si>
    <t>Total Capital Investment Required</t>
  </si>
  <si>
    <t xml:space="preserve">Annual Operational Costs </t>
  </si>
  <si>
    <t>Annual Capital Costs</t>
  </si>
  <si>
    <t>Total Capital Costs</t>
  </si>
  <si>
    <t>Total Annual Costs</t>
  </si>
  <si>
    <t>Summary of Outputs per Programme</t>
  </si>
  <si>
    <t>Description</t>
  </si>
  <si>
    <t>Notes</t>
  </si>
  <si>
    <t>Capital Costs</t>
  </si>
  <si>
    <t>Nurses per 1000 children in target group (up to 6 years)</t>
  </si>
  <si>
    <t>Number of nurses (FTE) performing check ups on children</t>
  </si>
  <si>
    <t>Number of months prior to birth a daily dose of 5 mg folic acid to be given to pregnant mothers</t>
  </si>
  <si>
    <t>Number of weeks after birth mothers are to take a daily dose of 5 mg folic acid</t>
  </si>
  <si>
    <t>Price per 5 mg capsule of folic acid</t>
  </si>
  <si>
    <t>Annual Operational Funding Gap</t>
  </si>
  <si>
    <t>Total Annual Operational Funding Gap</t>
  </si>
  <si>
    <t>Annual Operational Costs and Funding Gap</t>
  </si>
  <si>
    <t xml:space="preserve">Estimated percentage of above births requiring emergency obstetric care </t>
  </si>
  <si>
    <t>Description of the services that are costed</t>
  </si>
  <si>
    <t xml:space="preserve">Description of services that are costed </t>
  </si>
  <si>
    <t>Sheet</t>
  </si>
  <si>
    <t>TOP</t>
  </si>
  <si>
    <t>Service Descriptions</t>
  </si>
  <si>
    <t>Go to</t>
  </si>
  <si>
    <t>Number of children who are vacinnated in a year</t>
  </si>
  <si>
    <t>Number of children receiving de-worming tablets</t>
  </si>
  <si>
    <t>Assumptions</t>
  </si>
  <si>
    <t>a</t>
  </si>
  <si>
    <t>b</t>
  </si>
  <si>
    <t>c</t>
  </si>
  <si>
    <t>Budget</t>
  </si>
  <si>
    <t>Nature of unit cost</t>
  </si>
  <si>
    <t>2014/15</t>
  </si>
  <si>
    <t>2015/16</t>
  </si>
  <si>
    <t>2016/17</t>
  </si>
  <si>
    <t>Personnel</t>
  </si>
  <si>
    <t>Accommodation</t>
  </si>
  <si>
    <t>Catering</t>
  </si>
  <si>
    <t>Venues</t>
  </si>
  <si>
    <t>Goods and Services</t>
  </si>
  <si>
    <t>Consultants</t>
  </si>
  <si>
    <t>Materials</t>
  </si>
  <si>
    <t>Transport and subsistence</t>
  </si>
  <si>
    <t>Other</t>
  </si>
  <si>
    <t>Transfers and subsidies</t>
  </si>
  <si>
    <t>Non-profit institutions</t>
  </si>
  <si>
    <t>Households</t>
  </si>
  <si>
    <t>Payments for capital assets</t>
  </si>
  <si>
    <t>Machinery and equipment</t>
  </si>
  <si>
    <t>Land and buildings</t>
  </si>
  <si>
    <t>Total Capital Budget</t>
  </si>
  <si>
    <t>Total Current Budget</t>
  </si>
  <si>
    <t>Unit Cost</t>
  </si>
  <si>
    <t>Number of units</t>
  </si>
  <si>
    <t>Activitiy/Input</t>
  </si>
  <si>
    <t>none</t>
  </si>
  <si>
    <t>Population-based Demand Assumptions</t>
  </si>
  <si>
    <t>Planned delivery</t>
  </si>
  <si>
    <t>Scenario 1</t>
  </si>
  <si>
    <t>Director</t>
  </si>
  <si>
    <t>Transport</t>
  </si>
  <si>
    <t>Targeting Assumptions</t>
  </si>
  <si>
    <r>
      <t>Contents</t>
    </r>
    <r>
      <rPr>
        <b/>
        <sz val="10"/>
        <color rgb="FF0000FF"/>
        <rFont val="Arial"/>
        <family val="2"/>
      </rPr>
      <t xml:space="preserve"> (click on name of service to go to service description)</t>
    </r>
  </si>
  <si>
    <t>Expenditure and Performance Review</t>
  </si>
  <si>
    <t>Costing Model</t>
  </si>
  <si>
    <t>Model developed for the 
National Treasury</t>
  </si>
  <si>
    <r>
      <t xml:space="preserve">Senior economists with 
</t>
    </r>
    <r>
      <rPr>
        <b/>
        <i/>
        <sz val="9"/>
        <rFont val="Times New Roman"/>
        <family val="1"/>
      </rPr>
      <t>Cornerstone Economic Research</t>
    </r>
  </si>
  <si>
    <t>Develop implementation strategy</t>
  </si>
  <si>
    <t>Cost implementation strategy</t>
  </si>
  <si>
    <t>Establish NICPD</t>
  </si>
  <si>
    <t>Implementation scenario</t>
  </si>
  <si>
    <t>Develop/refine INSET policy</t>
  </si>
  <si>
    <t>Monitor &amp; evaluate</t>
  </si>
  <si>
    <t>Provincial Management</t>
  </si>
  <si>
    <t xml:space="preserve">Develop INSET implementation plan and budget </t>
  </si>
  <si>
    <t>Chief Director</t>
  </si>
  <si>
    <t>Assistant Director</t>
  </si>
  <si>
    <t>Adminitrators (level 8)</t>
  </si>
  <si>
    <t>Establish PTDIs</t>
  </si>
  <si>
    <t>Maintain resource centres of teacher support materials</t>
  </si>
  <si>
    <t>Facilities to provide INSET courses and for PLCs</t>
  </si>
  <si>
    <t>Manage teacher self-assessments and PDPs</t>
  </si>
  <si>
    <t>Maintain database of educator needs</t>
  </si>
  <si>
    <t>Monitoring &amp; evaluation</t>
  </si>
  <si>
    <t>Run PLCs</t>
  </si>
  <si>
    <t>Establish DTDC</t>
  </si>
  <si>
    <t>Assistance to teachers - diagnostic assessments</t>
  </si>
  <si>
    <t>Coordinate self assessments and input from other assessment processes</t>
  </si>
  <si>
    <t>Assist educators to develop Personal Development Plans (PDPs)</t>
  </si>
  <si>
    <t>Teacher support</t>
  </si>
  <si>
    <t>Mentoring support to teachers on professional practice and curriculum</t>
  </si>
  <si>
    <t>Assist teachers to apply and access funding for courses</t>
  </si>
  <si>
    <t>Plan staff development activities to meet specific needs identified</t>
  </si>
  <si>
    <t>Evaluate success/problems with staff development programmes</t>
  </si>
  <si>
    <t>425 023</t>
  </si>
  <si>
    <t>Total</t>
  </si>
  <si>
    <r>
      <rPr>
        <b/>
        <sz val="9"/>
        <color rgb="FF231F20"/>
        <rFont val="Arial"/>
        <family val="2"/>
      </rPr>
      <t>Province</t>
    </r>
  </si>
  <si>
    <t>68 499</t>
  </si>
  <si>
    <t>67 936</t>
  </si>
  <si>
    <t>24 057</t>
  </si>
  <si>
    <t>24 828</t>
  </si>
  <si>
    <t>71 532</t>
  </si>
  <si>
    <t>73 960</t>
  </si>
  <si>
    <t>93 266</t>
  </si>
  <si>
    <t>94 932</t>
  </si>
  <si>
    <t>58 016</t>
  </si>
  <si>
    <t>57 670</t>
  </si>
  <si>
    <t>34 623</t>
  </si>
  <si>
    <t>34 664</t>
  </si>
  <si>
    <t>8 899</t>
  </si>
  <si>
    <t>8 864</t>
  </si>
  <si>
    <t>25 897</t>
  </si>
  <si>
    <t>25 924</t>
  </si>
  <si>
    <t>35 819</t>
  </si>
  <si>
    <t>36 389</t>
  </si>
  <si>
    <t>420 608</t>
  </si>
  <si>
    <t>425 167</t>
  </si>
  <si>
    <t>Number of teachers (school realities)</t>
  </si>
  <si>
    <r>
      <rPr>
        <sz val="8"/>
        <color rgb="FF231F20"/>
        <rFont val="Arial"/>
        <family val="2"/>
      </rPr>
      <t>Eastern Cape</t>
    </r>
  </si>
  <si>
    <r>
      <rPr>
        <sz val="8"/>
        <color rgb="FF231F20"/>
        <rFont val="Arial"/>
        <family val="2"/>
      </rPr>
      <t>Free State</t>
    </r>
  </si>
  <si>
    <r>
      <rPr>
        <sz val="8"/>
        <color rgb="FF231F20"/>
        <rFont val="Arial"/>
        <family val="2"/>
      </rPr>
      <t>Gauteng</t>
    </r>
  </si>
  <si>
    <r>
      <rPr>
        <sz val="8"/>
        <color rgb="FF231F20"/>
        <rFont val="Arial"/>
        <family val="2"/>
      </rPr>
      <t>KwaZulu-Natal</t>
    </r>
  </si>
  <si>
    <r>
      <rPr>
        <sz val="8"/>
        <color rgb="FF231F20"/>
        <rFont val="Arial"/>
        <family val="2"/>
      </rPr>
      <t>Limpopo</t>
    </r>
  </si>
  <si>
    <r>
      <rPr>
        <sz val="8"/>
        <color rgb="FF231F20"/>
        <rFont val="Arial"/>
        <family val="2"/>
      </rPr>
      <t>Mpumalanga</t>
    </r>
  </si>
  <si>
    <r>
      <rPr>
        <sz val="8"/>
        <color rgb="FF231F20"/>
        <rFont val="Arial"/>
        <family val="2"/>
      </rPr>
      <t>Northern Cape</t>
    </r>
  </si>
  <si>
    <r>
      <rPr>
        <sz val="8"/>
        <color rgb="FF231F20"/>
        <rFont val="Arial"/>
        <family val="2"/>
      </rPr>
      <t>North West</t>
    </r>
  </si>
  <si>
    <r>
      <rPr>
        <sz val="8"/>
        <color rgb="FF231F20"/>
        <rFont val="Arial"/>
        <family val="2"/>
      </rPr>
      <t>Western Cape</t>
    </r>
  </si>
  <si>
    <t>Financial Assumptions</t>
  </si>
  <si>
    <t>Inflation</t>
  </si>
  <si>
    <t>Salary increases in base line budget per annum</t>
  </si>
  <si>
    <t>Salary levels of key staff</t>
  </si>
  <si>
    <t>Baseline Salary</t>
  </si>
  <si>
    <t>Deputy Director General</t>
  </si>
  <si>
    <t>Directors</t>
  </si>
  <si>
    <t>Deputy directors</t>
  </si>
  <si>
    <t>Administrative staff (level 8)</t>
  </si>
  <si>
    <t>Level 6</t>
  </si>
  <si>
    <t>Level 3</t>
  </si>
  <si>
    <t>Develop norms and standards</t>
  </si>
  <si>
    <t>Develop targets for NICPD</t>
  </si>
  <si>
    <t>Operational costs</t>
  </si>
  <si>
    <t>Communication with sector</t>
  </si>
  <si>
    <t>Cost of employment</t>
  </si>
  <si>
    <t>Total costs</t>
  </si>
  <si>
    <t>Costing assumptions</t>
  </si>
  <si>
    <t>a. Capacity requirements</t>
  </si>
  <si>
    <t>Total Provincial Management</t>
  </si>
  <si>
    <t>Management of programme elements</t>
  </si>
  <si>
    <t>District Management</t>
  </si>
  <si>
    <t>Total District Management</t>
  </si>
  <si>
    <t>DTDC</t>
  </si>
  <si>
    <t>High qualified (degree +)</t>
  </si>
  <si>
    <t>Sub-standard</t>
  </si>
  <si>
    <t xml:space="preserve">Medium qualified </t>
  </si>
  <si>
    <t>A: Number of teachers per category</t>
  </si>
  <si>
    <t>Teacher growth assumptions</t>
  </si>
  <si>
    <t>Medium qualified (some academic qualification)</t>
  </si>
  <si>
    <t>General Assumptions</t>
  </si>
  <si>
    <t>Work days per annum</t>
  </si>
  <si>
    <t>Non core work days per annum</t>
  </si>
  <si>
    <t>Core work days per annum</t>
  </si>
  <si>
    <t>Post course assessment</t>
  </si>
  <si>
    <t>Course facilitator</t>
  </si>
  <si>
    <t>per day</t>
  </si>
  <si>
    <t>Course materials</t>
  </si>
  <si>
    <t>Courier cost</t>
  </si>
  <si>
    <t>Production cost per page</t>
  </si>
  <si>
    <t>Facilitators</t>
  </si>
  <si>
    <t>Participants</t>
  </si>
  <si>
    <t>per night</t>
  </si>
  <si>
    <t>Meals</t>
  </si>
  <si>
    <t>per person per day</t>
  </si>
  <si>
    <t>Teas</t>
  </si>
  <si>
    <t>Flights</t>
  </si>
  <si>
    <t>per flight</t>
  </si>
  <si>
    <t>Care hire</t>
  </si>
  <si>
    <t>per vehicle per day</t>
  </si>
  <si>
    <t>Multimedia (sound systems etc)</t>
  </si>
  <si>
    <t xml:space="preserve">Total </t>
  </si>
  <si>
    <t>Assumptions on who is to be trained</t>
  </si>
  <si>
    <t>Estimated number of short courses per year</t>
  </si>
  <si>
    <t>Course Assumptions</t>
  </si>
  <si>
    <t>Short course</t>
  </si>
  <si>
    <t>Long course</t>
  </si>
  <si>
    <t>Cost of facilitator per day</t>
  </si>
  <si>
    <t>Facilitator’s guide (300 pages)</t>
  </si>
  <si>
    <t>Length of course (days)</t>
  </si>
  <si>
    <t>Long course (6 months)</t>
  </si>
  <si>
    <t>Cost of facilitator per short course</t>
  </si>
  <si>
    <t>Cost of facilitator per long course</t>
  </si>
  <si>
    <t>Planning days per course</t>
  </si>
  <si>
    <t>Total days per short course</t>
  </si>
  <si>
    <t>Total days per long course</t>
  </si>
  <si>
    <t>Short courses per annum per facilitator</t>
  </si>
  <si>
    <t>Long courses per annum per facilitator</t>
  </si>
  <si>
    <t>Cost per unit</t>
  </si>
  <si>
    <t>per participant</t>
  </si>
  <si>
    <t>Logistics for courses</t>
  </si>
  <si>
    <t>Logistics per course</t>
  </si>
  <si>
    <t>Short courses</t>
  </si>
  <si>
    <t>Multimedia</t>
  </si>
  <si>
    <t>Estimated number of long courses per year</t>
  </si>
  <si>
    <t>Estimated number of trainers required per year (short courses)</t>
  </si>
  <si>
    <t>Total cost per course</t>
  </si>
  <si>
    <t>No of learners per course</t>
  </si>
  <si>
    <t>Long courses</t>
  </si>
  <si>
    <t>B. PTDI</t>
  </si>
  <si>
    <t>B. NICPD</t>
  </si>
  <si>
    <t>National</t>
  </si>
  <si>
    <t>Total National INSET Management</t>
  </si>
  <si>
    <t>PTDI</t>
  </si>
  <si>
    <t>District</t>
  </si>
  <si>
    <t>PLC meeting assumptions</t>
  </si>
  <si>
    <t>per meeting</t>
  </si>
  <si>
    <t>Refreshment costs</t>
  </si>
  <si>
    <t>National Management</t>
  </si>
  <si>
    <t>DBE</t>
  </si>
  <si>
    <t>NICPD</t>
  </si>
  <si>
    <t>PED</t>
  </si>
  <si>
    <t>Programme elements</t>
  </si>
  <si>
    <t>PLC</t>
  </si>
  <si>
    <t>NICPD management &amp; continuous education courses</t>
  </si>
  <si>
    <t>Identify sector wide priorities</t>
  </si>
  <si>
    <t>Teacher self assessment tools</t>
  </si>
  <si>
    <t>Develop content frameworks that describe what educators need to know</t>
  </si>
  <si>
    <t>Develop diagnostic self assessment tools</t>
  </si>
  <si>
    <t>Develop and maintain ICT platform for self assessment tool</t>
  </si>
  <si>
    <t>Manage the self assessment tool and data gathered by tool</t>
  </si>
  <si>
    <t>Develop &amp; maintain overall curricullum</t>
  </si>
  <si>
    <t>Obtain SACE approval for courses</t>
  </si>
  <si>
    <t>Commission review of education statistics</t>
  </si>
  <si>
    <t>Develop targets for PTDI</t>
  </si>
  <si>
    <t>SUMMARY</t>
  </si>
  <si>
    <t xml:space="preserve">Total INSET </t>
  </si>
  <si>
    <t>A. National Management</t>
  </si>
  <si>
    <t>B. Provincial Management</t>
  </si>
  <si>
    <t>In-service training of teachers</t>
  </si>
  <si>
    <t>October 2013</t>
  </si>
  <si>
    <t>Model developed by 
Carmen Abdoll and Conrad Barberton</t>
  </si>
  <si>
    <t>Email: carmen@cornerstonesa.net</t>
  </si>
  <si>
    <t>Cell: 083 465 2381</t>
  </si>
  <si>
    <t>Descriptions of the INSET services that the model covers</t>
  </si>
  <si>
    <t>Summary of general assumptions</t>
  </si>
  <si>
    <t>Costs for national Department Basic Education</t>
  </si>
  <si>
    <t>Operational expenses as a per cent of total salary costs - where not specified elsewhere</t>
  </si>
  <si>
    <t>Capital expenditure as a per cent of total salary costs - where not specified elsewhere</t>
  </si>
  <si>
    <t>Demand assumptions</t>
  </si>
  <si>
    <t>Estimated number of short courses per year (overall)</t>
  </si>
  <si>
    <t>Estimated number of long courses per year (overall)</t>
  </si>
  <si>
    <t>Number of districts in province</t>
  </si>
  <si>
    <t>Estimated number of trainers required per year (long courses)</t>
  </si>
  <si>
    <t>Demand for PLC</t>
  </si>
  <si>
    <t>Course demand assumptions</t>
  </si>
  <si>
    <t>Teacher population</t>
  </si>
  <si>
    <t>c. Resource centre (for teacher support material)</t>
  </si>
  <si>
    <t>Relative demand for long and short courses</t>
  </si>
  <si>
    <t>Where are the courses offered?</t>
  </si>
  <si>
    <t>Per cent of long courses offered by PTDI</t>
  </si>
  <si>
    <t>Per cent of short courses offered by PTDI</t>
  </si>
  <si>
    <t>Number of short course run by PTDI</t>
  </si>
  <si>
    <t>Number of long courses run by PTDI</t>
  </si>
  <si>
    <t>Relative demand for long and short courses (set on province sheets)</t>
  </si>
  <si>
    <t>Number of short course run by districts</t>
  </si>
  <si>
    <t>Number of long courses run by districts</t>
  </si>
  <si>
    <t>Logistic costs</t>
  </si>
  <si>
    <t>Trainer costs</t>
  </si>
  <si>
    <t>Material costs</t>
  </si>
  <si>
    <t>Communcation specialist - director level</t>
  </si>
  <si>
    <t>Editor - deputy director level</t>
  </si>
  <si>
    <t>Writers - assistant director</t>
  </si>
  <si>
    <t>Set-up costs</t>
  </si>
  <si>
    <t>Branding of INSET</t>
  </si>
  <si>
    <t>Website manager - assistant director</t>
  </si>
  <si>
    <t>Publications</t>
  </si>
  <si>
    <t>No. of editions per year</t>
  </si>
  <si>
    <t>Print cost per edition</t>
  </si>
  <si>
    <t>Distribution cost per edition</t>
  </si>
  <si>
    <t>Development of communication strategy</t>
  </si>
  <si>
    <t>Distribution cost per edition (no. of schools X cost)</t>
  </si>
  <si>
    <t>INSET Good practice notes (32 pages)</t>
  </si>
  <si>
    <t>Cost of writers per edition</t>
  </si>
  <si>
    <t>INSET Website</t>
  </si>
  <si>
    <t>b. Communication strategy</t>
  </si>
  <si>
    <t xml:space="preserve">a. NICPD management </t>
  </si>
  <si>
    <t>Normal operations and set-up costs</t>
  </si>
  <si>
    <t>Publications and website</t>
  </si>
  <si>
    <t>c. Diagnostic capability</t>
  </si>
  <si>
    <t>Administrative staff</t>
  </si>
  <si>
    <t>Director: diagnostics</t>
  </si>
  <si>
    <t>Director: course development</t>
  </si>
  <si>
    <t>Deputy directors:  Materials developers</t>
  </si>
  <si>
    <t>c. INSET course development</t>
  </si>
  <si>
    <t>Course materials production</t>
  </si>
  <si>
    <t>No. of courses developed per year</t>
  </si>
  <si>
    <t xml:space="preserve">Cost of SACE endorsement of professional development courses </t>
  </si>
  <si>
    <t>Production cost per course</t>
  </si>
  <si>
    <t>Cost of outside reviewers per course</t>
  </si>
  <si>
    <t xml:space="preserve">c. Diagnostic capability </t>
  </si>
  <si>
    <t>Deputy directors: subject specialists</t>
  </si>
  <si>
    <t>Teacher self-assessment system</t>
  </si>
  <si>
    <t>Development and set-up costs</t>
  </si>
  <si>
    <t>On-going maintenance</t>
  </si>
  <si>
    <t>Administrative and call centre staff</t>
  </si>
  <si>
    <t xml:space="preserve">Normal operations </t>
  </si>
  <si>
    <t>d. INSET course development</t>
  </si>
  <si>
    <t>Assistant directors: Editors</t>
  </si>
  <si>
    <t>Assistant directors: IT support and analysts</t>
  </si>
  <si>
    <t>a. NICPD management  and oversight</t>
  </si>
  <si>
    <t>Deputy Director: Provinces</t>
  </si>
  <si>
    <t>Director: Provincial oversight</t>
  </si>
  <si>
    <t>A. Management of INSET policy and performance</t>
  </si>
  <si>
    <t>Director: training co-ordinators</t>
  </si>
  <si>
    <t>Deputy Director: course managers</t>
  </si>
  <si>
    <t>No. of trainers - full time equivalents</t>
  </si>
  <si>
    <t>Director: district INSET oversight</t>
  </si>
  <si>
    <t>Number of districts one director oversees</t>
  </si>
  <si>
    <t>Number of short courses per course manager</t>
  </si>
  <si>
    <t>Number of long courses per course manager</t>
  </si>
  <si>
    <t>Number of assistant directors per course manager</t>
  </si>
  <si>
    <t>a. PTDI management, oversight and M&amp;E</t>
  </si>
  <si>
    <t>Director: M&amp;E</t>
  </si>
  <si>
    <t>Assistant director: M&amp;E</t>
  </si>
  <si>
    <t>Assistant director: resource centre</t>
  </si>
  <si>
    <t>Administrative assistants</t>
  </si>
  <si>
    <t>Materials acquisation</t>
  </si>
  <si>
    <t>Reproduction and distribution costs</t>
  </si>
  <si>
    <t>Assumed cost per educator in province</t>
  </si>
  <si>
    <t>Number of educators per administrative assistant</t>
  </si>
  <si>
    <t>Writer/editor - deputy director level</t>
  </si>
  <si>
    <t>Provincial INSET Newsletter (8 pages)</t>
  </si>
  <si>
    <t>c. INSET training</t>
  </si>
  <si>
    <t>d. Provincial resource centre (for teacher support material)</t>
  </si>
  <si>
    <t>Normal operations</t>
  </si>
  <si>
    <t>Training courses</t>
  </si>
  <si>
    <t>Materials and distribution</t>
  </si>
  <si>
    <t>c. Districts</t>
  </si>
  <si>
    <t>a. DTDC management, oversight and M&amp;E</t>
  </si>
  <si>
    <t>Deputy Director: District M&amp;E</t>
  </si>
  <si>
    <t>Assistant Director: Self-assessment support</t>
  </si>
  <si>
    <t>b. INSET training</t>
  </si>
  <si>
    <t>d. Professional learning communities (PLCs)</t>
  </si>
  <si>
    <t>Assistant director: PLC coordinator</t>
  </si>
  <si>
    <t>Number of PLCs a co-ordinator can oversee</t>
  </si>
  <si>
    <t>Average number of times a year a PLC will meet</t>
  </si>
  <si>
    <t>Average size of PLC</t>
  </si>
  <si>
    <t>Number of PLCs</t>
  </si>
  <si>
    <t>Number of PLC meetings per year</t>
  </si>
  <si>
    <t>Number of PLCs an administrator can support</t>
  </si>
  <si>
    <t>Refreshments for OLC meetings</t>
  </si>
  <si>
    <t>Educator transport re-imbursements</t>
  </si>
  <si>
    <t>Percentage of educators that claim transport</t>
  </si>
  <si>
    <t>Reimbursement for transport to PLC meetings</t>
  </si>
  <si>
    <t>B.DTDC</t>
  </si>
  <si>
    <t>e. DTDC Infrastructure needs</t>
  </si>
  <si>
    <t>Number of educators an assistant director can support</t>
  </si>
  <si>
    <t>Administrator (level 6): PLC support</t>
  </si>
  <si>
    <t>Refreshments and transport</t>
  </si>
  <si>
    <t>per district</t>
  </si>
  <si>
    <t>all districts</t>
  </si>
  <si>
    <t>Number of districts</t>
  </si>
  <si>
    <t>EC &amp; GT was assumed given lack of information</t>
  </si>
  <si>
    <t>Total Provinces</t>
  </si>
  <si>
    <t>Not all provinces</t>
  </si>
  <si>
    <t>Costs for provincial education departments</t>
  </si>
  <si>
    <t>Costs for provincial district offices</t>
  </si>
  <si>
    <t>Scenario 1 (with MTEF)</t>
  </si>
  <si>
    <t>Per person</t>
  </si>
  <si>
    <t>Click on buttons and choose from dropdown box</t>
  </si>
  <si>
    <t>Choose "Total Provinces" or the specific "province"</t>
  </si>
  <si>
    <t>Average number of learners per course</t>
  </si>
  <si>
    <t>INSET Magazine (32 pages)</t>
  </si>
  <si>
    <t>Average cost of distrubtion per school</t>
  </si>
  <si>
    <t>No. of editions that are distrubted to schools per year</t>
  </si>
  <si>
    <t xml:space="preserve">Proportion of Deputy Director General's time </t>
  </si>
  <si>
    <t>Cost of course developers and reviewers per course</t>
  </si>
  <si>
    <t>e. Provincial resource centre (for teacher support material)</t>
  </si>
  <si>
    <t>Estimated number of long courses per year offered by PTDI</t>
  </si>
  <si>
    <t>Estimated number of short courses per year offered by PTDI</t>
  </si>
  <si>
    <t>Number of teachers per category</t>
  </si>
  <si>
    <t>Number of training days in a three year cycle</t>
  </si>
  <si>
    <t>Annual number of training days</t>
  </si>
  <si>
    <t>Per cent of training days for short courses</t>
  </si>
  <si>
    <t>Per cent of training days for long courses</t>
  </si>
  <si>
    <t>Rate of participation in INSET training</t>
  </si>
  <si>
    <t>Residential requirements for training</t>
  </si>
  <si>
    <t>Per cent of provincial short courses that are residential</t>
  </si>
  <si>
    <t>Per cent of provincial long courses that are residential</t>
  </si>
  <si>
    <t xml:space="preserve">Total cost of logistics (excluding accommodation) - short courses </t>
  </si>
  <si>
    <t>Total cost of logistics (excluding accommodation) - long courses</t>
  </si>
  <si>
    <t>Short course (non-residential)</t>
  </si>
  <si>
    <t>Long course (non-residential)</t>
  </si>
  <si>
    <t>Province level</t>
  </si>
  <si>
    <t>District level</t>
  </si>
  <si>
    <t>Educator locums (for educators on training)</t>
  </si>
  <si>
    <t>Daily cost of locums</t>
  </si>
  <si>
    <t>Educator locum requirements</t>
  </si>
  <si>
    <t>Per cent of short courses that require locums</t>
  </si>
  <si>
    <t>Per cent of long courses that require locums</t>
  </si>
  <si>
    <t>Educator locum costs</t>
  </si>
  <si>
    <t>e. INSET course development</t>
  </si>
  <si>
    <t>Assumed cost to service each district in province</t>
  </si>
  <si>
    <t>Dropdown lists</t>
  </si>
  <si>
    <t>See key policy scenario A</t>
  </si>
  <si>
    <t>See key policy scenario B</t>
  </si>
  <si>
    <t>Learner’s guide - Short courses (150 pages)</t>
  </si>
  <si>
    <t>Learner’s guide - Long courses (300 pages)</t>
  </si>
  <si>
    <t>Total materials cost - short course</t>
  </si>
  <si>
    <t>Total materials cost - long course</t>
  </si>
  <si>
    <t>See key policy scenario C</t>
  </si>
  <si>
    <t>See key policy scenario D</t>
  </si>
  <si>
    <t>See key policy scenario E</t>
  </si>
  <si>
    <t>A</t>
  </si>
  <si>
    <t>B</t>
  </si>
  <si>
    <t>C</t>
  </si>
  <si>
    <t>D</t>
  </si>
  <si>
    <t>E</t>
  </si>
  <si>
    <t>F</t>
  </si>
  <si>
    <t>Number of INSET courses developed per year</t>
  </si>
  <si>
    <t>By NICPD</t>
  </si>
  <si>
    <t>By PTDI</t>
  </si>
  <si>
    <t>See key policy scenario F</t>
  </si>
  <si>
    <t>Percent of training days allocated to short courses</t>
  </si>
  <si>
    <t>The greater the number of training days educators are required to complete in a three-year cycle the higher the cost of INSET. However, the point of INSET is to upgrade educators teaching capacity so there is a trade-off between reducing the number of training days and likelihood of achieving the INSET outcomes</t>
  </si>
  <si>
    <t>The long courses require the trainees to be in residence, while the short courses (especially in the Districts) may allow for trainees to travel in to class each day. Therefore the more short courses the lower the costs. However, there is a preference for long courses given that they are more likely to bring about behavioural changes.</t>
  </si>
  <si>
    <t>Proportion of short courses that are residential</t>
  </si>
  <si>
    <t>If provinces are not to be involved in developing courses then set tab to '0'. This will eliminate all costs linked to this function within PTDIs</t>
  </si>
  <si>
    <t>G</t>
  </si>
  <si>
    <t>Reimbursements for educators attending PLC meetings</t>
  </si>
  <si>
    <t>See key policy scenario G</t>
  </si>
  <si>
    <t>Totals and Scenarios</t>
  </si>
  <si>
    <t>Summary of all costs (national, provincial &amp; district) and key policy scenarios. Includes setting to allow for individual provincial costings</t>
  </si>
  <si>
    <t>Short courses per venue per year</t>
  </si>
  <si>
    <t>Long courses per venue per year</t>
  </si>
  <si>
    <t>Average cost of a residential facility (270 beds and 6 venues)</t>
  </si>
  <si>
    <t>Average cost of a non-residential facility (12 venues)</t>
  </si>
  <si>
    <t>f. PTDI Infrastructure needs</t>
  </si>
  <si>
    <t>Non-residential venues for short courses</t>
  </si>
  <si>
    <t>Residential venues for long courses</t>
  </si>
  <si>
    <t>Total operating costs</t>
  </si>
  <si>
    <t>Total infrastructure costs</t>
  </si>
  <si>
    <t>Total infrastructure costs (once-off)</t>
  </si>
  <si>
    <t>Number of non-residential training facilities required</t>
  </si>
  <si>
    <t>Number of residential training facilities required</t>
  </si>
  <si>
    <t xml:space="preserve">Average number of venues in residential facility </t>
  </si>
  <si>
    <t>Average number of venues in a non-residential facility</t>
  </si>
  <si>
    <t>d. Infrastructure</t>
  </si>
  <si>
    <t>District infrastructure</t>
  </si>
  <si>
    <t>The smaller the course size the more infrastructure required</t>
  </si>
  <si>
    <t>The more days allocated to short courses the less infrastructure required</t>
  </si>
  <si>
    <t>The more courses that are residential the more infrastructure required.</t>
  </si>
  <si>
    <t>PED infrastructure</t>
  </si>
  <si>
    <t>Number of assistant directors a course manager oversees</t>
  </si>
  <si>
    <t>Number of course managers one training co-ordinator oversees</t>
  </si>
  <si>
    <t>H</t>
  </si>
  <si>
    <t>Average participation rate of educators in INSET courses</t>
  </si>
  <si>
    <t>The more participate in INSET the more infrastructure required</t>
  </si>
  <si>
    <t>See key policy scenario H</t>
  </si>
  <si>
    <t xml:space="preserve">If DBE requires educators to attend Professional Learning Community meetings then a policy decision needs to be taken as to whether to compensate them for their travel costs. </t>
  </si>
  <si>
    <t>National INSET Management</t>
  </si>
  <si>
    <t>District INSET Management</t>
  </si>
  <si>
    <t>Educator locum cost</t>
  </si>
  <si>
    <r>
      <t xml:space="preserve">Teacher education assumptions </t>
    </r>
    <r>
      <rPr>
        <i/>
        <sz val="10"/>
        <color theme="1"/>
        <rFont val="Arial"/>
        <family val="2"/>
      </rPr>
      <t>(proxy of INSET need)</t>
    </r>
  </si>
  <si>
    <t>INSET</t>
  </si>
  <si>
    <t>Final Draft</t>
  </si>
  <si>
    <t>Per cent of courses run during the school holidays (locum costs)</t>
  </si>
  <si>
    <t>Pragmatic scenario</t>
  </si>
  <si>
    <t>The Pragmatic scenario baseline is set at 40% of training days.</t>
  </si>
  <si>
    <t>The Pragmatic scenario baseline is set at 20% of courses are run during the school holidays.</t>
  </si>
  <si>
    <t>The Pragmatic scenario baseline is set at R150 per educator per meeting.</t>
  </si>
  <si>
    <t>Additional cost relative to the Pragmatic scenario - operations</t>
  </si>
  <si>
    <t>Additional cost relative to the Pragmatic scenario - infrastructure</t>
  </si>
  <si>
    <t>Policy scenario</t>
  </si>
  <si>
    <t>The Pragmatic scenario baseline is set at 33% participation in INSET.</t>
  </si>
  <si>
    <t>The Pragmatic scenario baseline is set at 30 training days in a three year cycle.
The greater the number of training days the more training infrastructure required.</t>
  </si>
  <si>
    <t>The Pragmatic scenario baseline is set at 30 trainees per course.</t>
  </si>
  <si>
    <t>Current spending scenario</t>
  </si>
  <si>
    <t>Operating costs</t>
  </si>
  <si>
    <t>Infrastructure costs</t>
  </si>
  <si>
    <t>Changing assumptions</t>
  </si>
  <si>
    <r>
      <t>As a general rule: if a number is in a</t>
    </r>
    <r>
      <rPr>
        <sz val="11"/>
        <rFont val="Calibri"/>
        <family val="2"/>
        <scheme val="minor"/>
      </rPr>
      <t xml:space="preserve"> blue cell </t>
    </r>
    <r>
      <rPr>
        <sz val="11"/>
        <color theme="1"/>
        <rFont val="Calibri"/>
        <family val="2"/>
        <scheme val="minor"/>
      </rPr>
      <t xml:space="preserve">then it is a variable that can be changed by the user. These cells contain conditional formatting that results in them being highlighted green   if the user changes the variable. This is to allow for easy tracking of scenario changes. </t>
    </r>
  </si>
  <si>
    <t xml:space="preserve">If a number is in a clear cell or a yellow cell   then it is a calculated amount based on the assumptions in the blue cells. The clear or yellow cells must not be 'over-typed' as they contain formulae (this will not be possible so long as the locked status of the spread sheets it maintained). </t>
  </si>
  <si>
    <t>PLEASE NOTE: the "working" cells in the costing model have been locked. This is to prevent users inadvertently deleting or changing the formulae in cells.</t>
  </si>
  <si>
    <t>Users of the costing model should always save their work as a new file when they start working so as to preserve an original copy of the costing model.</t>
  </si>
  <si>
    <t>Provincial and District INSET Management</t>
  </si>
  <si>
    <t>Total national employment</t>
  </si>
  <si>
    <t>Administrative staff (level 6)</t>
  </si>
  <si>
    <t>COE as % of INSET Total</t>
  </si>
  <si>
    <t>Cost of course facilitators</t>
  </si>
  <si>
    <t>Educator locum costs as % of INSET Total</t>
  </si>
  <si>
    <t>Other personnel related spending</t>
  </si>
  <si>
    <t>Course facilitator costs as % of INSET Total</t>
  </si>
  <si>
    <t>Total district cost of employment cost</t>
  </si>
  <si>
    <t>Total provincialemployment</t>
  </si>
  <si>
    <t>Locum teachers (FTE)</t>
  </si>
  <si>
    <t>Course facilitators (FTE)</t>
  </si>
  <si>
    <t>Pragmatic Scenario</t>
  </si>
  <si>
    <t>Policy Scenario</t>
  </si>
  <si>
    <t>Key policy parameters</t>
  </si>
  <si>
    <t>No. of training days educators are required to complete in a three year cycle</t>
  </si>
  <si>
    <t>The Pragmatic scenario baseline is set at 10% of short courses are residential.</t>
  </si>
  <si>
    <t>The Pragmatic scenario baseline for NICPD is set at 12 courses.</t>
  </si>
  <si>
    <t>The Pragmatic scenario baseline for PTDI is set at 12 courses.</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</si>
</sst>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5" formatCode="&quot;R&quot;\ #,##0;&quot;R&quot;\ \-#,##0"/>
    <numFmt numFmtId="6" formatCode="&quot;R&quot;\ #,##0;[Red]&quot;R&quot;\ \-#,##0"/>
    <numFmt numFmtId="7" formatCode="&quot;R&quot;\ #,##0.00;&quot;R&quot;\ \-#,##0.00"/>
    <numFmt numFmtId="8" formatCode="&quot;R&quot;\ #,##0.00;[Red]&quot;R&quot;\ \-#,##0.00"/>
    <numFmt numFmtId="41" formatCode="_ * #,##0_ ;_ * \-#,##0_ ;_ * &quot;-&quot;_ ;_ @_ "/>
    <numFmt numFmtId="44" formatCode="_ &quot;R&quot;\ * #,##0.00_ ;_ &quot;R&quot;\ * \-#,##0.00_ ;_ &quot;R&quot;\ * &quot;-&quot;??_ ;_ @_ "/>
    <numFmt numFmtId="43" formatCode="_ * #,##0.00_ ;_ * \-#,##0.00_ ;_ * &quot;-&quot;??_ ;_ @_ "/>
    <numFmt numFmtId="164" formatCode="_ * #,##0_ ;_ * \-#,##0_ ;_ * &quot;-&quot;??_ ;_ @_ "/>
    <numFmt numFmtId="165" formatCode="0.0%"/>
    <numFmt numFmtId="166" formatCode="###,###,###"/>
    <numFmt numFmtId="167" formatCode="_ &quot;R&quot;\ * #,##0_ ;_ &quot;R&quot;\ * \-#,##0_ ;_ &quot;R&quot;\ * &quot;-&quot;??_ ;_ @_ "/>
    <numFmt numFmtId="168" formatCode="_ &quot;R&quot;\ #,##0_ ;_ &quot;R&quot;\ \-#,##0_ ;_ &quot;R&quot;\ &quot;-&quot;??_ ;_ @_ "/>
    <numFmt numFmtId="169" formatCode="#,##0_ ;\-#,##0\ "/>
    <numFmt numFmtId="170" formatCode="_ &quot;R&quot;\ #,##0.00_ ;_ &quot;R&quot;\ \-#,##0.00_ ;_ &quot;R&quot;\ &quot;-&quot;??_ ;_ @_ "/>
    <numFmt numFmtId="171" formatCode="#,##0.00_ ;\-#,##0.00\ "/>
    <numFmt numFmtId="172" formatCode="&quot;R&quot;\ #\ ###\ ##0\ ;\-&quot;R&quot;\ #\ ###\ ##0;_ &quot;R&quot;\ &quot;-&quot;??_ ;_ @_ "/>
    <numFmt numFmtId="173" formatCode="###0;###0"/>
    <numFmt numFmtId="174" formatCode="_ * #,##0.0_ ;_ * \-#,##0.0_ ;_ * &quot;-&quot;??_ ;_ @_ "/>
    <numFmt numFmtId="175" formatCode="&quot;R&quot;\ #,##0"/>
    <numFmt numFmtId="176" formatCode="&quot;R&quot;\ #,##0.00"/>
  </numFmts>
  <fonts count="95"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sz val="10"/>
      <color theme="1"/>
      <name val="Arial"/>
      <family val="2"/>
    </font>
    <font>
      <sz val="10"/>
      <color theme="1"/>
      <name val="Arial"/>
      <family val="2"/>
    </font>
    <font>
      <sz val="10"/>
      <color theme="1"/>
      <name val="Arial Black"/>
      <family val="2"/>
    </font>
    <font>
      <sz val="9"/>
      <color indexed="81"/>
      <name val="Tahoma"/>
      <family val="2"/>
    </font>
    <font>
      <b/>
      <sz val="9"/>
      <color indexed="81"/>
      <name val="Tahoma"/>
      <family val="2"/>
    </font>
    <font>
      <sz val="8"/>
      <color theme="1"/>
      <name val="Arial"/>
      <family val="2"/>
    </font>
    <font>
      <b/>
      <sz val="9.5"/>
      <color theme="1"/>
      <name val="Arial"/>
      <family val="2"/>
    </font>
    <font>
      <sz val="9.5"/>
      <color theme="1"/>
      <name val="Arial"/>
      <family val="2"/>
    </font>
    <font>
      <b/>
      <sz val="10"/>
      <name val="Arial"/>
      <family val="2"/>
    </font>
    <font>
      <sz val="10"/>
      <name val="Arial"/>
      <family val="2"/>
    </font>
    <font>
      <sz val="11"/>
      <color rgb="FF1F497D"/>
      <name val="Calibri"/>
      <family val="2"/>
      <scheme val="minor"/>
    </font>
    <font>
      <i/>
      <sz val="11"/>
      <color theme="1"/>
      <name val="Arial"/>
      <family val="2"/>
    </font>
    <font>
      <sz val="10"/>
      <color theme="1"/>
      <name val="Calibri"/>
      <family val="2"/>
      <scheme val="minor"/>
    </font>
    <font>
      <u/>
      <sz val="11"/>
      <color theme="10"/>
      <name val="Calibri"/>
      <family val="2"/>
      <scheme val="minor"/>
    </font>
    <font>
      <u/>
      <sz val="10"/>
      <color theme="10"/>
      <name val="Arial"/>
      <family val="2"/>
    </font>
    <font>
      <i/>
      <sz val="10"/>
      <color theme="1"/>
      <name val="Arial"/>
      <family val="2"/>
    </font>
    <font>
      <u/>
      <sz val="11"/>
      <color theme="10"/>
      <name val="Arial"/>
      <family val="2"/>
    </font>
    <font>
      <b/>
      <sz val="14"/>
      <color theme="1"/>
      <name val="Arial"/>
      <family val="2"/>
    </font>
    <font>
      <b/>
      <sz val="12"/>
      <color theme="1"/>
      <name val="Arial"/>
      <family val="2"/>
    </font>
    <font>
      <b/>
      <sz val="16"/>
      <color theme="1"/>
      <name val="Arial"/>
      <family val="2"/>
    </font>
    <font>
      <sz val="10"/>
      <color theme="0" tint="-4.9989318521683403E-2"/>
      <name val="Arial"/>
      <family val="2"/>
    </font>
    <font>
      <b/>
      <sz val="12"/>
      <color indexed="8"/>
      <name val="Arial"/>
      <family val="2"/>
    </font>
    <font>
      <b/>
      <sz val="22"/>
      <name val="Times New Roman"/>
      <family val="1"/>
    </font>
    <font>
      <sz val="8"/>
      <name val="Times New Roman"/>
      <family val="1"/>
    </font>
    <font>
      <b/>
      <sz val="20"/>
      <name val="Arial"/>
      <family val="2"/>
    </font>
    <font>
      <u/>
      <sz val="12"/>
      <color theme="10"/>
      <name val="Calibri"/>
      <family val="2"/>
      <scheme val="minor"/>
    </font>
    <font>
      <sz val="10"/>
      <color rgb="FFFF0000"/>
      <name val="Arial"/>
      <family val="2"/>
    </font>
    <font>
      <b/>
      <sz val="11"/>
      <color indexed="8"/>
      <name val="Arial"/>
      <family val="2"/>
    </font>
    <font>
      <sz val="10"/>
      <color rgb="FFFF0000"/>
      <name val="Calibri"/>
      <family val="2"/>
      <scheme val="minor"/>
    </font>
    <font>
      <sz val="8"/>
      <color indexed="8"/>
      <name val="Arial"/>
      <family val="2"/>
    </font>
    <font>
      <sz val="12"/>
      <color indexed="8"/>
      <name val="Arial"/>
      <family val="2"/>
    </font>
    <font>
      <b/>
      <i/>
      <sz val="10"/>
      <color theme="1"/>
      <name val="Arial"/>
      <family val="2"/>
    </font>
    <font>
      <i/>
      <sz val="10"/>
      <color indexed="8"/>
      <name val="Arial"/>
      <family val="2"/>
    </font>
    <font>
      <b/>
      <sz val="10"/>
      <color indexed="8"/>
      <name val="Arial"/>
      <family val="2"/>
    </font>
    <font>
      <b/>
      <sz val="10"/>
      <color rgb="FF0000FF"/>
      <name val="Arial"/>
      <family val="2"/>
    </font>
    <font>
      <sz val="20"/>
      <color theme="1"/>
      <name val="Calibri"/>
      <family val="2"/>
      <scheme val="minor"/>
    </font>
    <font>
      <b/>
      <sz val="10"/>
      <name val="Times New Roman"/>
      <family val="1"/>
    </font>
    <font>
      <b/>
      <i/>
      <sz val="22"/>
      <color theme="0" tint="-0.499984740745262"/>
      <name val="Times New Roman"/>
      <family val="1"/>
    </font>
    <font>
      <b/>
      <i/>
      <sz val="16"/>
      <color theme="4" tint="-0.249977111117893"/>
      <name val="Arial"/>
      <family val="2"/>
    </font>
    <font>
      <b/>
      <i/>
      <sz val="11"/>
      <color theme="4" tint="-0.249977111117893"/>
      <name val="Arial"/>
      <family val="2"/>
    </font>
    <font>
      <b/>
      <sz val="14"/>
      <color rgb="FFFF0000"/>
      <name val="Times New Roman"/>
      <family val="1"/>
    </font>
    <font>
      <sz val="11"/>
      <name val="Times New Roman"/>
      <family val="1"/>
    </font>
    <font>
      <sz val="9"/>
      <name val="Times New Roman"/>
      <family val="1"/>
    </font>
    <font>
      <sz val="10"/>
      <name val="Times New Roman"/>
      <family val="1"/>
    </font>
    <font>
      <i/>
      <sz val="9"/>
      <name val="Times New Roman"/>
      <family val="1"/>
    </font>
    <font>
      <b/>
      <i/>
      <sz val="9"/>
      <name val="Times New Roman"/>
      <family val="1"/>
    </font>
    <font>
      <sz val="8"/>
      <name val="Arial"/>
      <family val="2"/>
    </font>
    <font>
      <b/>
      <sz val="9"/>
      <name val="Arial"/>
      <family val="2"/>
    </font>
    <font>
      <b/>
      <sz val="9"/>
      <color rgb="FF231F20"/>
      <name val="Arial"/>
      <family val="2"/>
    </font>
    <font>
      <sz val="8"/>
      <color rgb="FF231F20"/>
      <name val="Arial"/>
      <family val="2"/>
    </font>
    <font>
      <sz val="9"/>
      <color theme="1"/>
      <name val="Calibri"/>
      <family val="2"/>
      <scheme val="minor"/>
    </font>
    <font>
      <b/>
      <sz val="12"/>
      <color rgb="FF231F20"/>
      <name val="Arial"/>
      <family val="2"/>
    </font>
    <font>
      <i/>
      <sz val="11"/>
      <color indexed="8"/>
      <name val="Calibri"/>
      <family val="2"/>
      <scheme val="minor"/>
    </font>
    <font>
      <b/>
      <i/>
      <sz val="11"/>
      <color indexed="8"/>
      <name val="Calibri"/>
      <family val="2"/>
      <scheme val="minor"/>
    </font>
    <font>
      <i/>
      <sz val="10"/>
      <color theme="1"/>
      <name val="Calibri"/>
      <family val="2"/>
      <scheme val="minor"/>
    </font>
    <font>
      <sz val="10"/>
      <color rgb="FF000000"/>
      <name val="Times New Roman"/>
      <family val="1"/>
    </font>
    <font>
      <sz val="10"/>
      <color theme="1"/>
      <name val="Calibri"/>
      <family val="2"/>
    </font>
    <font>
      <b/>
      <sz val="8"/>
      <name val="Arial"/>
      <family val="2"/>
    </font>
    <font>
      <b/>
      <sz val="12"/>
      <color rgb="FFFF0000"/>
      <name val="Arial"/>
      <family val="2"/>
    </font>
    <font>
      <b/>
      <sz val="11"/>
      <color rgb="FFFF0000"/>
      <name val="Arial"/>
      <family val="2"/>
    </font>
    <font>
      <b/>
      <sz val="9"/>
      <color theme="1"/>
      <name val="Calibri"/>
      <family val="2"/>
      <scheme val="minor"/>
    </font>
    <font>
      <b/>
      <sz val="11"/>
      <color rgb="FF000000"/>
      <name val="Arial"/>
      <family val="2"/>
    </font>
    <font>
      <sz val="9"/>
      <color theme="1"/>
      <name val="Arial"/>
      <family val="2"/>
    </font>
    <font>
      <sz val="11"/>
      <name val="Arial"/>
      <family val="2"/>
    </font>
    <font>
      <sz val="11"/>
      <color theme="3" tint="0.39997558519241921"/>
      <name val="Arial"/>
      <family val="2"/>
    </font>
    <font>
      <sz val="10"/>
      <color theme="3" tint="0.39997558519241921"/>
      <name val="Arial"/>
      <family val="2"/>
    </font>
    <font>
      <sz val="10"/>
      <color rgb="FF000000"/>
      <name val="Arial"/>
      <family val="2"/>
    </font>
    <font>
      <b/>
      <sz val="11"/>
      <name val="Arial"/>
      <family val="2"/>
    </font>
    <font>
      <sz val="10"/>
      <color rgb="FF0000FF"/>
      <name val="Arial"/>
      <family val="2"/>
    </font>
    <font>
      <i/>
      <sz val="11"/>
      <color indexed="8"/>
      <name val="Arial"/>
      <family val="2"/>
    </font>
    <font>
      <b/>
      <i/>
      <sz val="11"/>
      <color indexed="8"/>
      <name val="Arial"/>
      <family val="2"/>
    </font>
    <font>
      <sz val="11"/>
      <color rgb="FF0000FF"/>
      <name val="Arial"/>
      <family val="2"/>
    </font>
    <font>
      <i/>
      <sz val="10"/>
      <name val="Arial"/>
      <family val="2"/>
    </font>
    <font>
      <b/>
      <sz val="20"/>
      <color theme="1"/>
      <name val="Arial"/>
      <family val="2"/>
    </font>
    <font>
      <b/>
      <sz val="10"/>
      <color theme="3" tint="-0.249977111117893"/>
      <name val="Arial"/>
      <family val="2"/>
    </font>
    <font>
      <sz val="11"/>
      <color theme="0" tint="-4.9989318521683403E-2"/>
      <name val="Arial"/>
      <family val="2"/>
    </font>
    <font>
      <b/>
      <sz val="10"/>
      <color rgb="FFFF0000"/>
      <name val="Arial"/>
      <family val="2"/>
    </font>
    <font>
      <sz val="11"/>
      <color rgb="FFFF0000"/>
      <name val="Arial"/>
      <family val="2"/>
    </font>
    <font>
      <b/>
      <sz val="18"/>
      <color theme="1"/>
      <name val="Arial"/>
      <family val="2"/>
    </font>
    <font>
      <b/>
      <sz val="16"/>
      <color rgb="FFFF0000"/>
      <name val="Arial"/>
      <family val="2"/>
    </font>
    <font>
      <sz val="9"/>
      <color rgb="FF0000FF"/>
      <name val="Arial"/>
      <family val="2"/>
    </font>
    <font>
      <sz val="10"/>
      <color rgb="FF00B050"/>
      <name val="Arial"/>
      <family val="2"/>
    </font>
    <font>
      <b/>
      <sz val="16"/>
      <color theme="4" tint="-0.249977111117893"/>
      <name val="Arial"/>
      <family val="2"/>
    </font>
    <font>
      <b/>
      <u/>
      <sz val="11"/>
      <color theme="1"/>
      <name val="Arial"/>
      <family val="2"/>
    </font>
    <font>
      <sz val="11"/>
      <name val="Calibri"/>
      <family val="2"/>
      <scheme val="minor"/>
    </font>
    <font>
      <b/>
      <sz val="11"/>
      <color rgb="FFFF0000"/>
      <name val="Calibri"/>
      <family val="2"/>
      <scheme val="minor"/>
    </font>
    <font>
      <sz val="10"/>
      <color indexed="8"/>
      <name val="Arial"/>
      <family val="2"/>
    </font>
    <font>
      <i/>
      <sz val="11"/>
      <color theme="1"/>
      <name val="Calibri"/>
      <family val="2"/>
      <scheme val="minor"/>
    </font>
    <font>
      <b/>
      <sz val="10"/>
      <color theme="1"/>
      <name val="Calibri"/>
      <family val="2"/>
      <scheme val="minor"/>
    </font>
    <font>
      <i/>
      <sz val="9"/>
      <color theme="1"/>
      <name val="Calibri"/>
      <family val="2"/>
      <scheme val="minor"/>
    </font>
  </fonts>
  <fills count="37">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theme="5" tint="0.79998168889431442"/>
        <bgColor indexed="64"/>
      </patternFill>
    </fill>
    <fill>
      <patternFill patternType="solid">
        <fgColor rgb="FF33CCFF"/>
        <bgColor indexed="64"/>
      </patternFill>
    </fill>
    <fill>
      <patternFill patternType="solid">
        <fgColor rgb="FF66FF3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indexed="9"/>
        <bgColor indexed="64"/>
      </patternFill>
    </fill>
    <fill>
      <patternFill patternType="solid">
        <fgColor theme="5" tint="0.39997558519241921"/>
        <bgColor indexed="64"/>
      </patternFill>
    </fill>
    <fill>
      <patternFill patternType="solid">
        <fgColor theme="3" tint="-0.249977111117893"/>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00CCFF"/>
        <bgColor indexed="64"/>
      </patternFill>
    </fill>
    <fill>
      <patternFill patternType="solid">
        <fgColor theme="3" tint="0.59999389629810485"/>
        <bgColor indexed="64"/>
      </patternFill>
    </fill>
    <fill>
      <patternFill patternType="solid">
        <fgColor rgb="FFDBEEF3"/>
        <bgColor rgb="FF000000"/>
      </patternFill>
    </fill>
    <fill>
      <patternFill patternType="solid">
        <fgColor theme="6" tint="0.399975585192419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0000"/>
        <bgColor indexed="64"/>
      </patternFill>
    </fill>
    <fill>
      <patternFill patternType="solid">
        <fgColor rgb="FFFF5050"/>
        <bgColor indexed="64"/>
      </patternFill>
    </fill>
    <fill>
      <patternFill patternType="solid">
        <fgColor rgb="FFFFC000"/>
        <bgColor indexed="64"/>
      </patternFill>
    </fill>
    <fill>
      <gradientFill type="path" left="0.5" right="0.5" top="0.5" bottom="0.5">
        <stop position="0">
          <color theme="0"/>
        </stop>
        <stop position="1">
          <color theme="4"/>
        </stop>
      </gradientFill>
    </fill>
    <fill>
      <patternFill patternType="solid">
        <fgColor rgb="FF92D050"/>
        <bgColor indexed="64"/>
      </patternFill>
    </fill>
    <fill>
      <gradientFill type="path" left="0.5" right="0.5" top="0.5" bottom="0.5">
        <stop position="0">
          <color theme="0"/>
        </stop>
        <stop position="1">
          <color rgb="FFFF0000"/>
        </stop>
      </gradientFill>
    </fill>
  </fills>
  <borders count="2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right/>
      <top style="thin">
        <color indexed="64"/>
      </top>
      <bottom style="hair">
        <color auto="1"/>
      </bottom>
      <diagonal/>
    </border>
    <border>
      <left/>
      <right/>
      <top style="hair">
        <color auto="1"/>
      </top>
      <bottom style="thin">
        <color auto="1"/>
      </bottom>
      <diagonal/>
    </border>
    <border>
      <left/>
      <right/>
      <top style="thin">
        <color indexed="64"/>
      </top>
      <bottom style="double">
        <color indexed="64"/>
      </bottom>
      <diagonal/>
    </border>
    <border>
      <left/>
      <right/>
      <top style="double">
        <color indexed="64"/>
      </top>
      <bottom style="double">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auto="1"/>
      </left>
      <right style="thin">
        <color auto="1"/>
      </right>
      <top style="thin">
        <color auto="1"/>
      </top>
      <bottom style="thin">
        <color auto="1"/>
      </bottom>
      <diagonal/>
    </border>
    <border>
      <left/>
      <right style="thin">
        <color auto="1"/>
      </right>
      <top/>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xf numFmtId="43" fontId="60" fillId="0" borderId="0" applyFont="0" applyFill="0" applyBorder="0" applyAlignment="0" applyProtection="0"/>
    <xf numFmtId="0" fontId="14" fillId="0" borderId="0"/>
    <xf numFmtId="0" fontId="60" fillId="0" borderId="0"/>
    <xf numFmtId="0" fontId="14" fillId="0" borderId="0"/>
    <xf numFmtId="0" fontId="61" fillId="0" borderId="0"/>
  </cellStyleXfs>
  <cellXfs count="951">
    <xf numFmtId="0" fontId="0" fillId="0" borderId="0" xfId="0"/>
    <xf numFmtId="0" fontId="2" fillId="0" borderId="0" xfId="0" applyFont="1"/>
    <xf numFmtId="0" fontId="3" fillId="0" borderId="0" xfId="0" applyFont="1"/>
    <xf numFmtId="0" fontId="4" fillId="0" borderId="0" xfId="0" applyFont="1"/>
    <xf numFmtId="0" fontId="3" fillId="0" borderId="0" xfId="0" applyFont="1" applyAlignment="1">
      <alignment horizontal="justify" vertical="center"/>
    </xf>
    <xf numFmtId="0" fontId="5" fillId="2" borderId="1" xfId="0" applyFont="1" applyFill="1" applyBorder="1" applyAlignment="1">
      <alignment horizontal="justify" vertical="center" wrapText="1"/>
    </xf>
    <xf numFmtId="0" fontId="5" fillId="2" borderId="2" xfId="0" applyFont="1" applyFill="1" applyBorder="1" applyAlignment="1">
      <alignment horizontal="justify" vertical="center" wrapText="1"/>
    </xf>
    <xf numFmtId="0" fontId="6" fillId="0" borderId="3" xfId="0" applyFont="1" applyBorder="1" applyAlignment="1">
      <alignment horizontal="justify" vertical="center" wrapText="1"/>
    </xf>
    <xf numFmtId="0" fontId="6" fillId="0" borderId="4" xfId="0" applyFont="1" applyBorder="1" applyAlignment="1">
      <alignment horizontal="center" vertical="center" wrapText="1"/>
    </xf>
    <xf numFmtId="9" fontId="6" fillId="0" borderId="4" xfId="0" applyNumberFormat="1" applyFont="1" applyBorder="1" applyAlignment="1">
      <alignment horizontal="center" vertical="center" wrapText="1"/>
    </xf>
    <xf numFmtId="0" fontId="6" fillId="0" borderId="0" xfId="0" applyFont="1" applyFill="1" applyBorder="1" applyAlignment="1">
      <alignment horizontal="justify" vertical="center" wrapText="1"/>
    </xf>
    <xf numFmtId="44" fontId="0" fillId="0" borderId="0" xfId="2" applyFont="1"/>
    <xf numFmtId="0" fontId="7" fillId="0" borderId="0" xfId="0" applyFont="1"/>
    <xf numFmtId="0" fontId="0" fillId="0" borderId="0" xfId="0" applyAlignment="1">
      <alignment horizontal="left" indent="1"/>
    </xf>
    <xf numFmtId="9" fontId="0" fillId="0" borderId="0" xfId="3" applyFont="1"/>
    <xf numFmtId="0" fontId="0" fillId="0" borderId="0" xfId="0" applyAlignment="1">
      <alignment horizontal="left"/>
    </xf>
    <xf numFmtId="0" fontId="6" fillId="0" borderId="0" xfId="0" applyFont="1" applyBorder="1" applyAlignment="1">
      <alignment horizontal="center" vertical="center" wrapText="1"/>
    </xf>
    <xf numFmtId="9" fontId="6" fillId="0" borderId="0" xfId="0" applyNumberFormat="1" applyFont="1" applyBorder="1" applyAlignment="1">
      <alignment horizontal="center" vertical="center" wrapText="1"/>
    </xf>
    <xf numFmtId="0" fontId="6" fillId="0" borderId="0" xfId="0" applyFont="1" applyBorder="1" applyAlignment="1">
      <alignment horizontal="left" vertical="center" wrapText="1"/>
    </xf>
    <xf numFmtId="0" fontId="4" fillId="0" borderId="0" xfId="0" applyFont="1" applyAlignment="1">
      <alignment horizontal="left" indent="1"/>
    </xf>
    <xf numFmtId="0" fontId="4" fillId="0" borderId="0" xfId="0" applyFont="1" applyAlignment="1">
      <alignment horizontal="justify" vertical="center"/>
    </xf>
    <xf numFmtId="44" fontId="0" fillId="3" borderId="0" xfId="2" applyFont="1" applyFill="1"/>
    <xf numFmtId="0" fontId="0" fillId="3" borderId="0" xfId="0" applyFill="1"/>
    <xf numFmtId="0" fontId="11" fillId="0" borderId="0" xfId="0" applyFont="1" applyAlignment="1">
      <alignment vertical="center"/>
    </xf>
    <xf numFmtId="0" fontId="12" fillId="0" borderId="0" xfId="0" applyFont="1" applyAlignment="1">
      <alignment vertical="center"/>
    </xf>
    <xf numFmtId="3" fontId="0" fillId="0" borderId="0" xfId="0" applyNumberFormat="1"/>
    <xf numFmtId="3" fontId="11" fillId="0" borderId="0" xfId="0" applyNumberFormat="1" applyFont="1" applyAlignment="1">
      <alignment vertical="center"/>
    </xf>
    <xf numFmtId="0" fontId="0" fillId="3" borderId="0" xfId="0" applyFill="1" applyAlignment="1">
      <alignment horizontal="left" indent="1"/>
    </xf>
    <xf numFmtId="0" fontId="6" fillId="0" borderId="0" xfId="0" applyFont="1"/>
    <xf numFmtId="0" fontId="5" fillId="0" borderId="0" xfId="0" applyFont="1"/>
    <xf numFmtId="0" fontId="6" fillId="0" borderId="0" xfId="0" applyFont="1" applyAlignment="1">
      <alignment horizontal="left" indent="1"/>
    </xf>
    <xf numFmtId="0" fontId="6" fillId="4" borderId="0" xfId="0" applyFont="1" applyFill="1"/>
    <xf numFmtId="0" fontId="6" fillId="5" borderId="0" xfId="0" applyFont="1" applyFill="1"/>
    <xf numFmtId="0" fontId="6" fillId="6" borderId="0" xfId="0" applyFont="1" applyFill="1"/>
    <xf numFmtId="0" fontId="6" fillId="0" borderId="5" xfId="0" applyFont="1" applyBorder="1"/>
    <xf numFmtId="0" fontId="6" fillId="0" borderId="0" xfId="0" applyFont="1" applyBorder="1"/>
    <xf numFmtId="0" fontId="6" fillId="0" borderId="6" xfId="0" applyFont="1" applyBorder="1"/>
    <xf numFmtId="0" fontId="6" fillId="0" borderId="7" xfId="0" applyFont="1" applyBorder="1"/>
    <xf numFmtId="0" fontId="5" fillId="0" borderId="0" xfId="0" applyFont="1" applyBorder="1"/>
    <xf numFmtId="44" fontId="4" fillId="0" borderId="0" xfId="2" applyFont="1"/>
    <xf numFmtId="0" fontId="4" fillId="0" borderId="0" xfId="0" applyFont="1" applyAlignment="1">
      <alignment horizontal="left"/>
    </xf>
    <xf numFmtId="0" fontId="6" fillId="0" borderId="0" xfId="0" applyFont="1" applyAlignment="1">
      <alignment horizontal="left"/>
    </xf>
    <xf numFmtId="44" fontId="4" fillId="0" borderId="0" xfId="0" applyNumberFormat="1" applyFont="1"/>
    <xf numFmtId="0" fontId="15" fillId="0" borderId="0" xfId="0" applyFont="1"/>
    <xf numFmtId="0" fontId="6" fillId="0" borderId="0" xfId="0" applyFont="1" applyFill="1" applyBorder="1" applyAlignment="1">
      <alignment horizontal="left" vertical="center" wrapText="1" indent="2"/>
    </xf>
    <xf numFmtId="0" fontId="5" fillId="0" borderId="0" xfId="0" applyFont="1" applyFill="1" applyBorder="1" applyAlignment="1">
      <alignment horizontal="left" vertical="center" wrapText="1" indent="2"/>
    </xf>
    <xf numFmtId="9" fontId="6" fillId="9" borderId="0" xfId="3" applyFont="1" applyFill="1"/>
    <xf numFmtId="0" fontId="6" fillId="9" borderId="0" xfId="0" applyFont="1" applyFill="1"/>
    <xf numFmtId="9" fontId="6" fillId="9" borderId="0" xfId="0" applyNumberFormat="1" applyFont="1" applyFill="1"/>
    <xf numFmtId="0" fontId="5" fillId="0" borderId="7" xfId="0" applyFont="1" applyBorder="1"/>
    <xf numFmtId="167" fontId="6" fillId="0" borderId="0" xfId="2" applyNumberFormat="1" applyFont="1" applyBorder="1"/>
    <xf numFmtId="0" fontId="6" fillId="0" borderId="0" xfId="0" applyFont="1" applyBorder="1" applyAlignment="1">
      <alignment horizontal="left" indent="1"/>
    </xf>
    <xf numFmtId="164" fontId="6" fillId="8" borderId="0" xfId="1" applyNumberFormat="1" applyFont="1" applyFill="1"/>
    <xf numFmtId="164" fontId="6" fillId="8" borderId="0" xfId="0" applyNumberFormat="1" applyFont="1" applyFill="1"/>
    <xf numFmtId="0" fontId="5" fillId="0" borderId="0" xfId="0" applyFont="1" applyBorder="1" applyAlignment="1">
      <alignment horizontal="left"/>
    </xf>
    <xf numFmtId="164" fontId="6" fillId="9" borderId="0" xfId="1" applyNumberFormat="1" applyFont="1" applyFill="1"/>
    <xf numFmtId="165" fontId="6" fillId="9" borderId="0" xfId="3" applyNumberFormat="1" applyFont="1" applyFill="1"/>
    <xf numFmtId="0" fontId="6" fillId="10" borderId="0" xfId="0" applyFont="1" applyFill="1"/>
    <xf numFmtId="0" fontId="19" fillId="0" borderId="0" xfId="4" applyFont="1"/>
    <xf numFmtId="0" fontId="5" fillId="12" borderId="0" xfId="0" applyFont="1" applyFill="1"/>
    <xf numFmtId="0" fontId="5" fillId="7" borderId="0" xfId="0" applyFont="1" applyFill="1"/>
    <xf numFmtId="0" fontId="6" fillId="12" borderId="0" xfId="0" applyFont="1" applyFill="1"/>
    <xf numFmtId="164" fontId="6" fillId="8" borderId="6" xfId="0" applyNumberFormat="1" applyFont="1" applyFill="1" applyBorder="1"/>
    <xf numFmtId="164" fontId="6" fillId="8" borderId="6" xfId="1" applyNumberFormat="1" applyFont="1" applyFill="1" applyBorder="1"/>
    <xf numFmtId="164" fontId="6" fillId="8" borderId="0" xfId="1" applyNumberFormat="1" applyFont="1" applyFill="1" applyBorder="1"/>
    <xf numFmtId="0" fontId="6" fillId="0" borderId="6" xfId="0" applyFont="1" applyBorder="1" applyAlignment="1">
      <alignment horizontal="left" indent="1"/>
    </xf>
    <xf numFmtId="43" fontId="6" fillId="8" borderId="6" xfId="0" applyNumberFormat="1" applyFont="1" applyFill="1" applyBorder="1"/>
    <xf numFmtId="0" fontId="6" fillId="0" borderId="8" xfId="0" applyFont="1" applyBorder="1"/>
    <xf numFmtId="164" fontId="6" fillId="8" borderId="0" xfId="0" applyNumberFormat="1" applyFont="1" applyFill="1" applyBorder="1"/>
    <xf numFmtId="0" fontId="6" fillId="0" borderId="9" xfId="0" applyFont="1" applyBorder="1" applyAlignment="1">
      <alignment horizontal="left" indent="1"/>
    </xf>
    <xf numFmtId="164" fontId="6" fillId="8" borderId="9" xfId="0" applyNumberFormat="1" applyFont="1" applyFill="1" applyBorder="1"/>
    <xf numFmtId="0" fontId="6" fillId="0" borderId="9" xfId="0" applyFont="1" applyBorder="1"/>
    <xf numFmtId="0" fontId="6" fillId="9" borderId="0" xfId="0" applyFont="1" applyFill="1" applyBorder="1"/>
    <xf numFmtId="0" fontId="6" fillId="9" borderId="9" xfId="0" applyFont="1" applyFill="1" applyBorder="1"/>
    <xf numFmtId="0" fontId="6" fillId="9" borderId="8" xfId="0" applyFont="1" applyFill="1" applyBorder="1"/>
    <xf numFmtId="0" fontId="6" fillId="0" borderId="10" xfId="0" applyFont="1" applyBorder="1"/>
    <xf numFmtId="0" fontId="20" fillId="0" borderId="0" xfId="0" applyFont="1" applyBorder="1" applyAlignment="1">
      <alignment horizontal="left" indent="1"/>
    </xf>
    <xf numFmtId="0" fontId="20" fillId="0" borderId="9" xfId="0" applyFont="1" applyBorder="1" applyAlignment="1">
      <alignment horizontal="left" indent="1"/>
    </xf>
    <xf numFmtId="0" fontId="20" fillId="0" borderId="0" xfId="0" applyFont="1" applyAlignment="1">
      <alignment horizontal="left" indent="1"/>
    </xf>
    <xf numFmtId="0" fontId="6" fillId="9" borderId="8" xfId="0" applyFont="1" applyFill="1" applyBorder="1" applyProtection="1">
      <protection locked="0"/>
    </xf>
    <xf numFmtId="0" fontId="6" fillId="9" borderId="0" xfId="0" applyFont="1" applyFill="1" applyBorder="1" applyProtection="1">
      <protection locked="0"/>
    </xf>
    <xf numFmtId="0" fontId="6" fillId="9" borderId="9" xfId="0" applyFont="1" applyFill="1" applyBorder="1" applyProtection="1">
      <protection locked="0"/>
    </xf>
    <xf numFmtId="165" fontId="6" fillId="9" borderId="8" xfId="3" applyNumberFormat="1" applyFont="1" applyFill="1" applyBorder="1"/>
    <xf numFmtId="165" fontId="6" fillId="9" borderId="9" xfId="3" applyNumberFormat="1" applyFont="1" applyFill="1" applyBorder="1"/>
    <xf numFmtId="164" fontId="6" fillId="8" borderId="8" xfId="1" applyNumberFormat="1" applyFont="1" applyFill="1" applyBorder="1"/>
    <xf numFmtId="164" fontId="6" fillId="8" borderId="9" xfId="1" applyNumberFormat="1" applyFont="1" applyFill="1" applyBorder="1"/>
    <xf numFmtId="0" fontId="20" fillId="0" borderId="0" xfId="0" applyFont="1" applyAlignment="1">
      <alignment horizontal="left" indent="2"/>
    </xf>
    <xf numFmtId="0" fontId="6" fillId="0" borderId="11" xfId="0" applyFont="1" applyBorder="1"/>
    <xf numFmtId="0" fontId="6" fillId="0" borderId="12" xfId="0" applyFont="1" applyBorder="1"/>
    <xf numFmtId="165" fontId="6" fillId="9" borderId="0" xfId="3" applyNumberFormat="1" applyFont="1" applyFill="1" applyProtection="1">
      <protection locked="0"/>
    </xf>
    <xf numFmtId="0" fontId="6" fillId="10" borderId="0" xfId="0" applyFont="1" applyFill="1" applyProtection="1">
      <protection locked="0"/>
    </xf>
    <xf numFmtId="164" fontId="6" fillId="8" borderId="10" xfId="1" applyNumberFormat="1" applyFont="1" applyFill="1" applyBorder="1"/>
    <xf numFmtId="164" fontId="6" fillId="8" borderId="8" xfId="0" applyNumberFormat="1" applyFont="1" applyFill="1" applyBorder="1"/>
    <xf numFmtId="0" fontId="6" fillId="9" borderId="0" xfId="0" applyFont="1" applyFill="1" applyProtection="1">
      <protection locked="0"/>
    </xf>
    <xf numFmtId="9" fontId="6" fillId="9" borderId="0" xfId="0" applyNumberFormat="1" applyFont="1" applyFill="1" applyProtection="1">
      <protection locked="0"/>
    </xf>
    <xf numFmtId="164" fontId="6" fillId="9" borderId="0" xfId="1" applyNumberFormat="1" applyFont="1" applyFill="1" applyProtection="1">
      <protection locked="0"/>
    </xf>
    <xf numFmtId="9" fontId="6" fillId="9" borderId="8" xfId="3" applyFont="1" applyFill="1" applyBorder="1"/>
    <xf numFmtId="9" fontId="6" fillId="9" borderId="8" xfId="3" applyFont="1" applyFill="1" applyBorder="1" applyProtection="1">
      <protection locked="0"/>
    </xf>
    <xf numFmtId="9" fontId="6" fillId="8" borderId="10" xfId="0" applyNumberFormat="1" applyFont="1" applyFill="1" applyBorder="1"/>
    <xf numFmtId="164" fontId="6" fillId="8" borderId="12" xfId="1" applyNumberFormat="1" applyFont="1" applyFill="1" applyBorder="1"/>
    <xf numFmtId="164" fontId="6" fillId="9" borderId="6" xfId="1" applyNumberFormat="1" applyFont="1" applyFill="1" applyBorder="1"/>
    <xf numFmtId="9" fontId="6" fillId="9" borderId="5" xfId="3" applyFont="1" applyFill="1" applyBorder="1"/>
    <xf numFmtId="9" fontId="6" fillId="9" borderId="0" xfId="3" applyFont="1" applyFill="1" applyBorder="1"/>
    <xf numFmtId="9" fontId="6" fillId="9" borderId="9" xfId="3" applyFont="1" applyFill="1" applyBorder="1"/>
    <xf numFmtId="9" fontId="6" fillId="9" borderId="0" xfId="3" applyFont="1" applyFill="1" applyProtection="1">
      <protection locked="0"/>
    </xf>
    <xf numFmtId="164" fontId="6" fillId="9" borderId="6" xfId="1" applyNumberFormat="1" applyFont="1" applyFill="1" applyBorder="1" applyProtection="1">
      <protection locked="0"/>
    </xf>
    <xf numFmtId="9" fontId="6" fillId="9" borderId="5" xfId="3" applyFont="1" applyFill="1" applyBorder="1" applyProtection="1">
      <protection locked="0"/>
    </xf>
    <xf numFmtId="9" fontId="6" fillId="9" borderId="0" xfId="3" applyFont="1" applyFill="1" applyBorder="1" applyProtection="1">
      <protection locked="0"/>
    </xf>
    <xf numFmtId="9" fontId="6" fillId="9" borderId="9" xfId="3" applyFont="1" applyFill="1" applyBorder="1" applyProtection="1">
      <protection locked="0"/>
    </xf>
    <xf numFmtId="0" fontId="6" fillId="0" borderId="8" xfId="0" applyFont="1" applyBorder="1" applyAlignment="1">
      <alignment horizontal="left"/>
    </xf>
    <xf numFmtId="0" fontId="6" fillId="0" borderId="9" xfId="0" applyFont="1" applyBorder="1" applyAlignment="1">
      <alignment horizontal="left"/>
    </xf>
    <xf numFmtId="0" fontId="6" fillId="0" borderId="8" xfId="0" applyFont="1" applyBorder="1" applyAlignment="1">
      <alignment horizontal="left" indent="1"/>
    </xf>
    <xf numFmtId="165" fontId="6" fillId="9" borderId="8" xfId="3" applyNumberFormat="1" applyFont="1" applyFill="1" applyBorder="1" applyProtection="1">
      <protection locked="0"/>
    </xf>
    <xf numFmtId="165" fontId="6" fillId="9" borderId="9" xfId="3" applyNumberFormat="1" applyFont="1" applyFill="1" applyBorder="1" applyProtection="1">
      <protection locked="0"/>
    </xf>
    <xf numFmtId="0" fontId="5" fillId="0" borderId="14" xfId="0" applyFont="1" applyBorder="1"/>
    <xf numFmtId="0" fontId="5" fillId="0" borderId="15" xfId="0" applyFont="1" applyBorder="1"/>
    <xf numFmtId="0" fontId="6" fillId="12" borderId="6" xfId="0" applyFont="1" applyFill="1" applyBorder="1"/>
    <xf numFmtId="0" fontId="19" fillId="0" borderId="11" xfId="4" applyFont="1" applyBorder="1"/>
    <xf numFmtId="0" fontId="19" fillId="0" borderId="10" xfId="4" applyFont="1" applyBorder="1"/>
    <xf numFmtId="0" fontId="19" fillId="0" borderId="9" xfId="4" applyFont="1" applyBorder="1"/>
    <xf numFmtId="0" fontId="6" fillId="0" borderId="10" xfId="0" applyFont="1" applyBorder="1" applyAlignment="1">
      <alignment horizontal="left" indent="1"/>
    </xf>
    <xf numFmtId="0" fontId="21" fillId="0" borderId="0" xfId="4" applyFont="1"/>
    <xf numFmtId="0" fontId="22" fillId="0" borderId="0" xfId="0" applyFont="1"/>
    <xf numFmtId="168" fontId="23" fillId="13" borderId="7" xfId="0" applyNumberFormat="1" applyFont="1" applyFill="1" applyBorder="1" applyAlignment="1">
      <alignment horizontal="right"/>
    </xf>
    <xf numFmtId="168" fontId="23" fillId="14" borderId="7" xfId="0" applyNumberFormat="1" applyFont="1" applyFill="1" applyBorder="1" applyAlignment="1">
      <alignment horizontal="right"/>
    </xf>
    <xf numFmtId="168" fontId="23" fillId="15" borderId="7" xfId="0" applyNumberFormat="1" applyFont="1" applyFill="1" applyBorder="1" applyAlignment="1">
      <alignment horizontal="right"/>
    </xf>
    <xf numFmtId="168" fontId="5" fillId="12" borderId="13" xfId="0" applyNumberFormat="1" applyFont="1" applyFill="1" applyBorder="1" applyAlignment="1">
      <alignment horizontal="right"/>
    </xf>
    <xf numFmtId="168" fontId="5" fillId="13" borderId="7" xfId="0" applyNumberFormat="1" applyFont="1" applyFill="1" applyBorder="1" applyAlignment="1">
      <alignment horizontal="right"/>
    </xf>
    <xf numFmtId="168" fontId="5" fillId="14" borderId="7" xfId="0" applyNumberFormat="1" applyFont="1" applyFill="1" applyBorder="1" applyAlignment="1">
      <alignment horizontal="right"/>
    </xf>
    <xf numFmtId="168" fontId="5" fillId="15" borderId="7" xfId="0" applyNumberFormat="1" applyFont="1" applyFill="1" applyBorder="1" applyAlignment="1">
      <alignment horizontal="right"/>
    </xf>
    <xf numFmtId="168" fontId="6" fillId="13" borderId="0" xfId="2" applyNumberFormat="1" applyFont="1" applyFill="1" applyAlignment="1">
      <alignment horizontal="right"/>
    </xf>
    <xf numFmtId="168" fontId="6" fillId="14" borderId="0" xfId="2" applyNumberFormat="1" applyFont="1" applyFill="1" applyAlignment="1">
      <alignment horizontal="right"/>
    </xf>
    <xf numFmtId="168" fontId="6" fillId="15" borderId="0" xfId="2" applyNumberFormat="1" applyFont="1" applyFill="1" applyAlignment="1">
      <alignment horizontal="right"/>
    </xf>
    <xf numFmtId="168" fontId="5" fillId="13" borderId="7" xfId="2" applyNumberFormat="1" applyFont="1" applyFill="1" applyBorder="1" applyAlignment="1">
      <alignment horizontal="right"/>
    </xf>
    <xf numFmtId="168" fontId="5" fillId="14" borderId="7" xfId="2" applyNumberFormat="1" applyFont="1" applyFill="1" applyBorder="1" applyAlignment="1">
      <alignment horizontal="right"/>
    </xf>
    <xf numFmtId="168" fontId="5" fillId="15" borderId="7" xfId="2" applyNumberFormat="1" applyFont="1" applyFill="1" applyBorder="1" applyAlignment="1">
      <alignment horizontal="right"/>
    </xf>
    <xf numFmtId="168" fontId="5" fillId="13" borderId="6" xfId="2" applyNumberFormat="1" applyFont="1" applyFill="1" applyBorder="1" applyAlignment="1">
      <alignment horizontal="right"/>
    </xf>
    <xf numFmtId="168" fontId="5" fillId="14" borderId="6" xfId="2" applyNumberFormat="1" applyFont="1" applyFill="1" applyBorder="1" applyAlignment="1">
      <alignment horizontal="right"/>
    </xf>
    <xf numFmtId="168" fontId="5" fillId="15" borderId="6" xfId="2" applyNumberFormat="1" applyFont="1" applyFill="1" applyBorder="1" applyAlignment="1">
      <alignment horizontal="right"/>
    </xf>
    <xf numFmtId="168" fontId="6" fillId="13" borderId="0" xfId="0" applyNumberFormat="1" applyFont="1" applyFill="1" applyAlignment="1">
      <alignment horizontal="right"/>
    </xf>
    <xf numFmtId="168" fontId="6" fillId="14" borderId="0" xfId="0" applyNumberFormat="1" applyFont="1" applyFill="1" applyAlignment="1">
      <alignment horizontal="right"/>
    </xf>
    <xf numFmtId="168" fontId="6" fillId="15" borderId="0" xfId="0" applyNumberFormat="1" applyFont="1" applyFill="1" applyAlignment="1">
      <alignment horizontal="right"/>
    </xf>
    <xf numFmtId="168" fontId="5" fillId="13" borderId="0" xfId="0" applyNumberFormat="1" applyFont="1" applyFill="1" applyBorder="1" applyAlignment="1">
      <alignment horizontal="right"/>
    </xf>
    <xf numFmtId="168" fontId="5" fillId="14" borderId="0" xfId="0" applyNumberFormat="1" applyFont="1" applyFill="1" applyBorder="1" applyAlignment="1">
      <alignment horizontal="right"/>
    </xf>
    <xf numFmtId="168" fontId="5" fillId="15" borderId="0" xfId="0" applyNumberFormat="1" applyFont="1" applyFill="1" applyBorder="1" applyAlignment="1">
      <alignment horizontal="right"/>
    </xf>
    <xf numFmtId="168" fontId="5" fillId="13" borderId="15" xfId="0" applyNumberFormat="1" applyFont="1" applyFill="1" applyBorder="1" applyAlignment="1">
      <alignment horizontal="right"/>
    </xf>
    <xf numFmtId="168" fontId="5" fillId="14" borderId="15" xfId="0" applyNumberFormat="1" applyFont="1" applyFill="1" applyBorder="1" applyAlignment="1">
      <alignment horizontal="right"/>
    </xf>
    <xf numFmtId="168" fontId="5" fillId="15" borderId="15" xfId="0" applyNumberFormat="1" applyFont="1" applyFill="1" applyBorder="1" applyAlignment="1">
      <alignment horizontal="right"/>
    </xf>
    <xf numFmtId="168" fontId="6" fillId="13" borderId="0" xfId="0" applyNumberFormat="1" applyFont="1" applyFill="1" applyBorder="1" applyAlignment="1">
      <alignment horizontal="right"/>
    </xf>
    <xf numFmtId="168" fontId="6" fillId="14" borderId="0" xfId="0" applyNumberFormat="1" applyFont="1" applyFill="1" applyBorder="1" applyAlignment="1">
      <alignment horizontal="right"/>
    </xf>
    <xf numFmtId="168" fontId="6" fillId="15" borderId="0" xfId="0" applyNumberFormat="1" applyFont="1" applyFill="1" applyBorder="1" applyAlignment="1">
      <alignment horizontal="right"/>
    </xf>
    <xf numFmtId="0" fontId="24" fillId="7" borderId="0" xfId="0" applyFont="1" applyFill="1"/>
    <xf numFmtId="168" fontId="3" fillId="0" borderId="0" xfId="0" applyNumberFormat="1" applyFont="1" applyAlignment="1">
      <alignment horizontal="left"/>
    </xf>
    <xf numFmtId="168" fontId="4" fillId="0" borderId="0" xfId="0" applyNumberFormat="1" applyFont="1" applyAlignment="1">
      <alignment horizontal="right"/>
    </xf>
    <xf numFmtId="168" fontId="6" fillId="0" borderId="0" xfId="0" applyNumberFormat="1" applyFont="1" applyAlignment="1">
      <alignment horizontal="right"/>
    </xf>
    <xf numFmtId="169" fontId="23" fillId="0" borderId="0" xfId="0" applyNumberFormat="1" applyFont="1" applyAlignment="1">
      <alignment horizontal="left"/>
    </xf>
    <xf numFmtId="169" fontId="23" fillId="13" borderId="7" xfId="0" applyNumberFormat="1" applyFont="1" applyFill="1" applyBorder="1" applyAlignment="1">
      <alignment horizontal="right"/>
    </xf>
    <xf numFmtId="169" fontId="23" fillId="14" borderId="7" xfId="0" applyNumberFormat="1" applyFont="1" applyFill="1" applyBorder="1" applyAlignment="1">
      <alignment horizontal="right"/>
    </xf>
    <xf numFmtId="169" fontId="23" fillId="15" borderId="7" xfId="0" applyNumberFormat="1" applyFont="1" applyFill="1" applyBorder="1" applyAlignment="1">
      <alignment horizontal="right"/>
    </xf>
    <xf numFmtId="169" fontId="23" fillId="12" borderId="5" xfId="0" applyNumberFormat="1" applyFont="1" applyFill="1" applyBorder="1" applyAlignment="1">
      <alignment horizontal="right"/>
    </xf>
    <xf numFmtId="0" fontId="6" fillId="13" borderId="11" xfId="0" applyFont="1" applyFill="1" applyBorder="1"/>
    <xf numFmtId="0" fontId="6" fillId="14" borderId="11" xfId="0" applyFont="1" applyFill="1" applyBorder="1"/>
    <xf numFmtId="0" fontId="6" fillId="15" borderId="11" xfId="0" applyFont="1" applyFill="1" applyBorder="1"/>
    <xf numFmtId="169" fontId="6" fillId="13" borderId="8" xfId="0" applyNumberFormat="1" applyFont="1" applyFill="1" applyBorder="1" applyAlignment="1">
      <alignment horizontal="right"/>
    </xf>
    <xf numFmtId="169" fontId="6" fillId="14" borderId="8" xfId="0" applyNumberFormat="1" applyFont="1" applyFill="1" applyBorder="1" applyAlignment="1">
      <alignment horizontal="right"/>
    </xf>
    <xf numFmtId="169" fontId="6" fillId="15" borderId="8" xfId="0" applyNumberFormat="1" applyFont="1" applyFill="1" applyBorder="1" applyAlignment="1">
      <alignment horizontal="right"/>
    </xf>
    <xf numFmtId="169" fontId="6" fillId="13" borderId="9" xfId="2" applyNumberFormat="1" applyFont="1" applyFill="1" applyBorder="1" applyAlignment="1">
      <alignment horizontal="right"/>
    </xf>
    <xf numFmtId="169" fontId="6" fillId="14" borderId="9" xfId="2" applyNumberFormat="1" applyFont="1" applyFill="1" applyBorder="1" applyAlignment="1">
      <alignment horizontal="right"/>
    </xf>
    <xf numFmtId="169" fontId="6" fillId="15" borderId="9" xfId="2" applyNumberFormat="1" applyFont="1" applyFill="1" applyBorder="1" applyAlignment="1">
      <alignment horizontal="right"/>
    </xf>
    <xf numFmtId="169" fontId="6" fillId="13" borderId="10" xfId="2" applyNumberFormat="1" applyFont="1" applyFill="1" applyBorder="1" applyAlignment="1">
      <alignment horizontal="right"/>
    </xf>
    <xf numFmtId="169" fontId="6" fillId="14" borderId="10" xfId="2" applyNumberFormat="1" applyFont="1" applyFill="1" applyBorder="1" applyAlignment="1">
      <alignment horizontal="right"/>
    </xf>
    <xf numFmtId="169" fontId="6" fillId="15" borderId="10" xfId="2" applyNumberFormat="1" applyFont="1" applyFill="1" applyBorder="1" applyAlignment="1">
      <alignment horizontal="right"/>
    </xf>
    <xf numFmtId="169" fontId="6" fillId="13" borderId="8" xfId="2" applyNumberFormat="1" applyFont="1" applyFill="1" applyBorder="1" applyAlignment="1">
      <alignment horizontal="right"/>
    </xf>
    <xf numFmtId="169" fontId="6" fillId="14" borderId="8" xfId="2" applyNumberFormat="1" applyFont="1" applyFill="1" applyBorder="1" applyAlignment="1">
      <alignment horizontal="right"/>
    </xf>
    <xf numFmtId="169" fontId="6" fillId="15" borderId="8" xfId="2" applyNumberFormat="1" applyFont="1" applyFill="1" applyBorder="1" applyAlignment="1">
      <alignment horizontal="right"/>
    </xf>
    <xf numFmtId="169" fontId="6" fillId="13" borderId="0" xfId="2" applyNumberFormat="1" applyFont="1" applyFill="1" applyBorder="1" applyAlignment="1">
      <alignment horizontal="right"/>
    </xf>
    <xf numFmtId="169" fontId="6" fillId="14" borderId="0" xfId="2" applyNumberFormat="1" applyFont="1" applyFill="1" applyBorder="1" applyAlignment="1">
      <alignment horizontal="right"/>
    </xf>
    <xf numFmtId="169" fontId="6" fillId="15" borderId="0" xfId="2" applyNumberFormat="1" applyFont="1" applyFill="1" applyBorder="1" applyAlignment="1">
      <alignment horizontal="right"/>
    </xf>
    <xf numFmtId="0" fontId="6" fillId="13" borderId="10" xfId="0" applyFont="1" applyFill="1" applyBorder="1"/>
    <xf numFmtId="0" fontId="6" fillId="14" borderId="10" xfId="0" applyFont="1" applyFill="1" applyBorder="1"/>
    <xf numFmtId="0" fontId="6" fillId="15" borderId="10" xfId="0" applyFont="1" applyFill="1" applyBorder="1"/>
    <xf numFmtId="169" fontId="6" fillId="13" borderId="0" xfId="0" applyNumberFormat="1" applyFont="1" applyFill="1" applyBorder="1" applyAlignment="1">
      <alignment horizontal="right"/>
    </xf>
    <xf numFmtId="169" fontId="6" fillId="14" borderId="0" xfId="0" applyNumberFormat="1" applyFont="1" applyFill="1" applyBorder="1" applyAlignment="1">
      <alignment horizontal="right"/>
    </xf>
    <xf numFmtId="169" fontId="6" fillId="15" borderId="0" xfId="0" applyNumberFormat="1" applyFont="1" applyFill="1" applyBorder="1" applyAlignment="1">
      <alignment horizontal="right"/>
    </xf>
    <xf numFmtId="169" fontId="25" fillId="12" borderId="8" xfId="2" applyNumberFormat="1" applyFont="1" applyFill="1" applyBorder="1" applyAlignment="1">
      <alignment horizontal="right"/>
    </xf>
    <xf numFmtId="169" fontId="6" fillId="13" borderId="9" xfId="0" applyNumberFormat="1" applyFont="1" applyFill="1" applyBorder="1" applyAlignment="1">
      <alignment horizontal="right"/>
    </xf>
    <xf numFmtId="169" fontId="6" fillId="14" borderId="9" xfId="0" applyNumberFormat="1" applyFont="1" applyFill="1" applyBorder="1" applyAlignment="1">
      <alignment horizontal="right"/>
    </xf>
    <xf numFmtId="169" fontId="6" fillId="15" borderId="9" xfId="0" applyNumberFormat="1" applyFont="1" applyFill="1" applyBorder="1" applyAlignment="1">
      <alignment horizontal="right"/>
    </xf>
    <xf numFmtId="169" fontId="6" fillId="12" borderId="8" xfId="0" applyNumberFormat="1" applyFont="1" applyFill="1" applyBorder="1" applyAlignment="1">
      <alignment horizontal="right"/>
    </xf>
    <xf numFmtId="169" fontId="6" fillId="13" borderId="10" xfId="0" applyNumberFormat="1" applyFont="1" applyFill="1" applyBorder="1" applyAlignment="1">
      <alignment horizontal="right"/>
    </xf>
    <xf numFmtId="169" fontId="6" fillId="14" borderId="10" xfId="0" applyNumberFormat="1" applyFont="1" applyFill="1" applyBorder="1" applyAlignment="1">
      <alignment horizontal="right"/>
    </xf>
    <xf numFmtId="169" fontId="6" fillId="15" borderId="10" xfId="0" applyNumberFormat="1" applyFont="1" applyFill="1" applyBorder="1" applyAlignment="1">
      <alignment horizontal="right"/>
    </xf>
    <xf numFmtId="0" fontId="26" fillId="15" borderId="7" xfId="0" applyFont="1" applyFill="1" applyBorder="1" applyAlignment="1">
      <alignment horizontal="right"/>
    </xf>
    <xf numFmtId="168" fontId="6" fillId="8" borderId="0" xfId="2" applyNumberFormat="1" applyFont="1" applyFill="1" applyBorder="1"/>
    <xf numFmtId="168" fontId="6" fillId="8" borderId="9" xfId="2" applyNumberFormat="1" applyFont="1" applyFill="1" applyBorder="1"/>
    <xf numFmtId="168" fontId="6" fillId="9" borderId="8" xfId="2" applyNumberFormat="1" applyFont="1" applyFill="1" applyBorder="1"/>
    <xf numFmtId="168" fontId="6" fillId="9" borderId="8" xfId="2" applyNumberFormat="1" applyFont="1" applyFill="1" applyBorder="1" applyProtection="1">
      <protection locked="0"/>
    </xf>
    <xf numFmtId="168" fontId="6" fillId="9" borderId="6" xfId="2" applyNumberFormat="1" applyFont="1" applyFill="1" applyBorder="1"/>
    <xf numFmtId="168" fontId="6" fillId="9" borderId="6" xfId="2" applyNumberFormat="1" applyFont="1" applyFill="1" applyBorder="1" applyProtection="1">
      <protection locked="0"/>
    </xf>
    <xf numFmtId="0" fontId="23" fillId="15" borderId="7" xfId="0" applyFont="1" applyFill="1" applyBorder="1" applyAlignment="1">
      <alignment horizontal="right"/>
    </xf>
    <xf numFmtId="168" fontId="6" fillId="9" borderId="0" xfId="2" applyNumberFormat="1" applyFont="1" applyFill="1" applyBorder="1" applyProtection="1">
      <protection locked="0"/>
    </xf>
    <xf numFmtId="170" fontId="6" fillId="8" borderId="0" xfId="0" applyNumberFormat="1" applyFont="1" applyFill="1"/>
    <xf numFmtId="170" fontId="6" fillId="8" borderId="0" xfId="2" applyNumberFormat="1" applyFont="1" applyFill="1"/>
    <xf numFmtId="170" fontId="6" fillId="8" borderId="12" xfId="0" applyNumberFormat="1" applyFont="1" applyFill="1" applyBorder="1"/>
    <xf numFmtId="164" fontId="6" fillId="8" borderId="5" xfId="1" applyNumberFormat="1" applyFont="1" applyFill="1" applyBorder="1"/>
    <xf numFmtId="9" fontId="6" fillId="9" borderId="6" xfId="3" applyFont="1" applyFill="1" applyBorder="1"/>
    <xf numFmtId="9" fontId="6" fillId="9" borderId="6" xfId="3" applyFont="1" applyFill="1" applyBorder="1" applyProtection="1">
      <protection locked="0"/>
    </xf>
    <xf numFmtId="170" fontId="6" fillId="9" borderId="9" xfId="2" applyNumberFormat="1" applyFont="1" applyFill="1" applyBorder="1"/>
    <xf numFmtId="170" fontId="6" fillId="9" borderId="9" xfId="2" applyNumberFormat="1" applyFont="1" applyFill="1" applyBorder="1" applyProtection="1">
      <protection locked="0"/>
    </xf>
    <xf numFmtId="2" fontId="6" fillId="9" borderId="0" xfId="0" applyNumberFormat="1" applyFont="1" applyFill="1" applyBorder="1"/>
    <xf numFmtId="2" fontId="6" fillId="9" borderId="0" xfId="0" applyNumberFormat="1" applyFont="1" applyFill="1" applyBorder="1" applyProtection="1">
      <protection locked="0"/>
    </xf>
    <xf numFmtId="170" fontId="6" fillId="9" borderId="0" xfId="2" applyNumberFormat="1" applyFont="1" applyFill="1"/>
    <xf numFmtId="170" fontId="6" fillId="9" borderId="0" xfId="2" applyNumberFormat="1" applyFont="1" applyFill="1" applyProtection="1">
      <protection locked="0"/>
    </xf>
    <xf numFmtId="170" fontId="6" fillId="9" borderId="8" xfId="2" applyNumberFormat="1" applyFont="1" applyFill="1" applyBorder="1"/>
    <xf numFmtId="170" fontId="6" fillId="9" borderId="8" xfId="2" applyNumberFormat="1" applyFont="1" applyFill="1" applyBorder="1" applyProtection="1">
      <protection locked="0"/>
    </xf>
    <xf numFmtId="170" fontId="6" fillId="9" borderId="6" xfId="2" applyNumberFormat="1" applyFont="1" applyFill="1" applyBorder="1"/>
    <xf numFmtId="170" fontId="6" fillId="9" borderId="6" xfId="2" applyNumberFormat="1" applyFont="1" applyFill="1" applyBorder="1" applyProtection="1">
      <protection locked="0"/>
    </xf>
    <xf numFmtId="168" fontId="6" fillId="9" borderId="0" xfId="2" applyNumberFormat="1" applyFont="1" applyFill="1" applyBorder="1"/>
    <xf numFmtId="168" fontId="6" fillId="9" borderId="10" xfId="2" applyNumberFormat="1" applyFont="1" applyFill="1" applyBorder="1"/>
    <xf numFmtId="168" fontId="6" fillId="9" borderId="10" xfId="2" applyNumberFormat="1" applyFont="1" applyFill="1" applyBorder="1" applyProtection="1">
      <protection locked="0"/>
    </xf>
    <xf numFmtId="168" fontId="6" fillId="9" borderId="5" xfId="2" applyNumberFormat="1" applyFont="1" applyFill="1" applyBorder="1"/>
    <xf numFmtId="168" fontId="6" fillId="9" borderId="5" xfId="2" applyNumberFormat="1" applyFont="1" applyFill="1" applyBorder="1" applyProtection="1">
      <protection locked="0"/>
    </xf>
    <xf numFmtId="0" fontId="27" fillId="16" borderId="0" xfId="0" applyFont="1" applyFill="1" applyBorder="1" applyAlignment="1">
      <alignment horizontal="center"/>
    </xf>
    <xf numFmtId="0" fontId="0" fillId="16" borderId="0" xfId="0" applyFill="1" applyBorder="1"/>
    <xf numFmtId="0" fontId="28" fillId="16" borderId="0" xfId="0" applyFont="1" applyFill="1" applyAlignment="1">
      <alignment horizontal="center"/>
    </xf>
    <xf numFmtId="0" fontId="30" fillId="0" borderId="0" xfId="4" quotePrefix="1" applyFont="1"/>
    <xf numFmtId="0" fontId="5" fillId="17" borderId="0" xfId="0" applyFont="1" applyFill="1"/>
    <xf numFmtId="0" fontId="6" fillId="17" borderId="0" xfId="0" applyFont="1" applyFill="1"/>
    <xf numFmtId="0" fontId="3" fillId="17" borderId="0" xfId="0" applyFont="1" applyFill="1"/>
    <xf numFmtId="0" fontId="5" fillId="0" borderId="11" xfId="0" applyFont="1" applyBorder="1"/>
    <xf numFmtId="0" fontId="5" fillId="0" borderId="11" xfId="0" applyFont="1" applyBorder="1" applyAlignment="1">
      <alignment horizontal="justify" vertical="center"/>
    </xf>
    <xf numFmtId="0" fontId="6" fillId="0" borderId="0" xfId="0" applyFont="1" applyFill="1"/>
    <xf numFmtId="0" fontId="6" fillId="10" borderId="9" xfId="0" applyFont="1" applyFill="1" applyBorder="1"/>
    <xf numFmtId="0" fontId="6" fillId="10" borderId="9" xfId="0" applyFont="1" applyFill="1" applyBorder="1" applyProtection="1">
      <protection locked="0"/>
    </xf>
    <xf numFmtId="44" fontId="6" fillId="0" borderId="11" xfId="2" applyFont="1" applyBorder="1"/>
    <xf numFmtId="0" fontId="6" fillId="7" borderId="0" xfId="0" applyFont="1" applyFill="1"/>
    <xf numFmtId="168" fontId="5" fillId="10" borderId="7" xfId="0" applyNumberFormat="1" applyFont="1" applyFill="1" applyBorder="1" applyAlignment="1">
      <alignment horizontal="right"/>
    </xf>
    <xf numFmtId="168" fontId="6" fillId="10" borderId="0" xfId="2" applyNumberFormat="1" applyFont="1" applyFill="1" applyAlignment="1">
      <alignment horizontal="right"/>
    </xf>
    <xf numFmtId="168" fontId="5" fillId="10" borderId="7" xfId="2" applyNumberFormat="1" applyFont="1" applyFill="1" applyBorder="1" applyAlignment="1">
      <alignment horizontal="right"/>
    </xf>
    <xf numFmtId="168" fontId="5" fillId="10" borderId="6" xfId="2" applyNumberFormat="1" applyFont="1" applyFill="1" applyBorder="1" applyAlignment="1">
      <alignment horizontal="right"/>
    </xf>
    <xf numFmtId="168" fontId="6" fillId="10" borderId="0" xfId="0" applyNumberFormat="1" applyFont="1" applyFill="1" applyAlignment="1">
      <alignment horizontal="right"/>
    </xf>
    <xf numFmtId="0" fontId="0" fillId="7" borderId="0" xfId="0" applyFill="1"/>
    <xf numFmtId="168" fontId="5" fillId="15" borderId="13" xfId="0" applyNumberFormat="1" applyFont="1" applyFill="1" applyBorder="1" applyAlignment="1">
      <alignment horizontal="right"/>
    </xf>
    <xf numFmtId="171" fontId="6" fillId="13" borderId="9" xfId="0" applyNumberFormat="1" applyFont="1" applyFill="1" applyBorder="1" applyAlignment="1">
      <alignment horizontal="right"/>
    </xf>
    <xf numFmtId="171" fontId="6" fillId="14" borderId="9" xfId="0" applyNumberFormat="1" applyFont="1" applyFill="1" applyBorder="1" applyAlignment="1">
      <alignment horizontal="right"/>
    </xf>
    <xf numFmtId="171" fontId="6" fillId="15" borderId="9" xfId="0" applyNumberFormat="1" applyFont="1" applyFill="1" applyBorder="1" applyAlignment="1">
      <alignment horizontal="right"/>
    </xf>
    <xf numFmtId="0" fontId="4" fillId="0" borderId="0" xfId="0" applyFont="1" applyAlignment="1">
      <alignment vertical="top"/>
    </xf>
    <xf numFmtId="0" fontId="6" fillId="0" borderId="0" xfId="0" applyFont="1" applyAlignment="1">
      <alignment vertical="top"/>
    </xf>
    <xf numFmtId="0" fontId="18" fillId="0" borderId="0" xfId="4"/>
    <xf numFmtId="0" fontId="31" fillId="0" borderId="0" xfId="0" applyFont="1"/>
    <xf numFmtId="0" fontId="31" fillId="18" borderId="0" xfId="0" applyFont="1" applyFill="1"/>
    <xf numFmtId="0" fontId="31" fillId="0" borderId="0" xfId="0" applyFont="1" applyFill="1"/>
    <xf numFmtId="0" fontId="31" fillId="0" borderId="0" xfId="0" applyFont="1" applyAlignment="1">
      <alignment vertical="top"/>
    </xf>
    <xf numFmtId="0" fontId="6" fillId="0" borderId="0" xfId="0" applyFont="1" applyAlignment="1">
      <alignment horizontal="center"/>
    </xf>
    <xf numFmtId="0" fontId="17" fillId="0" borderId="0" xfId="0" applyFont="1" applyAlignment="1">
      <alignment vertical="center" wrapText="1"/>
    </xf>
    <xf numFmtId="0" fontId="6" fillId="0" borderId="0" xfId="0" applyFont="1" applyAlignment="1">
      <alignment horizontal="left" vertical="top"/>
    </xf>
    <xf numFmtId="0" fontId="14"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vertical="center" wrapText="1"/>
    </xf>
    <xf numFmtId="0" fontId="31" fillId="0" borderId="0" xfId="0" applyFont="1" applyAlignment="1">
      <alignment horizontal="left" vertical="top"/>
    </xf>
    <xf numFmtId="0" fontId="17" fillId="0" borderId="0" xfId="0" applyFont="1" applyAlignment="1">
      <alignment wrapText="1"/>
    </xf>
    <xf numFmtId="0" fontId="14" fillId="0" borderId="0" xfId="0" applyFont="1" applyAlignment="1">
      <alignment horizontal="left" vertical="top" wrapText="1"/>
    </xf>
    <xf numFmtId="0" fontId="17" fillId="0" borderId="0" xfId="0" applyFont="1" applyAlignment="1">
      <alignment horizontal="left" wrapText="1"/>
    </xf>
    <xf numFmtId="0" fontId="6" fillId="0" borderId="0" xfId="0" applyFont="1" applyAlignment="1">
      <alignment horizontal="left" vertical="top"/>
    </xf>
    <xf numFmtId="0" fontId="23" fillId="15" borderId="0" xfId="0" applyFont="1" applyFill="1"/>
    <xf numFmtId="0" fontId="4" fillId="15" borderId="0" xfId="0" applyFont="1" applyFill="1"/>
    <xf numFmtId="0" fontId="35" fillId="15" borderId="0" xfId="0" applyFont="1" applyFill="1" applyAlignment="1">
      <alignment horizontal="center"/>
    </xf>
    <xf numFmtId="0" fontId="3" fillId="20" borderId="0" xfId="0" applyFont="1" applyFill="1" applyAlignment="1">
      <alignment horizontal="center"/>
    </xf>
    <xf numFmtId="0" fontId="20" fillId="12" borderId="0" xfId="0" applyFont="1" applyFill="1" applyAlignment="1">
      <alignment horizontal="center"/>
    </xf>
    <xf numFmtId="0" fontId="20" fillId="12" borderId="0" xfId="0" applyFont="1" applyFill="1"/>
    <xf numFmtId="0" fontId="6" fillId="8" borderId="0" xfId="0" applyFont="1" applyFill="1"/>
    <xf numFmtId="0" fontId="37" fillId="12" borderId="0" xfId="0" applyFont="1" applyFill="1" applyAlignment="1">
      <alignment horizontal="center"/>
    </xf>
    <xf numFmtId="0" fontId="37" fillId="12" borderId="0" xfId="0" applyFont="1" applyFill="1"/>
    <xf numFmtId="0" fontId="4" fillId="0" borderId="0" xfId="0" applyFont="1" applyAlignment="1">
      <alignment horizontal="center"/>
    </xf>
    <xf numFmtId="0" fontId="20" fillId="12" borderId="0" xfId="0" applyFont="1" applyFill="1" applyAlignment="1">
      <alignment horizontal="left" indent="3"/>
    </xf>
    <xf numFmtId="0" fontId="20" fillId="10" borderId="0" xfId="0" applyFont="1" applyFill="1" applyAlignment="1">
      <alignment horizontal="center"/>
    </xf>
    <xf numFmtId="0" fontId="16" fillId="10" borderId="0" xfId="0" applyFont="1" applyFill="1"/>
    <xf numFmtId="0" fontId="20" fillId="10" borderId="0" xfId="0" applyFont="1" applyFill="1"/>
    <xf numFmtId="172" fontId="4" fillId="0" borderId="0" xfId="0" applyNumberFormat="1" applyFont="1"/>
    <xf numFmtId="172" fontId="4" fillId="22" borderId="0" xfId="0" applyNumberFormat="1" applyFont="1" applyFill="1"/>
    <xf numFmtId="172" fontId="6" fillId="0" borderId="0" xfId="0" applyNumberFormat="1" applyFont="1"/>
    <xf numFmtId="172" fontId="3" fillId="21" borderId="0" xfId="0" applyNumberFormat="1" applyFont="1" applyFill="1" applyAlignment="1">
      <alignment horizontal="center"/>
    </xf>
    <xf numFmtId="172" fontId="6" fillId="10" borderId="0" xfId="0" applyNumberFormat="1" applyFont="1" applyFill="1"/>
    <xf numFmtId="172" fontId="6" fillId="8" borderId="0" xfId="0" applyNumberFormat="1" applyFont="1" applyFill="1"/>
    <xf numFmtId="172" fontId="6" fillId="12" borderId="0" xfId="0" applyNumberFormat="1" applyFont="1" applyFill="1"/>
    <xf numFmtId="172" fontId="6" fillId="0" borderId="0" xfId="1" applyNumberFormat="1" applyFont="1" applyBorder="1"/>
    <xf numFmtId="172" fontId="32" fillId="0" borderId="0" xfId="0" applyNumberFormat="1" applyFont="1" applyAlignment="1">
      <alignment horizontal="right"/>
    </xf>
    <xf numFmtId="172" fontId="5" fillId="0" borderId="13" xfId="1" applyNumberFormat="1" applyFont="1" applyBorder="1"/>
    <xf numFmtId="0" fontId="20" fillId="23" borderId="0" xfId="0" applyFont="1" applyFill="1" applyAlignment="1">
      <alignment horizontal="center"/>
    </xf>
    <xf numFmtId="0" fontId="16" fillId="23" borderId="0" xfId="0" applyFont="1" applyFill="1"/>
    <xf numFmtId="0" fontId="20" fillId="23" borderId="0" xfId="0" applyFont="1" applyFill="1"/>
    <xf numFmtId="0" fontId="6" fillId="23" borderId="0" xfId="0" applyFont="1" applyFill="1"/>
    <xf numFmtId="172" fontId="6" fillId="23" borderId="0" xfId="0" applyNumberFormat="1" applyFont="1" applyFill="1"/>
    <xf numFmtId="172" fontId="3" fillId="15" borderId="0" xfId="0" applyNumberFormat="1" applyFont="1" applyFill="1" applyBorder="1" applyAlignment="1">
      <alignment horizontal="center"/>
    </xf>
    <xf numFmtId="172" fontId="36" fillId="10" borderId="0" xfId="1" applyNumberFormat="1" applyFont="1" applyFill="1" applyBorder="1"/>
    <xf numFmtId="172" fontId="6" fillId="0" borderId="0" xfId="1" applyNumberFormat="1" applyFont="1" applyBorder="1" applyAlignment="1">
      <alignment horizontal="right"/>
    </xf>
    <xf numFmtId="172" fontId="6" fillId="10" borderId="0" xfId="0" applyNumberFormat="1" applyFont="1" applyFill="1" applyBorder="1"/>
    <xf numFmtId="172" fontId="6" fillId="23" borderId="0" xfId="0" applyNumberFormat="1" applyFont="1" applyFill="1" applyBorder="1"/>
    <xf numFmtId="172" fontId="36" fillId="12" borderId="0" xfId="0" applyNumberFormat="1" applyFont="1" applyFill="1" applyBorder="1"/>
    <xf numFmtId="0" fontId="32" fillId="19" borderId="0" xfId="0" applyFont="1" applyFill="1" applyAlignment="1">
      <alignment horizontal="left"/>
    </xf>
    <xf numFmtId="0" fontId="3" fillId="19" borderId="0" xfId="0" applyFont="1" applyFill="1"/>
    <xf numFmtId="0" fontId="3" fillId="19" borderId="0" xfId="0" applyFont="1" applyFill="1" applyAlignment="1">
      <alignment horizontal="center"/>
    </xf>
    <xf numFmtId="172" fontId="3" fillId="19" borderId="0" xfId="0" applyNumberFormat="1" applyFont="1" applyFill="1" applyAlignment="1">
      <alignment horizontal="center"/>
    </xf>
    <xf numFmtId="0" fontId="34" fillId="22" borderId="0" xfId="0" applyFont="1" applyFill="1" applyAlignment="1">
      <alignment horizontal="center"/>
    </xf>
    <xf numFmtId="0" fontId="23" fillId="22" borderId="0" xfId="0" applyFont="1" applyFill="1"/>
    <xf numFmtId="0" fontId="4" fillId="22" borderId="0" xfId="0" applyFont="1" applyFill="1" applyAlignment="1">
      <alignment horizontal="center"/>
    </xf>
    <xf numFmtId="0" fontId="3" fillId="22" borderId="0" xfId="0" applyFont="1" applyFill="1" applyAlignment="1">
      <alignment horizontal="center"/>
    </xf>
    <xf numFmtId="172" fontId="3" fillId="22" borderId="0" xfId="0" applyNumberFormat="1" applyFont="1" applyFill="1" applyAlignment="1">
      <alignment horizontal="center"/>
    </xf>
    <xf numFmtId="0" fontId="3" fillId="24" borderId="0" xfId="0" applyFont="1" applyFill="1" applyAlignment="1">
      <alignment horizontal="center"/>
    </xf>
    <xf numFmtId="172" fontId="3" fillId="24" borderId="0" xfId="0" applyNumberFormat="1" applyFont="1" applyFill="1" applyAlignment="1">
      <alignment horizontal="center"/>
    </xf>
    <xf numFmtId="0" fontId="32" fillId="24" borderId="0" xfId="0" applyFont="1" applyFill="1" applyAlignment="1">
      <alignment horizontal="left"/>
    </xf>
    <xf numFmtId="0" fontId="3" fillId="24" borderId="0" xfId="0" applyFont="1" applyFill="1"/>
    <xf numFmtId="0" fontId="23" fillId="15" borderId="7" xfId="0" applyFont="1" applyFill="1" applyBorder="1"/>
    <xf numFmtId="0" fontId="26" fillId="15" borderId="7" xfId="0" applyFont="1" applyFill="1" applyBorder="1"/>
    <xf numFmtId="0" fontId="6" fillId="15" borderId="0" xfId="0" applyFont="1" applyFill="1"/>
    <xf numFmtId="0" fontId="23" fillId="25" borderId="0" xfId="0" applyFont="1" applyFill="1" applyAlignment="1">
      <alignment horizontal="left" vertical="top"/>
    </xf>
    <xf numFmtId="0" fontId="23" fillId="25" borderId="0" xfId="0" applyFont="1" applyFill="1" applyBorder="1"/>
    <xf numFmtId="0" fontId="23" fillId="25" borderId="0" xfId="0" applyFont="1" applyFill="1"/>
    <xf numFmtId="172" fontId="23" fillId="25" borderId="0" xfId="0" applyNumberFormat="1" applyFont="1" applyFill="1"/>
    <xf numFmtId="0" fontId="4" fillId="0" borderId="0" xfId="0" applyFont="1" applyFill="1"/>
    <xf numFmtId="0" fontId="26" fillId="0" borderId="0" xfId="0" applyFont="1" applyFill="1" applyBorder="1"/>
    <xf numFmtId="0" fontId="26" fillId="0" borderId="0" xfId="0" applyFont="1" applyFill="1" applyBorder="1" applyAlignment="1">
      <alignment horizontal="right"/>
    </xf>
    <xf numFmtId="0" fontId="0" fillId="0" borderId="0" xfId="0" applyFill="1"/>
    <xf numFmtId="0" fontId="23" fillId="0" borderId="0" xfId="0" applyFont="1" applyFill="1" applyBorder="1"/>
    <xf numFmtId="0" fontId="23" fillId="0" borderId="0" xfId="0" applyFont="1" applyFill="1" applyBorder="1" applyAlignment="1">
      <alignment horizontal="right"/>
    </xf>
    <xf numFmtId="0" fontId="0" fillId="0" borderId="0" xfId="0" applyBorder="1"/>
    <xf numFmtId="168" fontId="5" fillId="13" borderId="0" xfId="2" applyNumberFormat="1" applyFont="1" applyFill="1" applyBorder="1" applyAlignment="1">
      <alignment horizontal="right"/>
    </xf>
    <xf numFmtId="168" fontId="5" fillId="14" borderId="0" xfId="2" applyNumberFormat="1" applyFont="1" applyFill="1" applyBorder="1" applyAlignment="1">
      <alignment horizontal="right"/>
    </xf>
    <xf numFmtId="168" fontId="5" fillId="15" borderId="0" xfId="2" applyNumberFormat="1" applyFont="1" applyFill="1" applyBorder="1" applyAlignment="1">
      <alignment horizontal="right"/>
    </xf>
    <xf numFmtId="168" fontId="5" fillId="10" borderId="0" xfId="2" applyNumberFormat="1" applyFont="1" applyFill="1" applyBorder="1" applyAlignment="1">
      <alignment horizontal="right"/>
    </xf>
    <xf numFmtId="168" fontId="6" fillId="13" borderId="0" xfId="2" applyNumberFormat="1" applyFont="1" applyFill="1" applyBorder="1" applyAlignment="1">
      <alignment horizontal="right"/>
    </xf>
    <xf numFmtId="168" fontId="6" fillId="10" borderId="0" xfId="2" applyNumberFormat="1" applyFont="1" applyFill="1" applyBorder="1" applyAlignment="1">
      <alignment horizontal="right"/>
    </xf>
    <xf numFmtId="168" fontId="6" fillId="15" borderId="0" xfId="2" applyNumberFormat="1" applyFont="1" applyFill="1" applyBorder="1" applyAlignment="1">
      <alignment horizontal="right"/>
    </xf>
    <xf numFmtId="168" fontId="5" fillId="13" borderId="5" xfId="2" applyNumberFormat="1" applyFont="1" applyFill="1" applyBorder="1" applyAlignment="1">
      <alignment horizontal="right"/>
    </xf>
    <xf numFmtId="168" fontId="5" fillId="15" borderId="5" xfId="2" applyNumberFormat="1" applyFont="1" applyFill="1" applyBorder="1" applyAlignment="1">
      <alignment horizontal="right"/>
    </xf>
    <xf numFmtId="168" fontId="5" fillId="10" borderId="5" xfId="2" applyNumberFormat="1" applyFont="1" applyFill="1" applyBorder="1" applyAlignment="1">
      <alignment horizontal="right"/>
    </xf>
    <xf numFmtId="0" fontId="40" fillId="0" borderId="0" xfId="0" applyFont="1"/>
    <xf numFmtId="0" fontId="13" fillId="0" borderId="0" xfId="0" applyFont="1"/>
    <xf numFmtId="0" fontId="42" fillId="16" borderId="0" xfId="0" applyFont="1" applyFill="1" applyBorder="1" applyAlignment="1">
      <alignment horizontal="center"/>
    </xf>
    <xf numFmtId="0" fontId="43" fillId="0" borderId="0" xfId="0" applyFont="1" applyAlignment="1">
      <alignment horizontal="center"/>
    </xf>
    <xf numFmtId="0" fontId="44" fillId="0" borderId="0" xfId="0" applyFont="1" applyAlignment="1">
      <alignment vertical="center" wrapText="1"/>
    </xf>
    <xf numFmtId="0" fontId="45" fillId="0" borderId="0" xfId="0" applyFont="1" applyFill="1" applyBorder="1" applyAlignment="1">
      <alignment horizontal="center"/>
    </xf>
    <xf numFmtId="49" fontId="46" fillId="16" borderId="0" xfId="0" applyNumberFormat="1" applyFont="1" applyFill="1" applyBorder="1" applyAlignment="1">
      <alignment horizontal="center"/>
    </xf>
    <xf numFmtId="0" fontId="48" fillId="16" borderId="0" xfId="0" applyFont="1" applyFill="1" applyBorder="1" applyAlignment="1">
      <alignment vertical="top" wrapText="1"/>
    </xf>
    <xf numFmtId="0" fontId="28" fillId="16" borderId="0" xfId="0" applyFont="1" applyFill="1" applyAlignment="1">
      <alignment horizontal="left"/>
    </xf>
    <xf numFmtId="0" fontId="6" fillId="0" borderId="0" xfId="0" applyFont="1" applyAlignment="1">
      <alignment horizontal="left" vertical="top"/>
    </xf>
    <xf numFmtId="0" fontId="17" fillId="0" borderId="0" xfId="0" applyFont="1" applyAlignment="1">
      <alignment horizontal="left" indent="4"/>
    </xf>
    <xf numFmtId="0" fontId="52" fillId="0" borderId="0" xfId="0" applyFont="1" applyFill="1" applyBorder="1" applyAlignment="1">
      <alignment wrapText="1"/>
    </xf>
    <xf numFmtId="0" fontId="0" fillId="23" borderId="0" xfId="0" applyFill="1"/>
    <xf numFmtId="0" fontId="51" fillId="0" borderId="0" xfId="0" applyFont="1" applyFill="1" applyBorder="1" applyAlignment="1">
      <alignment wrapText="1"/>
    </xf>
    <xf numFmtId="0" fontId="4" fillId="26" borderId="0" xfId="0" applyFont="1" applyFill="1"/>
    <xf numFmtId="0" fontId="26" fillId="26" borderId="7" xfId="0" applyFont="1" applyFill="1" applyBorder="1"/>
    <xf numFmtId="0" fontId="4" fillId="11" borderId="0" xfId="0" applyFont="1" applyFill="1"/>
    <xf numFmtId="0" fontId="38" fillId="11" borderId="7" xfId="0" applyFont="1" applyFill="1" applyBorder="1"/>
    <xf numFmtId="0" fontId="26" fillId="11" borderId="7" xfId="0" applyFont="1" applyFill="1" applyBorder="1"/>
    <xf numFmtId="0" fontId="26" fillId="28" borderId="7" xfId="0" applyFont="1" applyFill="1" applyBorder="1" applyAlignment="1">
      <alignment horizontal="center"/>
    </xf>
    <xf numFmtId="0" fontId="26" fillId="29" borderId="7" xfId="0" applyFont="1" applyFill="1" applyBorder="1" applyAlignment="1">
      <alignment horizontal="center"/>
    </xf>
    <xf numFmtId="0" fontId="26" fillId="19" borderId="7" xfId="0" applyFont="1" applyFill="1" applyBorder="1" applyAlignment="1">
      <alignment horizontal="center"/>
    </xf>
    <xf numFmtId="0" fontId="26" fillId="19" borderId="7" xfId="0" applyFont="1" applyFill="1" applyBorder="1" applyAlignment="1">
      <alignment horizontal="center"/>
    </xf>
    <xf numFmtId="9" fontId="0" fillId="8" borderId="0" xfId="0" applyNumberFormat="1" applyFill="1"/>
    <xf numFmtId="2" fontId="51" fillId="0" borderId="0" xfId="0" applyNumberFormat="1" applyFont="1" applyFill="1" applyBorder="1" applyAlignment="1">
      <alignment horizontal="right" wrapText="1"/>
    </xf>
    <xf numFmtId="0" fontId="0" fillId="8" borderId="0" xfId="0" applyNumberFormat="1" applyFill="1"/>
    <xf numFmtId="0" fontId="0" fillId="0" borderId="0" xfId="0" applyNumberFormat="1"/>
    <xf numFmtId="2" fontId="0" fillId="0" borderId="0" xfId="0" applyNumberFormat="1" applyFill="1"/>
    <xf numFmtId="1" fontId="0" fillId="8" borderId="0" xfId="0" applyNumberFormat="1" applyFill="1"/>
    <xf numFmtId="9" fontId="0" fillId="0" borderId="0" xfId="0" applyNumberFormat="1" applyFill="1"/>
    <xf numFmtId="0" fontId="51" fillId="0" borderId="0" xfId="0" applyFont="1" applyFill="1" applyBorder="1" applyAlignment="1">
      <alignment horizontal="left" wrapText="1" indent="3"/>
    </xf>
    <xf numFmtId="164" fontId="0" fillId="8" borderId="0" xfId="1" applyNumberFormat="1" applyFont="1" applyFill="1"/>
    <xf numFmtId="173" fontId="56" fillId="0" borderId="0" xfId="0" applyNumberFormat="1" applyFont="1" applyFill="1" applyBorder="1" applyAlignment="1">
      <alignment vertical="top" wrapText="1"/>
    </xf>
    <xf numFmtId="173" fontId="56" fillId="0" borderId="0" xfId="0" applyNumberFormat="1" applyFont="1" applyFill="1" applyBorder="1" applyAlignment="1">
      <alignment wrapText="1"/>
    </xf>
    <xf numFmtId="1" fontId="0" fillId="0" borderId="0" xfId="0" applyNumberFormat="1"/>
    <xf numFmtId="0" fontId="13" fillId="0" borderId="0" xfId="0" applyFont="1" applyFill="1" applyBorder="1" applyAlignment="1"/>
    <xf numFmtId="0" fontId="0" fillId="0" borderId="0" xfId="0" applyNumberFormat="1" applyFill="1"/>
    <xf numFmtId="0" fontId="57" fillId="0" borderId="0" xfId="0" applyFont="1" applyAlignment="1">
      <alignment horizontal="right"/>
    </xf>
    <xf numFmtId="0" fontId="58" fillId="0" borderId="7" xfId="0" applyFont="1" applyBorder="1" applyAlignment="1">
      <alignment horizontal="right"/>
    </xf>
    <xf numFmtId="164" fontId="2" fillId="0" borderId="7" xfId="0" applyNumberFormat="1" applyFont="1" applyBorder="1"/>
    <xf numFmtId="1" fontId="2" fillId="0" borderId="7" xfId="0" applyNumberFormat="1" applyFont="1" applyBorder="1"/>
    <xf numFmtId="0" fontId="26" fillId="0" borderId="0" xfId="0" applyFont="1" applyFill="1" applyBorder="1" applyAlignment="1">
      <alignment horizontal="center"/>
    </xf>
    <xf numFmtId="0" fontId="0" fillId="15" borderId="0" xfId="0" applyFill="1" applyBorder="1"/>
    <xf numFmtId="0" fontId="0" fillId="15" borderId="0" xfId="0" applyFill="1"/>
    <xf numFmtId="0" fontId="2" fillId="15" borderId="0" xfId="0" applyFont="1" applyFill="1"/>
    <xf numFmtId="1" fontId="59" fillId="8" borderId="0" xfId="0" applyNumberFormat="1" applyFont="1" applyFill="1"/>
    <xf numFmtId="164" fontId="59" fillId="8" borderId="0" xfId="0" applyNumberFormat="1" applyFont="1" applyFill="1"/>
    <xf numFmtId="164" fontId="2" fillId="8" borderId="7" xfId="0" applyNumberFormat="1" applyFont="1" applyFill="1" applyBorder="1"/>
    <xf numFmtId="0" fontId="58" fillId="0" borderId="0" xfId="0" applyFont="1" applyBorder="1" applyAlignment="1">
      <alignment horizontal="right"/>
    </xf>
    <xf numFmtId="164" fontId="2" fillId="0" borderId="0" xfId="0" applyNumberFormat="1" applyFont="1" applyFill="1" applyBorder="1"/>
    <xf numFmtId="0" fontId="62" fillId="0" borderId="0" xfId="0" applyFont="1" applyFill="1" applyBorder="1" applyAlignment="1">
      <alignment horizontal="center" wrapText="1"/>
    </xf>
    <xf numFmtId="0" fontId="63" fillId="0" borderId="0" xfId="0" applyFont="1" applyFill="1" applyBorder="1" applyAlignment="1">
      <alignment horizontal="center"/>
    </xf>
    <xf numFmtId="0" fontId="0" fillId="31" borderId="0" xfId="0" applyFill="1"/>
    <xf numFmtId="43" fontId="2" fillId="8" borderId="7" xfId="0" applyNumberFormat="1" applyFont="1" applyFill="1" applyBorder="1"/>
    <xf numFmtId="43" fontId="59" fillId="8" borderId="0" xfId="0" applyNumberFormat="1" applyFont="1" applyFill="1"/>
    <xf numFmtId="0" fontId="26" fillId="33" borderId="7" xfId="0" applyFont="1" applyFill="1" applyBorder="1"/>
    <xf numFmtId="0" fontId="26" fillId="31" borderId="7" xfId="0" applyFont="1" applyFill="1" applyBorder="1"/>
    <xf numFmtId="0" fontId="26" fillId="33" borderId="7" xfId="0" applyFont="1" applyFill="1" applyBorder="1" applyAlignment="1">
      <alignment horizontal="center"/>
    </xf>
    <xf numFmtId="9" fontId="0" fillId="8" borderId="0" xfId="3" applyFont="1" applyFill="1"/>
    <xf numFmtId="164" fontId="0" fillId="8" borderId="0" xfId="0" applyNumberFormat="1" applyFill="1" applyAlignment="1">
      <alignment horizontal="left" indent="3"/>
    </xf>
    <xf numFmtId="0" fontId="55" fillId="0" borderId="0" xfId="0" applyFont="1" applyBorder="1" applyAlignment="1">
      <alignment horizontal="left" vertical="center"/>
    </xf>
    <xf numFmtId="0" fontId="26" fillId="19" borderId="7" xfId="0" applyFont="1" applyFill="1" applyBorder="1" applyAlignment="1">
      <alignment horizontal="center"/>
    </xf>
    <xf numFmtId="0" fontId="6" fillId="0" borderId="0" xfId="0" applyFont="1" applyAlignment="1">
      <alignment horizontal="left" vertical="top" wrapText="1"/>
    </xf>
    <xf numFmtId="0" fontId="4" fillId="0" borderId="5" xfId="0" applyFont="1" applyBorder="1"/>
    <xf numFmtId="0" fontId="5" fillId="0" borderId="0" xfId="0" applyFont="1" applyFill="1" applyBorder="1"/>
    <xf numFmtId="1" fontId="6" fillId="8" borderId="0" xfId="0" applyNumberFormat="1" applyFont="1" applyFill="1" applyBorder="1"/>
    <xf numFmtId="5" fontId="6" fillId="9" borderId="0" xfId="1" applyNumberFormat="1" applyFont="1" applyFill="1" applyBorder="1" applyAlignment="1">
      <alignment horizontal="right" vertical="center" wrapText="1"/>
    </xf>
    <xf numFmtId="175" fontId="6" fillId="8" borderId="0" xfId="0" applyNumberFormat="1" applyFont="1" applyFill="1" applyBorder="1"/>
    <xf numFmtId="164" fontId="6" fillId="8" borderId="0" xfId="1" applyNumberFormat="1" applyFont="1" applyFill="1" applyBorder="1" applyAlignment="1">
      <alignment horizontal="right" vertical="center" wrapText="1"/>
    </xf>
    <xf numFmtId="5" fontId="6" fillId="8" borderId="0" xfId="1" applyNumberFormat="1" applyFont="1" applyFill="1" applyBorder="1" applyAlignment="1">
      <alignment horizontal="right" vertical="center" wrapText="1"/>
    </xf>
    <xf numFmtId="168" fontId="6" fillId="8" borderId="8" xfId="2" applyNumberFormat="1" applyFont="1" applyFill="1" applyBorder="1"/>
    <xf numFmtId="168" fontId="6" fillId="8" borderId="6" xfId="2" applyNumberFormat="1" applyFont="1" applyFill="1" applyBorder="1"/>
    <xf numFmtId="168" fontId="5" fillId="8" borderId="7" xfId="2" applyNumberFormat="1" applyFont="1" applyFill="1" applyBorder="1"/>
    <xf numFmtId="0" fontId="5" fillId="0" borderId="0" xfId="0" applyFont="1" applyBorder="1" applyAlignment="1">
      <alignment horizontal="left" indent="1"/>
    </xf>
    <xf numFmtId="168" fontId="6" fillId="0" borderId="5" xfId="0" applyNumberFormat="1" applyFont="1" applyBorder="1"/>
    <xf numFmtId="7" fontId="6" fillId="8" borderId="0" xfId="2" applyNumberFormat="1" applyFont="1" applyFill="1" applyBorder="1"/>
    <xf numFmtId="168" fontId="5" fillId="8" borderId="0" xfId="2" applyNumberFormat="1" applyFont="1" applyFill="1" applyBorder="1"/>
    <xf numFmtId="168" fontId="20" fillId="8" borderId="8" xfId="2" applyNumberFormat="1" applyFont="1" applyFill="1" applyBorder="1"/>
    <xf numFmtId="168" fontId="20" fillId="8" borderId="17" xfId="2" applyNumberFormat="1" applyFont="1" applyFill="1" applyBorder="1"/>
    <xf numFmtId="5" fontId="20" fillId="8" borderId="0" xfId="2" applyNumberFormat="1" applyFont="1" applyFill="1" applyBorder="1"/>
    <xf numFmtId="5" fontId="20" fillId="8" borderId="19" xfId="2" applyNumberFormat="1" applyFont="1" applyFill="1" applyBorder="1"/>
    <xf numFmtId="168" fontId="20" fillId="8" borderId="9" xfId="2" applyNumberFormat="1" applyFont="1" applyFill="1" applyBorder="1"/>
    <xf numFmtId="168" fontId="20" fillId="8" borderId="21" xfId="2" applyNumberFormat="1" applyFont="1" applyFill="1" applyBorder="1"/>
    <xf numFmtId="168" fontId="20" fillId="8" borderId="0" xfId="2" applyNumberFormat="1" applyFont="1" applyFill="1" applyBorder="1"/>
    <xf numFmtId="168" fontId="20" fillId="8" borderId="19" xfId="2" applyNumberFormat="1" applyFont="1" applyFill="1" applyBorder="1"/>
    <xf numFmtId="5" fontId="20" fillId="8" borderId="9" xfId="2" applyNumberFormat="1" applyFont="1" applyFill="1" applyBorder="1"/>
    <xf numFmtId="5" fontId="20" fillId="8" borderId="21" xfId="2" applyNumberFormat="1" applyFont="1" applyFill="1" applyBorder="1"/>
    <xf numFmtId="5" fontId="5" fillId="8" borderId="0" xfId="2" applyNumberFormat="1" applyFont="1" applyFill="1" applyBorder="1"/>
    <xf numFmtId="5" fontId="36" fillId="8" borderId="0" xfId="2" applyNumberFormat="1" applyFont="1" applyFill="1" applyBorder="1"/>
    <xf numFmtId="5" fontId="20" fillId="8" borderId="6" xfId="2" applyNumberFormat="1" applyFont="1" applyFill="1" applyBorder="1"/>
    <xf numFmtId="5" fontId="20" fillId="8" borderId="23" xfId="2" applyNumberFormat="1" applyFont="1" applyFill="1" applyBorder="1"/>
    <xf numFmtId="175" fontId="5" fillId="8" borderId="6" xfId="1" applyNumberFormat="1" applyFont="1" applyFill="1" applyBorder="1" applyAlignment="1">
      <alignment horizontal="right"/>
    </xf>
    <xf numFmtId="168" fontId="5" fillId="0" borderId="0" xfId="2" applyNumberFormat="1" applyFont="1" applyFill="1" applyBorder="1"/>
    <xf numFmtId="164" fontId="5" fillId="23" borderId="0" xfId="1" applyNumberFormat="1" applyFont="1" applyFill="1" applyBorder="1"/>
    <xf numFmtId="0" fontId="6" fillId="0" borderId="8" xfId="0" applyFont="1" applyFill="1" applyBorder="1"/>
    <xf numFmtId="0" fontId="6" fillId="0" borderId="8" xfId="0" applyFont="1" applyFill="1" applyBorder="1" applyProtection="1">
      <protection locked="0"/>
    </xf>
    <xf numFmtId="6" fontId="6" fillId="8" borderId="0" xfId="0" applyNumberFormat="1" applyFont="1" applyFill="1" applyAlignment="1">
      <alignment horizontal="right"/>
    </xf>
    <xf numFmtId="175" fontId="14" fillId="8" borderId="0" xfId="1" applyNumberFormat="1" applyFont="1" applyFill="1" applyAlignment="1">
      <alignment vertical="top"/>
    </xf>
    <xf numFmtId="1" fontId="73" fillId="31" borderId="0" xfId="3" applyNumberFormat="1" applyFont="1" applyFill="1" applyBorder="1" applyAlignment="1">
      <alignment horizontal="right" vertical="center" wrapText="1"/>
    </xf>
    <xf numFmtId="43" fontId="4" fillId="0" borderId="0" xfId="0" applyNumberFormat="1" applyFont="1"/>
    <xf numFmtId="0" fontId="38" fillId="28" borderId="7" xfId="0" applyFont="1" applyFill="1" applyBorder="1" applyAlignment="1">
      <alignment horizontal="center"/>
    </xf>
    <xf numFmtId="0" fontId="38" fillId="29" borderId="7" xfId="0" applyFont="1" applyFill="1" applyBorder="1" applyAlignment="1">
      <alignment horizontal="center"/>
    </xf>
    <xf numFmtId="0" fontId="38" fillId="19" borderId="7" xfId="0" applyFont="1" applyFill="1" applyBorder="1" applyAlignment="1">
      <alignment horizontal="center"/>
    </xf>
    <xf numFmtId="43" fontId="6" fillId="0" borderId="0" xfId="0" applyNumberFormat="1" applyFont="1"/>
    <xf numFmtId="0" fontId="6" fillId="11" borderId="0" xfId="0" applyFont="1" applyFill="1"/>
    <xf numFmtId="43" fontId="6" fillId="11" borderId="0" xfId="0" applyNumberFormat="1" applyFont="1" applyFill="1"/>
    <xf numFmtId="168" fontId="5" fillId="8" borderId="0" xfId="0" applyNumberFormat="1" applyFont="1" applyFill="1" applyBorder="1"/>
    <xf numFmtId="175" fontId="6" fillId="8" borderId="8" xfId="0" applyNumberFormat="1" applyFont="1" applyFill="1" applyBorder="1"/>
    <xf numFmtId="175" fontId="6" fillId="8" borderId="17" xfId="0" applyNumberFormat="1" applyFont="1" applyFill="1" applyBorder="1"/>
    <xf numFmtId="0" fontId="6" fillId="26" borderId="0" xfId="0" applyFont="1" applyFill="1"/>
    <xf numFmtId="1" fontId="6" fillId="8" borderId="0" xfId="3" applyNumberFormat="1" applyFont="1" applyFill="1" applyBorder="1" applyAlignment="1">
      <alignment horizontal="right" vertical="center" wrapText="1"/>
    </xf>
    <xf numFmtId="1" fontId="6" fillId="8" borderId="6" xfId="3" applyNumberFormat="1" applyFont="1" applyFill="1" applyBorder="1" applyAlignment="1">
      <alignment horizontal="right" vertical="center" wrapText="1"/>
    </xf>
    <xf numFmtId="9" fontId="73" fillId="31" borderId="0" xfId="3" applyFont="1" applyFill="1" applyBorder="1" applyAlignment="1">
      <alignment horizontal="right" vertical="center" wrapText="1"/>
    </xf>
    <xf numFmtId="1" fontId="6" fillId="8" borderId="0" xfId="2" applyNumberFormat="1" applyFont="1" applyFill="1" applyBorder="1"/>
    <xf numFmtId="1" fontId="6" fillId="8" borderId="0" xfId="0" applyNumberFormat="1" applyFont="1" applyFill="1"/>
    <xf numFmtId="1" fontId="6" fillId="8" borderId="0" xfId="1" applyNumberFormat="1" applyFont="1" applyFill="1" applyBorder="1"/>
    <xf numFmtId="175" fontId="5" fillId="8" borderId="0" xfId="1" applyNumberFormat="1" applyFont="1" applyFill="1"/>
    <xf numFmtId="1" fontId="5" fillId="8" borderId="0" xfId="1" applyNumberFormat="1" applyFont="1" applyFill="1"/>
    <xf numFmtId="175" fontId="6" fillId="8" borderId="0" xfId="1" applyNumberFormat="1" applyFont="1" applyFill="1"/>
    <xf numFmtId="1" fontId="6" fillId="8" borderId="0" xfId="1" applyNumberFormat="1" applyFont="1" applyFill="1"/>
    <xf numFmtId="0" fontId="14" fillId="8" borderId="0" xfId="0" applyFont="1" applyFill="1"/>
    <xf numFmtId="164" fontId="14" fillId="8" borderId="0" xfId="0" applyNumberFormat="1" applyFont="1" applyFill="1"/>
    <xf numFmtId="6" fontId="6" fillId="8" borderId="0" xfId="0" applyNumberFormat="1" applyFont="1" applyFill="1"/>
    <xf numFmtId="175" fontId="6" fillId="8" borderId="19" xfId="0" applyNumberFormat="1" applyFont="1" applyFill="1" applyBorder="1"/>
    <xf numFmtId="166" fontId="6" fillId="0" borderId="9" xfId="0" applyNumberFormat="1" applyFont="1" applyFill="1" applyBorder="1"/>
    <xf numFmtId="176" fontId="6" fillId="8" borderId="0" xfId="1" applyNumberFormat="1" applyFont="1" applyFill="1"/>
    <xf numFmtId="175" fontId="6" fillId="8" borderId="0" xfId="0" applyNumberFormat="1" applyFont="1" applyFill="1"/>
    <xf numFmtId="0" fontId="6" fillId="18" borderId="0" xfId="0" applyFont="1" applyFill="1"/>
    <xf numFmtId="0" fontId="78" fillId="0" borderId="0" xfId="0" applyFont="1" applyFill="1"/>
    <xf numFmtId="49" fontId="79" fillId="9" borderId="0" xfId="0" applyNumberFormat="1" applyFont="1" applyFill="1" applyAlignment="1">
      <alignment vertical="top" wrapText="1"/>
    </xf>
    <xf numFmtId="0" fontId="21" fillId="7" borderId="0" xfId="4" applyFont="1" applyFill="1" applyAlignment="1">
      <alignment vertical="top"/>
    </xf>
    <xf numFmtId="0" fontId="79" fillId="0" borderId="0" xfId="0" applyFont="1" applyAlignment="1">
      <alignment horizontal="left" vertical="top"/>
    </xf>
    <xf numFmtId="0" fontId="21" fillId="19" borderId="0" xfId="4" applyFont="1" applyFill="1" applyAlignment="1">
      <alignment horizontal="center" vertical="top"/>
    </xf>
    <xf numFmtId="0" fontId="13" fillId="0" borderId="0" xfId="0" applyFont="1" applyFill="1" applyAlignment="1">
      <alignment horizontal="left" vertical="top"/>
    </xf>
    <xf numFmtId="0" fontId="6" fillId="0" borderId="0" xfId="0" applyFont="1" applyBorder="1" applyAlignment="1">
      <alignment horizontal="left" indent="2"/>
    </xf>
    <xf numFmtId="0" fontId="6" fillId="0" borderId="0" xfId="0" applyFont="1" applyAlignment="1">
      <alignment horizontal="left" indent="2"/>
    </xf>
    <xf numFmtId="0" fontId="20" fillId="0" borderId="0" xfId="0" applyFont="1" applyFill="1" applyAlignment="1">
      <alignment horizontal="left" indent="3"/>
    </xf>
    <xf numFmtId="0" fontId="79" fillId="0" borderId="0" xfId="0" applyFont="1" applyFill="1" applyAlignment="1">
      <alignment horizontal="left" vertical="top"/>
    </xf>
    <xf numFmtId="0" fontId="79" fillId="0" borderId="0" xfId="0" applyFont="1" applyAlignment="1">
      <alignment horizontal="left" vertical="top" wrapText="1"/>
    </xf>
    <xf numFmtId="0" fontId="21" fillId="0" borderId="0" xfId="4" applyFont="1" applyFill="1" applyAlignment="1">
      <alignment vertical="top"/>
    </xf>
    <xf numFmtId="0" fontId="21" fillId="0" borderId="0" xfId="4" applyFont="1" applyFill="1" applyAlignment="1">
      <alignment horizontal="center" vertical="top"/>
    </xf>
    <xf numFmtId="0" fontId="14" fillId="0" borderId="0" xfId="0" applyFont="1" applyFill="1" applyBorder="1" applyAlignment="1">
      <alignment horizontal="left" indent="1"/>
    </xf>
    <xf numFmtId="0" fontId="79" fillId="0" borderId="0" xfId="0" applyFont="1" applyFill="1" applyAlignment="1">
      <alignment horizontal="left" vertical="top" wrapText="1"/>
    </xf>
    <xf numFmtId="49" fontId="6" fillId="0" borderId="0" xfId="0" applyNumberFormat="1" applyFont="1" applyAlignment="1">
      <alignment vertical="top"/>
    </xf>
    <xf numFmtId="0" fontId="14" fillId="0" borderId="0" xfId="0" applyFont="1" applyFill="1" applyBorder="1" applyAlignment="1">
      <alignment horizontal="left"/>
    </xf>
    <xf numFmtId="0" fontId="20" fillId="0" borderId="0" xfId="0" applyFont="1" applyBorder="1" applyAlignment="1">
      <alignment horizontal="left" indent="2"/>
    </xf>
    <xf numFmtId="0" fontId="6" fillId="0" borderId="0" xfId="0" applyFont="1" applyFill="1" applyBorder="1" applyAlignment="1">
      <alignment horizontal="left"/>
    </xf>
    <xf numFmtId="49" fontId="79" fillId="0" borderId="0" xfId="0" applyNumberFormat="1" applyFont="1" applyAlignment="1">
      <alignment vertical="top" wrapText="1"/>
    </xf>
    <xf numFmtId="0" fontId="6" fillId="0" borderId="6" xfId="0" applyFont="1" applyBorder="1" applyAlignment="1">
      <alignment horizontal="left" indent="2"/>
    </xf>
    <xf numFmtId="0" fontId="5" fillId="0" borderId="7" xfId="0" applyFont="1" applyBorder="1" applyAlignment="1">
      <alignment horizontal="right" indent="1"/>
    </xf>
    <xf numFmtId="0" fontId="5" fillId="0" borderId="7" xfId="0" applyFont="1" applyBorder="1" applyAlignment="1">
      <alignment horizontal="left" indent="1"/>
    </xf>
    <xf numFmtId="0" fontId="5" fillId="0" borderId="0" xfId="0" applyFont="1" applyBorder="1" applyAlignment="1">
      <alignment horizontal="right" indent="1"/>
    </xf>
    <xf numFmtId="0" fontId="5" fillId="0" borderId="5" xfId="0" applyFont="1" applyBorder="1"/>
    <xf numFmtId="0" fontId="6" fillId="0" borderId="8" xfId="0" applyFont="1" applyBorder="1" applyAlignment="1">
      <alignment horizontal="left" indent="2"/>
    </xf>
    <xf numFmtId="0" fontId="36" fillId="0" borderId="0" xfId="0" applyFont="1" applyBorder="1"/>
    <xf numFmtId="0" fontId="5" fillId="23" borderId="0" xfId="0" applyFont="1" applyFill="1" applyBorder="1" applyAlignment="1">
      <alignment horizontal="justify" vertical="center" wrapText="1"/>
    </xf>
    <xf numFmtId="0" fontId="20" fillId="0" borderId="0" xfId="0" applyFont="1" applyBorder="1"/>
    <xf numFmtId="0" fontId="20" fillId="0" borderId="0" xfId="0" applyFont="1" applyFill="1" applyBorder="1"/>
    <xf numFmtId="0" fontId="5" fillId="0" borderId="8" xfId="0" applyFont="1" applyFill="1" applyBorder="1" applyAlignment="1">
      <alignment horizontal="left" vertical="center" wrapText="1"/>
    </xf>
    <xf numFmtId="0" fontId="6" fillId="0" borderId="8" xfId="0" applyFont="1" applyFill="1" applyBorder="1" applyAlignment="1">
      <alignment horizontal="left" vertical="center" wrapText="1" indent="1"/>
    </xf>
    <xf numFmtId="0" fontId="6" fillId="0" borderId="0" xfId="0" applyFont="1" applyFill="1" applyBorder="1" applyAlignment="1">
      <alignment horizontal="left" vertical="center" wrapText="1" indent="1"/>
    </xf>
    <xf numFmtId="0" fontId="6" fillId="0" borderId="0" xfId="0" applyFont="1" applyBorder="1" applyAlignment="1">
      <alignment horizontal="left" indent="3"/>
    </xf>
    <xf numFmtId="0" fontId="6" fillId="0" borderId="0" xfId="0" applyFont="1" applyAlignment="1">
      <alignment horizontal="left" indent="3"/>
    </xf>
    <xf numFmtId="1" fontId="6" fillId="0" borderId="0" xfId="0" applyNumberFormat="1" applyFont="1" applyFill="1"/>
    <xf numFmtId="0" fontId="20" fillId="0" borderId="0" xfId="0" applyFont="1" applyBorder="1" applyAlignment="1">
      <alignment horizontal="left" indent="3"/>
    </xf>
    <xf numFmtId="0" fontId="14" fillId="0" borderId="0" xfId="0" applyFont="1" applyFill="1" applyBorder="1" applyAlignment="1">
      <alignment horizontal="left" indent="5"/>
    </xf>
    <xf numFmtId="0" fontId="77" fillId="0" borderId="0" xfId="0" applyFont="1" applyFill="1" applyBorder="1" applyAlignment="1">
      <alignment horizontal="left" indent="3"/>
    </xf>
    <xf numFmtId="0" fontId="14" fillId="0" borderId="0" xfId="0" applyFont="1" applyFill="1" applyBorder="1" applyAlignment="1">
      <alignment horizontal="left" indent="7"/>
    </xf>
    <xf numFmtId="0" fontId="6" fillId="0" borderId="0" xfId="0" applyFont="1" applyBorder="1" applyAlignment="1">
      <alignment horizontal="left" indent="5"/>
    </xf>
    <xf numFmtId="0" fontId="67" fillId="0" borderId="0" xfId="0" applyFont="1" applyAlignment="1">
      <alignment horizontal="left" vertical="center" indent="4"/>
    </xf>
    <xf numFmtId="0" fontId="6" fillId="0" borderId="0" xfId="0" applyFont="1" applyFill="1" applyBorder="1" applyAlignment="1">
      <alignment horizontal="left" indent="2"/>
    </xf>
    <xf numFmtId="0" fontId="5" fillId="26" borderId="0" xfId="0" applyFont="1" applyFill="1" applyBorder="1" applyAlignment="1">
      <alignment horizontal="left"/>
    </xf>
    <xf numFmtId="0" fontId="5" fillId="0" borderId="0" xfId="0" applyFont="1" applyAlignment="1">
      <alignment horizontal="left"/>
    </xf>
    <xf numFmtId="0" fontId="20" fillId="0" borderId="0" xfId="0" applyFont="1" applyFill="1" applyBorder="1" applyAlignment="1">
      <alignment horizontal="left" vertical="center" wrapText="1" indent="2"/>
    </xf>
    <xf numFmtId="0" fontId="5" fillId="0" borderId="5" xfId="0" applyFont="1" applyFill="1" applyBorder="1" applyAlignment="1">
      <alignment horizontal="left" vertical="center" wrapText="1"/>
    </xf>
    <xf numFmtId="0" fontId="20" fillId="0" borderId="5" xfId="0" applyFont="1" applyFill="1" applyBorder="1" applyAlignment="1">
      <alignment horizontal="left" vertical="center" wrapText="1" indent="2"/>
    </xf>
    <xf numFmtId="0" fontId="6" fillId="0" borderId="0" xfId="0" applyFont="1" applyBorder="1" applyAlignment="1">
      <alignment horizontal="left" vertical="center" indent="3"/>
    </xf>
    <xf numFmtId="0" fontId="6" fillId="0" borderId="0" xfId="0" applyFont="1" applyBorder="1" applyAlignment="1">
      <alignment horizontal="left" vertical="center" indent="5"/>
    </xf>
    <xf numFmtId="0" fontId="6" fillId="0" borderId="0" xfId="0" applyFont="1" applyAlignment="1">
      <alignment horizontal="left" indent="5"/>
    </xf>
    <xf numFmtId="0" fontId="5" fillId="0" borderId="0" xfId="0" applyFont="1" applyAlignment="1">
      <alignment horizontal="left" indent="3"/>
    </xf>
    <xf numFmtId="0" fontId="6" fillId="0" borderId="0" xfId="0" applyFont="1" applyFill="1" applyBorder="1" applyAlignment="1">
      <alignment horizontal="left" indent="1"/>
    </xf>
    <xf numFmtId="0" fontId="6" fillId="0" borderId="0" xfId="0" applyFont="1" applyFill="1" applyBorder="1" applyAlignment="1">
      <alignment horizontal="left" vertical="center" indent="1"/>
    </xf>
    <xf numFmtId="0" fontId="6" fillId="0" borderId="9" xfId="0" applyFont="1" applyFill="1" applyBorder="1" applyAlignment="1">
      <alignment horizontal="left" vertical="center" wrapText="1" indent="2"/>
    </xf>
    <xf numFmtId="0" fontId="20" fillId="0" borderId="0" xfId="0" applyFont="1" applyFill="1" applyBorder="1" applyAlignment="1">
      <alignment horizontal="left" vertical="center" wrapText="1" indent="5"/>
    </xf>
    <xf numFmtId="0" fontId="24" fillId="26" borderId="0" xfId="0" applyFont="1" applyFill="1" applyBorder="1" applyAlignment="1" applyProtection="1">
      <alignment vertical="top"/>
    </xf>
    <xf numFmtId="164" fontId="3" fillId="26" borderId="0" xfId="1" applyNumberFormat="1" applyFont="1" applyFill="1" applyBorder="1" applyAlignment="1" applyProtection="1">
      <alignment vertical="top"/>
    </xf>
    <xf numFmtId="0" fontId="3" fillId="26" borderId="0" xfId="0" applyFont="1" applyFill="1" applyBorder="1" applyAlignment="1" applyProtection="1">
      <alignment horizontal="right" vertical="top"/>
    </xf>
    <xf numFmtId="0" fontId="4" fillId="26" borderId="0" xfId="0" applyFont="1" applyFill="1" applyBorder="1" applyAlignment="1" applyProtection="1">
      <alignment horizontal="right" vertical="top"/>
    </xf>
    <xf numFmtId="0" fontId="4" fillId="26" borderId="0" xfId="0" applyFont="1" applyFill="1" applyAlignment="1" applyProtection="1">
      <alignment vertical="top"/>
    </xf>
    <xf numFmtId="0" fontId="4" fillId="0" borderId="0" xfId="0" applyFont="1" applyProtection="1"/>
    <xf numFmtId="0" fontId="32" fillId="33" borderId="7" xfId="0" applyFont="1" applyFill="1" applyBorder="1" applyProtection="1"/>
    <xf numFmtId="0" fontId="32" fillId="28" borderId="7" xfId="0" applyFont="1" applyFill="1" applyBorder="1" applyAlignment="1" applyProtection="1">
      <alignment horizontal="center"/>
    </xf>
    <xf numFmtId="0" fontId="32" fillId="29" borderId="7" xfId="0" applyFont="1" applyFill="1" applyBorder="1" applyAlignment="1" applyProtection="1">
      <alignment horizontal="center"/>
    </xf>
    <xf numFmtId="0" fontId="32" fillId="33" borderId="7" xfId="0" applyFont="1" applyFill="1" applyBorder="1" applyAlignment="1" applyProtection="1">
      <alignment horizontal="center"/>
    </xf>
    <xf numFmtId="0" fontId="32" fillId="19" borderId="7" xfId="0" applyFont="1" applyFill="1" applyBorder="1" applyAlignment="1" applyProtection="1">
      <alignment horizontal="center"/>
    </xf>
    <xf numFmtId="0" fontId="66" fillId="27" borderId="5" xfId="0" applyFont="1" applyFill="1" applyBorder="1" applyProtection="1"/>
    <xf numFmtId="0" fontId="66" fillId="27" borderId="0" xfId="0" applyFont="1" applyFill="1" applyBorder="1" applyProtection="1"/>
    <xf numFmtId="0" fontId="3" fillId="27" borderId="0" xfId="0" applyFont="1" applyFill="1" applyBorder="1" applyAlignment="1" applyProtection="1">
      <alignment horizontal="center"/>
    </xf>
    <xf numFmtId="0" fontId="67" fillId="0" borderId="0" xfId="0" applyFont="1" applyAlignment="1" applyProtection="1">
      <alignment horizontal="left" vertical="center" indent="2"/>
    </xf>
    <xf numFmtId="0" fontId="4" fillId="0" borderId="0" xfId="0" applyFont="1" applyBorder="1" applyAlignment="1" applyProtection="1">
      <alignment vertical="top"/>
    </xf>
    <xf numFmtId="164" fontId="4" fillId="0" borderId="0" xfId="1" applyNumberFormat="1" applyFont="1" applyAlignment="1" applyProtection="1">
      <alignment vertical="top"/>
    </xf>
    <xf numFmtId="0" fontId="4" fillId="0" borderId="0" xfId="0" applyFont="1" applyBorder="1" applyAlignment="1" applyProtection="1">
      <alignment horizontal="right" vertical="top"/>
    </xf>
    <xf numFmtId="0" fontId="4" fillId="0" borderId="0" xfId="0" applyFont="1" applyAlignment="1" applyProtection="1">
      <alignment vertical="top"/>
    </xf>
    <xf numFmtId="0" fontId="6" fillId="0" borderId="0" xfId="0" applyFont="1" applyBorder="1" applyAlignment="1" applyProtection="1">
      <alignment wrapText="1"/>
    </xf>
    <xf numFmtId="9" fontId="6" fillId="9" borderId="0" xfId="3" applyFont="1" applyFill="1" applyBorder="1" applyAlignment="1" applyProtection="1">
      <alignment horizontal="right" vertical="center" wrapText="1"/>
    </xf>
    <xf numFmtId="6" fontId="67" fillId="8" borderId="0" xfId="0" applyNumberFormat="1" applyFont="1" applyFill="1" applyAlignment="1" applyProtection="1">
      <alignment horizontal="left" vertical="center" indent="2"/>
    </xf>
    <xf numFmtId="6" fontId="6" fillId="9" borderId="0" xfId="0" applyNumberFormat="1" applyFont="1" applyFill="1" applyProtection="1"/>
    <xf numFmtId="164" fontId="14" fillId="8" borderId="0" xfId="1" applyNumberFormat="1" applyFont="1" applyFill="1" applyAlignment="1" applyProtection="1">
      <alignment vertical="top"/>
    </xf>
    <xf numFmtId="8" fontId="67" fillId="0" borderId="0" xfId="0" applyNumberFormat="1" applyFont="1" applyAlignment="1" applyProtection="1">
      <alignment horizontal="left" vertical="center" indent="2"/>
    </xf>
    <xf numFmtId="6" fontId="6" fillId="0" borderId="0" xfId="0" applyNumberFormat="1" applyFont="1" applyFill="1" applyProtection="1"/>
    <xf numFmtId="164" fontId="68" fillId="0" borderId="0" xfId="1" applyNumberFormat="1" applyFont="1" applyFill="1" applyAlignment="1" applyProtection="1">
      <alignment vertical="top"/>
    </xf>
    <xf numFmtId="0" fontId="3" fillId="14" borderId="0" xfId="0" applyFont="1" applyFill="1" applyBorder="1" applyAlignment="1" applyProtection="1">
      <alignment vertical="top"/>
    </xf>
    <xf numFmtId="164" fontId="69" fillId="14" borderId="0" xfId="1" applyNumberFormat="1" applyFont="1" applyFill="1" applyBorder="1" applyAlignment="1" applyProtection="1">
      <alignment vertical="top"/>
    </xf>
    <xf numFmtId="0" fontId="4" fillId="14" borderId="0" xfId="0" applyFont="1" applyFill="1" applyBorder="1" applyAlignment="1" applyProtection="1">
      <alignment vertical="top"/>
    </xf>
    <xf numFmtId="0" fontId="4" fillId="14" borderId="0" xfId="0" applyFont="1" applyFill="1" applyBorder="1" applyAlignment="1" applyProtection="1">
      <alignment horizontal="right" vertical="top"/>
    </xf>
    <xf numFmtId="164" fontId="68" fillId="14" borderId="0" xfId="1" applyNumberFormat="1" applyFont="1" applyFill="1" applyAlignment="1" applyProtection="1">
      <alignment vertical="top"/>
    </xf>
    <xf numFmtId="0" fontId="6" fillId="0" borderId="0" xfId="0" applyFont="1" applyBorder="1" applyAlignment="1" applyProtection="1">
      <alignment vertical="top"/>
    </xf>
    <xf numFmtId="0" fontId="6" fillId="0" borderId="0" xfId="0" applyFont="1" applyBorder="1" applyAlignment="1" applyProtection="1">
      <alignment horizontal="right" vertical="top"/>
    </xf>
    <xf numFmtId="1" fontId="6" fillId="0" borderId="0" xfId="0" applyNumberFormat="1" applyFont="1" applyBorder="1" applyAlignment="1" applyProtection="1">
      <alignment vertical="top"/>
    </xf>
    <xf numFmtId="164" fontId="70" fillId="0" borderId="0" xfId="1" applyNumberFormat="1" applyFont="1" applyBorder="1" applyAlignment="1" applyProtection="1">
      <alignment vertical="top"/>
    </xf>
    <xf numFmtId="0" fontId="4" fillId="32" borderId="0" xfId="0" applyFont="1" applyFill="1" applyProtection="1"/>
    <xf numFmtId="0" fontId="6" fillId="35" borderId="0" xfId="0" applyFont="1" applyFill="1" applyProtection="1"/>
    <xf numFmtId="0" fontId="6" fillId="0" borderId="0" xfId="0" applyFont="1" applyFill="1" applyProtection="1"/>
    <xf numFmtId="6" fontId="6" fillId="31" borderId="0" xfId="0" applyNumberFormat="1" applyFont="1" applyFill="1" applyProtection="1"/>
    <xf numFmtId="0" fontId="3" fillId="14" borderId="6" xfId="0" applyFont="1" applyFill="1" applyBorder="1" applyAlignment="1" applyProtection="1">
      <alignment vertical="top"/>
    </xf>
    <xf numFmtId="164" fontId="69" fillId="14" borderId="6" xfId="1" applyNumberFormat="1" applyFont="1" applyFill="1" applyBorder="1" applyAlignment="1" applyProtection="1">
      <alignment vertical="top"/>
    </xf>
    <xf numFmtId="0" fontId="4" fillId="14" borderId="6" xfId="0" applyFont="1" applyFill="1" applyBorder="1" applyAlignment="1" applyProtection="1">
      <alignment vertical="top"/>
    </xf>
    <xf numFmtId="0" fontId="4" fillId="14" borderId="6" xfId="0" applyFont="1" applyFill="1" applyBorder="1" applyAlignment="1" applyProtection="1">
      <alignment horizontal="right" vertical="top"/>
    </xf>
    <xf numFmtId="164" fontId="68" fillId="14" borderId="6" xfId="1" applyNumberFormat="1" applyFont="1" applyFill="1" applyBorder="1" applyAlignment="1" applyProtection="1">
      <alignment vertical="top"/>
    </xf>
    <xf numFmtId="0" fontId="3" fillId="15" borderId="0" xfId="0" applyFont="1" applyFill="1" applyBorder="1" applyAlignment="1" applyProtection="1">
      <alignment vertical="top"/>
    </xf>
    <xf numFmtId="164" fontId="14" fillId="15" borderId="0" xfId="1" applyNumberFormat="1" applyFont="1" applyFill="1" applyBorder="1" applyAlignment="1" applyProtection="1">
      <alignment vertical="top"/>
    </xf>
    <xf numFmtId="164" fontId="71" fillId="15" borderId="0" xfId="0" applyNumberFormat="1" applyFont="1" applyFill="1" applyBorder="1" applyAlignment="1" applyProtection="1">
      <alignment horizontal="right" vertical="center"/>
    </xf>
    <xf numFmtId="0" fontId="4" fillId="15" borderId="0" xfId="0" applyFont="1" applyFill="1" applyBorder="1" applyProtection="1"/>
    <xf numFmtId="6" fontId="4" fillId="0" borderId="0" xfId="0" applyNumberFormat="1" applyFont="1" applyProtection="1"/>
    <xf numFmtId="0" fontId="6" fillId="0" borderId="0" xfId="0" applyFont="1" applyBorder="1" applyAlignment="1" applyProtection="1">
      <alignment horizontal="left" vertical="top" indent="2"/>
    </xf>
    <xf numFmtId="164" fontId="13" fillId="8" borderId="0" xfId="1" applyNumberFormat="1" applyFont="1" applyFill="1" applyBorder="1" applyAlignment="1" applyProtection="1">
      <alignment vertical="top"/>
    </xf>
    <xf numFmtId="0" fontId="4" fillId="0" borderId="0" xfId="0" applyFont="1" applyBorder="1" applyProtection="1"/>
    <xf numFmtId="164" fontId="72" fillId="0" borderId="0" xfId="1" applyNumberFormat="1" applyFont="1" applyFill="1" applyBorder="1" applyAlignment="1" applyProtection="1">
      <alignment vertical="top"/>
    </xf>
    <xf numFmtId="0" fontId="4" fillId="0" borderId="0" xfId="0" applyFont="1" applyFill="1" applyBorder="1" applyProtection="1"/>
    <xf numFmtId="0" fontId="3" fillId="0" borderId="0" xfId="0" applyFont="1" applyFill="1" applyBorder="1" applyAlignment="1" applyProtection="1">
      <alignment vertical="top"/>
    </xf>
    <xf numFmtId="0" fontId="6" fillId="0" borderId="0" xfId="0" applyFont="1" applyFill="1" applyBorder="1" applyProtection="1"/>
    <xf numFmtId="164" fontId="71" fillId="0" borderId="0" xfId="0" applyNumberFormat="1" applyFont="1" applyFill="1" applyBorder="1" applyAlignment="1" applyProtection="1">
      <alignment horizontal="right" vertical="center"/>
    </xf>
    <xf numFmtId="0" fontId="73" fillId="31" borderId="0" xfId="0" applyFont="1" applyFill="1" applyBorder="1" applyProtection="1"/>
    <xf numFmtId="0" fontId="4" fillId="0" borderId="0" xfId="0" applyFont="1" applyFill="1" applyProtection="1"/>
    <xf numFmtId="0" fontId="6" fillId="15" borderId="0" xfId="0" applyFont="1" applyFill="1" applyBorder="1" applyProtection="1"/>
    <xf numFmtId="164" fontId="6" fillId="9" borderId="0" xfId="1" applyNumberFormat="1" applyFont="1" applyFill="1" applyBorder="1" applyAlignment="1" applyProtection="1">
      <alignment horizontal="right" vertical="center" wrapText="1"/>
    </xf>
    <xf numFmtId="164" fontId="72" fillId="15" borderId="0" xfId="1" applyNumberFormat="1" applyFont="1" applyFill="1" applyBorder="1" applyAlignment="1" applyProtection="1">
      <alignment vertical="top"/>
    </xf>
    <xf numFmtId="0" fontId="72" fillId="15" borderId="0" xfId="0" applyFont="1" applyFill="1" applyBorder="1" applyAlignment="1" applyProtection="1">
      <alignment vertical="top"/>
    </xf>
    <xf numFmtId="0" fontId="3" fillId="15" borderId="0" xfId="0" applyFont="1" applyFill="1" applyBorder="1" applyAlignment="1" applyProtection="1">
      <alignment horizontal="left"/>
    </xf>
    <xf numFmtId="0" fontId="13" fillId="15" borderId="0" xfId="0" applyFont="1" applyFill="1" applyBorder="1" applyAlignment="1" applyProtection="1">
      <alignment horizontal="center" wrapText="1"/>
    </xf>
    <xf numFmtId="0" fontId="6" fillId="0" borderId="0" xfId="0" applyFont="1" applyProtection="1"/>
    <xf numFmtId="175" fontId="6" fillId="8" borderId="0" xfId="0" applyNumberFormat="1" applyFont="1" applyFill="1" applyBorder="1" applyProtection="1"/>
    <xf numFmtId="175" fontId="5" fillId="0" borderId="0" xfId="0" applyNumberFormat="1" applyFont="1" applyFill="1" applyBorder="1" applyProtection="1"/>
    <xf numFmtId="6" fontId="6" fillId="8" borderId="0" xfId="0" applyNumberFormat="1" applyFont="1" applyFill="1" applyBorder="1" applyProtection="1"/>
    <xf numFmtId="0" fontId="5" fillId="0" borderId="0" xfId="0" applyFont="1" applyBorder="1" applyAlignment="1" applyProtection="1">
      <alignment horizontal="left" vertical="top" indent="2"/>
    </xf>
    <xf numFmtId="164" fontId="13" fillId="8" borderId="0" xfId="0" applyNumberFormat="1" applyFont="1" applyFill="1" applyBorder="1" applyAlignment="1" applyProtection="1">
      <alignment vertical="top"/>
    </xf>
    <xf numFmtId="0" fontId="5" fillId="0" borderId="0" xfId="0" applyFont="1" applyFill="1" applyBorder="1" applyAlignment="1" applyProtection="1">
      <alignment horizontal="left" vertical="top" indent="2"/>
    </xf>
    <xf numFmtId="164" fontId="13" fillId="0" borderId="0" xfId="0" applyNumberFormat="1" applyFont="1" applyFill="1" applyBorder="1" applyAlignment="1" applyProtection="1">
      <alignment vertical="top"/>
    </xf>
    <xf numFmtId="1" fontId="13" fillId="8" borderId="0" xfId="0" applyNumberFormat="1" applyFont="1" applyFill="1" applyBorder="1" applyAlignment="1" applyProtection="1">
      <alignment vertical="top"/>
    </xf>
    <xf numFmtId="0" fontId="4" fillId="0" borderId="5" xfId="0" applyFont="1" applyBorder="1" applyProtection="1"/>
    <xf numFmtId="0" fontId="3" fillId="0" borderId="0" xfId="0" applyFont="1" applyFill="1" applyBorder="1" applyProtection="1"/>
    <xf numFmtId="0" fontId="3" fillId="15" borderId="0" xfId="0" applyFont="1" applyFill="1" applyBorder="1" applyProtection="1"/>
    <xf numFmtId="0" fontId="5" fillId="15" borderId="0" xfId="0" applyFont="1" applyFill="1" applyBorder="1" applyProtection="1"/>
    <xf numFmtId="0" fontId="5" fillId="0" borderId="0" xfId="0" applyFont="1" applyFill="1" applyBorder="1" applyProtection="1"/>
    <xf numFmtId="0" fontId="6" fillId="0" borderId="0" xfId="0" applyFont="1" applyBorder="1" applyAlignment="1" applyProtection="1">
      <alignment horizontal="left" vertical="top" indent="4"/>
    </xf>
    <xf numFmtId="164" fontId="6" fillId="8" borderId="0" xfId="1" applyNumberFormat="1" applyFont="1" applyFill="1" applyBorder="1" applyAlignment="1" applyProtection="1">
      <alignment horizontal="right" vertical="center" wrapText="1"/>
    </xf>
    <xf numFmtId="175" fontId="5" fillId="8" borderId="0" xfId="0" applyNumberFormat="1" applyFont="1" applyFill="1" applyBorder="1" applyProtection="1"/>
    <xf numFmtId="0" fontId="5" fillId="0" borderId="6" xfId="0" applyFont="1" applyBorder="1" applyAlignment="1" applyProtection="1">
      <alignment horizontal="left" vertical="top" indent="2"/>
    </xf>
    <xf numFmtId="175" fontId="5" fillId="8" borderId="6" xfId="0" applyNumberFormat="1" applyFont="1" applyFill="1" applyBorder="1" applyProtection="1"/>
    <xf numFmtId="0" fontId="6" fillId="0" borderId="0" xfId="0" applyFont="1" applyBorder="1" applyProtection="1"/>
    <xf numFmtId="0" fontId="6" fillId="0" borderId="0" xfId="0" applyFont="1" applyFill="1" applyBorder="1" applyAlignment="1" applyProtection="1">
      <alignment horizontal="left" indent="3"/>
    </xf>
    <xf numFmtId="0" fontId="26" fillId="0" borderId="0" xfId="0" applyFont="1" applyFill="1" applyBorder="1" applyAlignment="1" applyProtection="1">
      <alignment horizontal="center"/>
    </xf>
    <xf numFmtId="0" fontId="4" fillId="0" borderId="0" xfId="0" applyNumberFormat="1" applyFont="1" applyFill="1" applyBorder="1" applyProtection="1"/>
    <xf numFmtId="0" fontId="20" fillId="0" borderId="0" xfId="0" applyFont="1" applyFill="1" applyBorder="1" applyAlignment="1" applyProtection="1">
      <alignment horizontal="left" indent="6"/>
    </xf>
    <xf numFmtId="1" fontId="6" fillId="8" borderId="0" xfId="0" applyNumberFormat="1" applyFont="1" applyFill="1" applyBorder="1" applyProtection="1"/>
    <xf numFmtId="0" fontId="6" fillId="32" borderId="0" xfId="0" applyFont="1" applyFill="1" applyProtection="1"/>
    <xf numFmtId="175" fontId="6" fillId="0" borderId="0" xfId="0" applyNumberFormat="1" applyFont="1" applyFill="1" applyBorder="1" applyProtection="1"/>
    <xf numFmtId="0" fontId="20" fillId="0" borderId="0" xfId="0" applyFont="1" applyFill="1" applyBorder="1" applyAlignment="1" applyProtection="1">
      <alignment horizontal="left" indent="5"/>
    </xf>
    <xf numFmtId="41" fontId="6" fillId="0" borderId="0" xfId="0" applyNumberFormat="1" applyFont="1" applyFill="1" applyBorder="1" applyProtection="1"/>
    <xf numFmtId="0" fontId="5" fillId="0" borderId="0" xfId="0" applyFont="1" applyBorder="1" applyProtection="1"/>
    <xf numFmtId="0" fontId="4" fillId="0" borderId="0" xfId="0" applyFont="1" applyFill="1" applyBorder="1" applyAlignment="1" applyProtection="1">
      <alignment horizontal="left" indent="3"/>
    </xf>
    <xf numFmtId="175" fontId="14" fillId="0" borderId="0" xfId="1" applyNumberFormat="1" applyFont="1" applyFill="1" applyBorder="1" applyAlignment="1" applyProtection="1">
      <alignment vertical="top"/>
    </xf>
    <xf numFmtId="1" fontId="6" fillId="0" borderId="0" xfId="0" applyNumberFormat="1" applyFont="1" applyBorder="1" applyProtection="1"/>
    <xf numFmtId="41" fontId="5" fillId="0" borderId="0" xfId="0" applyNumberFormat="1" applyFont="1" applyFill="1" applyBorder="1" applyProtection="1"/>
    <xf numFmtId="0" fontId="3" fillId="0" borderId="0" xfId="0" applyFont="1" applyBorder="1" applyProtection="1"/>
    <xf numFmtId="175" fontId="14" fillId="8" borderId="0" xfId="1" applyNumberFormat="1" applyFont="1" applyFill="1" applyBorder="1" applyAlignment="1" applyProtection="1">
      <alignment vertical="top"/>
    </xf>
    <xf numFmtId="0" fontId="5" fillId="0" borderId="0" xfId="0" applyFont="1" applyFill="1" applyBorder="1" applyAlignment="1" applyProtection="1">
      <alignment horizontal="left" indent="3"/>
    </xf>
    <xf numFmtId="1" fontId="6" fillId="0" borderId="0" xfId="0" applyNumberFormat="1" applyFont="1" applyFill="1" applyBorder="1" applyProtection="1"/>
    <xf numFmtId="175" fontId="6" fillId="0" borderId="0" xfId="0" applyNumberFormat="1" applyFont="1" applyFill="1" applyProtection="1"/>
    <xf numFmtId="0" fontId="74" fillId="0" borderId="0" xfId="0" applyFont="1" applyAlignment="1" applyProtection="1">
      <alignment horizontal="right"/>
    </xf>
    <xf numFmtId="0" fontId="3" fillId="15" borderId="0" xfId="0" applyFont="1" applyFill="1" applyProtection="1"/>
    <xf numFmtId="0" fontId="4" fillId="15" borderId="0" xfId="0" applyFont="1" applyFill="1" applyProtection="1"/>
    <xf numFmtId="0" fontId="6" fillId="0" borderId="0" xfId="0" applyFont="1" applyAlignment="1" applyProtection="1">
      <alignment horizontal="left" indent="4"/>
    </xf>
    <xf numFmtId="164" fontId="20" fillId="0" borderId="0" xfId="0" applyNumberFormat="1" applyFont="1" applyProtection="1"/>
    <xf numFmtId="0" fontId="75" fillId="0" borderId="7" xfId="0" applyFont="1" applyBorder="1" applyAlignment="1" applyProtection="1">
      <alignment horizontal="right"/>
    </xf>
    <xf numFmtId="164" fontId="3" fillId="0" borderId="7" xfId="0" applyNumberFormat="1" applyFont="1" applyBorder="1" applyProtection="1"/>
    <xf numFmtId="165" fontId="4" fillId="9" borderId="0" xfId="3" applyNumberFormat="1" applyFont="1" applyFill="1" applyBorder="1" applyAlignment="1" applyProtection="1">
      <alignment vertical="top"/>
      <protection locked="0"/>
    </xf>
    <xf numFmtId="165" fontId="6" fillId="9" borderId="0" xfId="3" applyNumberFormat="1" applyFont="1" applyFill="1" applyBorder="1" applyAlignment="1" applyProtection="1">
      <alignment vertical="top"/>
      <protection locked="0"/>
    </xf>
    <xf numFmtId="9" fontId="6" fillId="9" borderId="0" xfId="3" applyFont="1" applyFill="1" applyBorder="1" applyAlignment="1" applyProtection="1">
      <alignment horizontal="right" vertical="center" wrapText="1"/>
      <protection locked="0"/>
    </xf>
    <xf numFmtId="6" fontId="6" fillId="9" borderId="0" xfId="0" applyNumberFormat="1" applyFont="1" applyFill="1" applyProtection="1">
      <protection locked="0"/>
    </xf>
    <xf numFmtId="164" fontId="6" fillId="30" borderId="0" xfId="1" applyNumberFormat="1" applyFont="1" applyFill="1" applyBorder="1" applyAlignment="1" applyProtection="1">
      <alignment vertical="top"/>
      <protection locked="0"/>
    </xf>
    <xf numFmtId="9" fontId="6" fillId="30" borderId="0" xfId="3" applyFont="1" applyFill="1" applyBorder="1" applyAlignment="1" applyProtection="1">
      <alignment vertical="top"/>
      <protection locked="0"/>
    </xf>
    <xf numFmtId="175" fontId="6" fillId="9" borderId="0" xfId="3" applyNumberFormat="1" applyFont="1" applyFill="1" applyBorder="1" applyAlignment="1" applyProtection="1">
      <alignment horizontal="right" vertical="center" wrapText="1"/>
      <protection locked="0"/>
    </xf>
    <xf numFmtId="6" fontId="6" fillId="30" borderId="0" xfId="0" applyNumberFormat="1" applyFont="1" applyFill="1" applyProtection="1">
      <protection locked="0"/>
    </xf>
    <xf numFmtId="0" fontId="6" fillId="30" borderId="0" xfId="0" applyFont="1" applyFill="1" applyBorder="1" applyProtection="1">
      <protection locked="0"/>
    </xf>
    <xf numFmtId="164" fontId="6" fillId="9" borderId="0" xfId="1" applyNumberFormat="1" applyFont="1" applyFill="1" applyBorder="1" applyAlignment="1" applyProtection="1">
      <alignment horizontal="right" vertical="center" wrapText="1"/>
      <protection locked="0"/>
    </xf>
    <xf numFmtId="6" fontId="6" fillId="9" borderId="0" xfId="0" applyNumberFormat="1" applyFont="1" applyFill="1" applyBorder="1" applyProtection="1">
      <protection locked="0"/>
    </xf>
    <xf numFmtId="174" fontId="6" fillId="9" borderId="0" xfId="1" applyNumberFormat="1" applyFont="1" applyFill="1" applyBorder="1" applyAlignment="1" applyProtection="1">
      <alignment horizontal="right" vertical="center" wrapText="1"/>
      <protection locked="0"/>
    </xf>
    <xf numFmtId="175" fontId="14" fillId="9" borderId="0" xfId="1" applyNumberFormat="1" applyFont="1" applyFill="1" applyBorder="1" applyAlignment="1" applyProtection="1">
      <alignment vertical="top"/>
      <protection locked="0"/>
    </xf>
    <xf numFmtId="0" fontId="4" fillId="26" borderId="0" xfId="0" applyFont="1" applyFill="1" applyProtection="1"/>
    <xf numFmtId="0" fontId="26" fillId="26" borderId="7" xfId="0" applyFont="1" applyFill="1" applyBorder="1" applyProtection="1"/>
    <xf numFmtId="0" fontId="26" fillId="33" borderId="7" xfId="0" applyFont="1" applyFill="1" applyBorder="1" applyProtection="1"/>
    <xf numFmtId="0" fontId="26" fillId="28" borderId="7" xfId="0" applyFont="1" applyFill="1" applyBorder="1" applyAlignment="1" applyProtection="1">
      <alignment horizontal="center"/>
    </xf>
    <xf numFmtId="0" fontId="26" fillId="29" borderId="7" xfId="0" applyFont="1" applyFill="1" applyBorder="1" applyAlignment="1" applyProtection="1">
      <alignment horizontal="center"/>
    </xf>
    <xf numFmtId="0" fontId="4" fillId="11" borderId="0" xfId="0" applyFont="1" applyFill="1" applyProtection="1"/>
    <xf numFmtId="0" fontId="26" fillId="11" borderId="5" xfId="0" applyFont="1" applyFill="1" applyBorder="1" applyProtection="1"/>
    <xf numFmtId="0" fontId="26" fillId="33" borderId="5" xfId="0" applyFont="1" applyFill="1" applyBorder="1" applyAlignment="1" applyProtection="1">
      <alignment horizontal="center"/>
    </xf>
    <xf numFmtId="0" fontId="26" fillId="19" borderId="5" xfId="0" applyFont="1" applyFill="1" applyBorder="1" applyAlignment="1" applyProtection="1">
      <alignment horizontal="center"/>
    </xf>
    <xf numFmtId="0" fontId="26" fillId="28" borderId="5" xfId="0" applyFont="1" applyFill="1" applyBorder="1" applyAlignment="1" applyProtection="1">
      <alignment horizontal="center"/>
    </xf>
    <xf numFmtId="0" fontId="26" fillId="29" borderId="5" xfId="0" applyFont="1" applyFill="1" applyBorder="1" applyAlignment="1" applyProtection="1">
      <alignment horizontal="center"/>
    </xf>
    <xf numFmtId="0" fontId="3" fillId="0" borderId="7" xfId="0" applyFont="1" applyBorder="1" applyProtection="1"/>
    <xf numFmtId="0" fontId="64" fillId="0" borderId="7" xfId="0" applyFont="1" applyFill="1" applyBorder="1" applyAlignment="1" applyProtection="1">
      <alignment horizontal="right"/>
    </xf>
    <xf numFmtId="168" fontId="81" fillId="3" borderId="7" xfId="0" applyNumberFormat="1" applyFont="1" applyFill="1" applyBorder="1" applyProtection="1"/>
    <xf numFmtId="0" fontId="76" fillId="0" borderId="0" xfId="0" applyFont="1" applyProtection="1"/>
    <xf numFmtId="0" fontId="4" fillId="0" borderId="7" xfId="0" applyFont="1" applyBorder="1" applyProtection="1"/>
    <xf numFmtId="0" fontId="73" fillId="0" borderId="0" xfId="0" applyFont="1" applyProtection="1"/>
    <xf numFmtId="0" fontId="4" fillId="0" borderId="6" xfId="0" applyFont="1" applyBorder="1" applyProtection="1"/>
    <xf numFmtId="0" fontId="38" fillId="11" borderId="9" xfId="0" applyFont="1" applyFill="1" applyBorder="1" applyProtection="1"/>
    <xf numFmtId="0" fontId="64" fillId="0" borderId="9" xfId="0" applyFont="1" applyFill="1" applyBorder="1" applyAlignment="1" applyProtection="1">
      <alignment horizontal="right"/>
    </xf>
    <xf numFmtId="168" fontId="64" fillId="8" borderId="9" xfId="0" applyNumberFormat="1" applyFont="1" applyFill="1" applyBorder="1" applyProtection="1"/>
    <xf numFmtId="0" fontId="6" fillId="0" borderId="0" xfId="0" applyFont="1" applyBorder="1" applyAlignment="1" applyProtection="1">
      <alignment horizontal="left" indent="2"/>
    </xf>
    <xf numFmtId="168" fontId="6" fillId="8" borderId="0" xfId="2" applyNumberFormat="1" applyFont="1" applyFill="1" applyBorder="1" applyProtection="1"/>
    <xf numFmtId="0" fontId="6" fillId="0" borderId="6" xfId="0" applyFont="1" applyBorder="1" applyAlignment="1" applyProtection="1">
      <alignment horizontal="left" indent="2"/>
    </xf>
    <xf numFmtId="0" fontId="6" fillId="0" borderId="6" xfId="0" applyFont="1" applyBorder="1" applyAlignment="1" applyProtection="1">
      <alignment horizontal="left" indent="1"/>
    </xf>
    <xf numFmtId="0" fontId="5" fillId="0" borderId="7" xfId="0" applyFont="1" applyBorder="1" applyAlignment="1" applyProtection="1">
      <alignment horizontal="right" indent="1"/>
    </xf>
    <xf numFmtId="0" fontId="5" fillId="0" borderId="7" xfId="0" applyFont="1" applyBorder="1" applyAlignment="1" applyProtection="1">
      <alignment horizontal="left" indent="1"/>
    </xf>
    <xf numFmtId="168" fontId="5" fillId="8" borderId="7" xfId="2" applyNumberFormat="1" applyFont="1" applyFill="1" applyBorder="1" applyProtection="1"/>
    <xf numFmtId="0" fontId="80" fillId="0" borderId="0" xfId="0" applyFont="1" applyAlignment="1" applyProtection="1">
      <alignment horizontal="center"/>
    </xf>
    <xf numFmtId="0" fontId="5" fillId="0" borderId="0" xfId="0" applyFont="1" applyBorder="1" applyAlignment="1" applyProtection="1">
      <alignment horizontal="right" indent="1"/>
    </xf>
    <xf numFmtId="0" fontId="5" fillId="0" borderId="0" xfId="0" applyFont="1" applyBorder="1" applyAlignment="1" applyProtection="1">
      <alignment horizontal="left" indent="1"/>
    </xf>
    <xf numFmtId="0" fontId="5" fillId="0" borderId="5" xfId="0" applyFont="1" applyBorder="1" applyProtection="1"/>
    <xf numFmtId="168" fontId="6" fillId="0" borderId="5" xfId="0" applyNumberFormat="1" applyFont="1" applyBorder="1" applyProtection="1"/>
    <xf numFmtId="0" fontId="81" fillId="0" borderId="5" xfId="0" applyFont="1" applyFill="1" applyBorder="1" applyProtection="1"/>
    <xf numFmtId="0" fontId="6" fillId="0" borderId="5" xfId="0" applyFont="1" applyBorder="1" applyProtection="1"/>
    <xf numFmtId="0" fontId="80" fillId="0" borderId="0" xfId="0" applyFont="1" applyProtection="1"/>
    <xf numFmtId="0" fontId="5" fillId="0" borderId="6" xfId="0" applyFont="1" applyBorder="1" applyAlignment="1" applyProtection="1">
      <alignment horizontal="left" indent="1"/>
    </xf>
    <xf numFmtId="168" fontId="6" fillId="8" borderId="6" xfId="2" applyNumberFormat="1" applyFont="1" applyFill="1" applyBorder="1" applyProtection="1"/>
    <xf numFmtId="0" fontId="3" fillId="0" borderId="0" xfId="0" applyFont="1" applyProtection="1"/>
    <xf numFmtId="0" fontId="24" fillId="10" borderId="0" xfId="0" applyFont="1" applyFill="1" applyBorder="1" applyAlignment="1" applyProtection="1">
      <alignment vertical="top"/>
    </xf>
    <xf numFmtId="164" fontId="3" fillId="10" borderId="0" xfId="1" applyNumberFormat="1" applyFont="1" applyFill="1" applyBorder="1" applyAlignment="1" applyProtection="1">
      <alignment vertical="top"/>
    </xf>
    <xf numFmtId="0" fontId="82" fillId="10" borderId="0" xfId="0" applyFont="1" applyFill="1" applyAlignment="1" applyProtection="1">
      <alignment vertical="top"/>
    </xf>
    <xf numFmtId="0" fontId="4" fillId="10" borderId="0" xfId="0" applyFont="1" applyFill="1" applyAlignment="1" applyProtection="1">
      <alignment vertical="top"/>
    </xf>
    <xf numFmtId="0" fontId="3" fillId="0" borderId="0" xfId="0" applyFont="1" applyAlignment="1" applyProtection="1">
      <alignment horizontal="right"/>
    </xf>
    <xf numFmtId="9" fontId="4" fillId="0" borderId="0" xfId="3" applyFont="1" applyProtection="1"/>
    <xf numFmtId="1" fontId="4" fillId="0" borderId="0" xfId="3" applyNumberFormat="1" applyFont="1" applyProtection="1"/>
    <xf numFmtId="0" fontId="83" fillId="31" borderId="0" xfId="0" applyFont="1" applyFill="1" applyBorder="1" applyProtection="1"/>
    <xf numFmtId="0" fontId="4" fillId="31" borderId="0" xfId="0" applyFont="1" applyFill="1" applyProtection="1"/>
    <xf numFmtId="0" fontId="84" fillId="0" borderId="0" xfId="0" applyFont="1" applyProtection="1"/>
    <xf numFmtId="0" fontId="26" fillId="19" borderId="7" xfId="0" applyFont="1" applyFill="1" applyBorder="1" applyAlignment="1" applyProtection="1">
      <alignment horizontal="center"/>
    </xf>
    <xf numFmtId="0" fontId="85" fillId="0" borderId="0" xfId="0" applyFont="1" applyAlignment="1" applyProtection="1">
      <alignment wrapText="1"/>
    </xf>
    <xf numFmtId="0" fontId="6" fillId="0" borderId="0" xfId="0" applyFont="1" applyAlignment="1" applyProtection="1">
      <alignment horizontal="left" indent="2"/>
    </xf>
    <xf numFmtId="0" fontId="73" fillId="0" borderId="0" xfId="0" applyFont="1" applyAlignment="1" applyProtection="1">
      <alignment horizontal="right" wrapText="1"/>
    </xf>
    <xf numFmtId="0" fontId="73" fillId="0" borderId="0" xfId="0" applyFont="1" applyAlignment="1" applyProtection="1">
      <alignment vertical="top"/>
    </xf>
    <xf numFmtId="0" fontId="86" fillId="0" borderId="0" xfId="0" applyFont="1" applyAlignment="1" applyProtection="1">
      <alignment horizontal="left" vertical="top"/>
    </xf>
    <xf numFmtId="0" fontId="6" fillId="0" borderId="0" xfId="0" applyFont="1" applyAlignment="1" applyProtection="1">
      <alignment horizontal="right"/>
    </xf>
    <xf numFmtId="0" fontId="73" fillId="0" borderId="0" xfId="0" applyFont="1" applyBorder="1" applyAlignment="1" applyProtection="1">
      <alignment horizontal="left" vertical="top" wrapText="1"/>
    </xf>
    <xf numFmtId="0" fontId="85" fillId="0" borderId="0" xfId="0" applyFont="1" applyAlignment="1" applyProtection="1">
      <alignment horizontal="left" wrapText="1"/>
    </xf>
    <xf numFmtId="0" fontId="6" fillId="0" borderId="0" xfId="0" applyFont="1" applyFill="1" applyBorder="1" applyAlignment="1" applyProtection="1">
      <alignment horizontal="right" vertical="center" wrapText="1" indent="2"/>
    </xf>
    <xf numFmtId="0" fontId="6" fillId="0" borderId="0" xfId="0" applyFont="1" applyFill="1" applyBorder="1" applyAlignment="1" applyProtection="1">
      <alignment horizontal="left" vertical="center" wrapText="1" indent="2"/>
    </xf>
    <xf numFmtId="0" fontId="6" fillId="0" borderId="0" xfId="0" applyFont="1" applyFill="1" applyBorder="1" applyAlignment="1" applyProtection="1">
      <alignment horizontal="right" vertical="center" wrapText="1"/>
    </xf>
    <xf numFmtId="43" fontId="4" fillId="0" borderId="0" xfId="0" applyNumberFormat="1" applyFont="1" applyProtection="1"/>
    <xf numFmtId="43" fontId="4" fillId="11" borderId="0" xfId="0" applyNumberFormat="1" applyFont="1" applyFill="1" applyProtection="1"/>
    <xf numFmtId="0" fontId="31" fillId="34" borderId="24" xfId="0" applyFont="1" applyFill="1" applyBorder="1" applyAlignment="1" applyProtection="1">
      <alignment horizontal="center"/>
      <protection locked="0"/>
    </xf>
    <xf numFmtId="9" fontId="31" fillId="34" borderId="24" xfId="3" applyFont="1" applyFill="1" applyBorder="1" applyAlignment="1" applyProtection="1">
      <alignment horizontal="center"/>
      <protection locked="0"/>
    </xf>
    <xf numFmtId="1" fontId="31" fillId="34" borderId="24" xfId="3" applyNumberFormat="1" applyFont="1" applyFill="1" applyBorder="1" applyAlignment="1" applyProtection="1">
      <alignment horizontal="center"/>
      <protection locked="0"/>
    </xf>
    <xf numFmtId="5" fontId="6" fillId="9" borderId="0" xfId="1" applyNumberFormat="1" applyFont="1" applyFill="1" applyBorder="1" applyAlignment="1" applyProtection="1">
      <alignment horizontal="right" vertical="center" wrapText="1"/>
      <protection locked="0"/>
    </xf>
    <xf numFmtId="0" fontId="38" fillId="33" borderId="7" xfId="0" applyFont="1" applyFill="1" applyBorder="1" applyProtection="1"/>
    <xf numFmtId="0" fontId="38" fillId="33" borderId="7" xfId="0" applyFont="1" applyFill="1" applyBorder="1" applyAlignment="1" applyProtection="1">
      <alignment horizontal="center"/>
    </xf>
    <xf numFmtId="168" fontId="6" fillId="8" borderId="8" xfId="2" applyNumberFormat="1" applyFont="1" applyFill="1" applyBorder="1" applyProtection="1"/>
    <xf numFmtId="7" fontId="6" fillId="8" borderId="0" xfId="2" applyNumberFormat="1" applyFont="1" applyFill="1" applyBorder="1" applyProtection="1"/>
    <xf numFmtId="168" fontId="5" fillId="8" borderId="0" xfId="2" applyNumberFormat="1" applyFont="1" applyFill="1" applyBorder="1" applyProtection="1"/>
    <xf numFmtId="168" fontId="20" fillId="8" borderId="16" xfId="2" applyNumberFormat="1" applyFont="1" applyFill="1" applyBorder="1" applyProtection="1"/>
    <xf numFmtId="5" fontId="20" fillId="8" borderId="18" xfId="2" applyNumberFormat="1" applyFont="1" applyFill="1" applyBorder="1" applyProtection="1"/>
    <xf numFmtId="168" fontId="20" fillId="8" borderId="20" xfId="2" applyNumberFormat="1" applyFont="1" applyFill="1" applyBorder="1" applyProtection="1"/>
    <xf numFmtId="168" fontId="20" fillId="8" borderId="18" xfId="2" applyNumberFormat="1" applyFont="1" applyFill="1" applyBorder="1" applyProtection="1"/>
    <xf numFmtId="5" fontId="20" fillId="8" borderId="20" xfId="2" applyNumberFormat="1" applyFont="1" applyFill="1" applyBorder="1" applyProtection="1"/>
    <xf numFmtId="5" fontId="5" fillId="8" borderId="0" xfId="2" applyNumberFormat="1" applyFont="1" applyFill="1" applyBorder="1" applyProtection="1"/>
    <xf numFmtId="5" fontId="36" fillId="8" borderId="0" xfId="2" applyNumberFormat="1" applyFont="1" applyFill="1" applyBorder="1" applyProtection="1"/>
    <xf numFmtId="5" fontId="20" fillId="8" borderId="22" xfId="2" applyNumberFormat="1" applyFont="1" applyFill="1" applyBorder="1" applyProtection="1"/>
    <xf numFmtId="175" fontId="5" fillId="8" borderId="6" xfId="1" applyNumberFormat="1" applyFont="1" applyFill="1" applyBorder="1" applyAlignment="1" applyProtection="1">
      <alignment horizontal="right"/>
    </xf>
    <xf numFmtId="168" fontId="5" fillId="0" borderId="0" xfId="2" applyNumberFormat="1" applyFont="1" applyFill="1" applyBorder="1" applyProtection="1"/>
    <xf numFmtId="164" fontId="5" fillId="23" borderId="0" xfId="1" applyNumberFormat="1" applyFont="1" applyFill="1" applyBorder="1" applyProtection="1"/>
    <xf numFmtId="0" fontId="6" fillId="0" borderId="8" xfId="0" applyFont="1" applyFill="1" applyBorder="1" applyProtection="1"/>
    <xf numFmtId="5" fontId="6" fillId="9" borderId="0" xfId="1" applyNumberFormat="1" applyFont="1" applyFill="1" applyBorder="1" applyAlignment="1" applyProtection="1">
      <alignment horizontal="right" vertical="center" wrapText="1"/>
    </xf>
    <xf numFmtId="6" fontId="6" fillId="8" borderId="0" xfId="0" applyNumberFormat="1" applyFont="1" applyFill="1" applyAlignment="1" applyProtection="1">
      <alignment horizontal="right"/>
    </xf>
    <xf numFmtId="6" fontId="6" fillId="9" borderId="0" xfId="0" applyNumberFormat="1" applyFont="1" applyFill="1" applyAlignment="1" applyProtection="1">
      <alignment horizontal="right"/>
    </xf>
    <xf numFmtId="175" fontId="14" fillId="8" borderId="0" xfId="1" applyNumberFormat="1" applyFont="1" applyFill="1" applyAlignment="1" applyProtection="1">
      <alignment vertical="top"/>
    </xf>
    <xf numFmtId="175" fontId="14" fillId="0" borderId="0" xfId="1" applyNumberFormat="1" applyFont="1" applyFill="1" applyAlignment="1" applyProtection="1">
      <alignment vertical="top"/>
    </xf>
    <xf numFmtId="164" fontId="14" fillId="9" borderId="0" xfId="1" applyNumberFormat="1" applyFont="1" applyFill="1" applyAlignment="1" applyProtection="1">
      <alignment vertical="top"/>
    </xf>
    <xf numFmtId="175" fontId="14" fillId="9" borderId="0" xfId="1" applyNumberFormat="1" applyFont="1" applyFill="1" applyAlignment="1" applyProtection="1">
      <alignment vertical="top"/>
    </xf>
    <xf numFmtId="175" fontId="14" fillId="9" borderId="0" xfId="3" applyNumberFormat="1" applyFont="1" applyFill="1" applyAlignment="1" applyProtection="1">
      <alignment vertical="top"/>
    </xf>
    <xf numFmtId="0" fontId="26" fillId="31" borderId="7" xfId="0" applyFont="1" applyFill="1" applyBorder="1" applyProtection="1"/>
    <xf numFmtId="0" fontId="38" fillId="11" borderId="7" xfId="0" applyFont="1" applyFill="1" applyBorder="1" applyProtection="1"/>
    <xf numFmtId="0" fontId="26" fillId="11" borderId="7" xfId="0" applyFont="1" applyFill="1" applyBorder="1" applyProtection="1"/>
    <xf numFmtId="0" fontId="26" fillId="33" borderId="7" xfId="0" applyFont="1" applyFill="1" applyBorder="1" applyAlignment="1" applyProtection="1">
      <alignment horizontal="center"/>
    </xf>
    <xf numFmtId="0" fontId="6" fillId="0" borderId="8" xfId="0" applyFont="1" applyBorder="1" applyAlignment="1" applyProtection="1">
      <alignment horizontal="left" indent="2"/>
    </xf>
    <xf numFmtId="0" fontId="36" fillId="0" borderId="0" xfId="0" applyFont="1" applyBorder="1" applyProtection="1"/>
    <xf numFmtId="168" fontId="5" fillId="8" borderId="0" xfId="0" applyNumberFormat="1" applyFont="1" applyFill="1" applyBorder="1" applyProtection="1"/>
    <xf numFmtId="168" fontId="6" fillId="8" borderId="16" xfId="2" applyNumberFormat="1" applyFont="1" applyFill="1" applyBorder="1" applyProtection="1"/>
    <xf numFmtId="168" fontId="6" fillId="8" borderId="17" xfId="2" applyNumberFormat="1" applyFont="1" applyFill="1" applyBorder="1" applyProtection="1"/>
    <xf numFmtId="168" fontId="6" fillId="8" borderId="18" xfId="2" applyNumberFormat="1" applyFont="1" applyFill="1" applyBorder="1" applyProtection="1"/>
    <xf numFmtId="168" fontId="6" fillId="8" borderId="19" xfId="2" applyNumberFormat="1" applyFont="1" applyFill="1" applyBorder="1" applyProtection="1"/>
    <xf numFmtId="0" fontId="6" fillId="0" borderId="0" xfId="0" applyFont="1" applyBorder="1" applyAlignment="1" applyProtection="1">
      <alignment horizontal="left" indent="1"/>
    </xf>
    <xf numFmtId="168" fontId="6" fillId="8" borderId="20" xfId="2" applyNumberFormat="1" applyFont="1" applyFill="1" applyBorder="1" applyProtection="1"/>
    <xf numFmtId="168" fontId="6" fillId="8" borderId="9" xfId="2" applyNumberFormat="1" applyFont="1" applyFill="1" applyBorder="1" applyProtection="1"/>
    <xf numFmtId="168" fontId="6" fillId="8" borderId="21" xfId="2" applyNumberFormat="1" applyFont="1" applyFill="1" applyBorder="1" applyProtection="1"/>
    <xf numFmtId="0" fontId="6" fillId="0" borderId="0" xfId="0" applyFont="1" applyFill="1" applyBorder="1" applyAlignment="1" applyProtection="1">
      <alignment horizontal="left" indent="2"/>
    </xf>
    <xf numFmtId="5" fontId="6" fillId="8" borderId="18" xfId="2" applyNumberFormat="1" applyFont="1" applyFill="1" applyBorder="1" applyProtection="1"/>
    <xf numFmtId="5" fontId="6" fillId="8" borderId="0" xfId="2" applyNumberFormat="1" applyFont="1" applyFill="1" applyBorder="1" applyProtection="1"/>
    <xf numFmtId="5" fontId="6" fillId="8" borderId="19" xfId="2" applyNumberFormat="1" applyFont="1" applyFill="1" applyBorder="1" applyProtection="1"/>
    <xf numFmtId="5" fontId="6" fillId="8" borderId="20" xfId="2" applyNumberFormat="1" applyFont="1" applyFill="1" applyBorder="1" applyProtection="1"/>
    <xf numFmtId="5" fontId="6" fillId="8" borderId="9" xfId="2" applyNumberFormat="1" applyFont="1" applyFill="1" applyBorder="1" applyProtection="1"/>
    <xf numFmtId="5" fontId="6" fillId="8" borderId="21" xfId="2" applyNumberFormat="1" applyFont="1" applyFill="1" applyBorder="1" applyProtection="1"/>
    <xf numFmtId="168" fontId="6" fillId="8" borderId="22" xfId="2" applyNumberFormat="1" applyFont="1" applyFill="1" applyBorder="1" applyProtection="1"/>
    <xf numFmtId="168" fontId="6" fillId="8" borderId="23" xfId="2" applyNumberFormat="1" applyFont="1" applyFill="1" applyBorder="1" applyProtection="1"/>
    <xf numFmtId="168" fontId="5" fillId="8" borderId="6" xfId="2" applyNumberFormat="1" applyFont="1" applyFill="1" applyBorder="1" applyProtection="1"/>
    <xf numFmtId="175" fontId="6" fillId="8" borderId="16" xfId="0" applyNumberFormat="1" applyFont="1" applyFill="1" applyBorder="1" applyProtection="1"/>
    <xf numFmtId="175" fontId="6" fillId="8" borderId="8" xfId="0" applyNumberFormat="1" applyFont="1" applyFill="1" applyBorder="1" applyProtection="1"/>
    <xf numFmtId="175" fontId="6" fillId="8" borderId="17" xfId="0" applyNumberFormat="1" applyFont="1" applyFill="1" applyBorder="1" applyProtection="1"/>
    <xf numFmtId="6" fontId="6" fillId="8" borderId="22" xfId="0" applyNumberFormat="1" applyFont="1" applyFill="1" applyBorder="1" applyProtection="1"/>
    <xf numFmtId="6" fontId="6" fillId="8" borderId="6" xfId="0" applyNumberFormat="1" applyFont="1" applyFill="1" applyBorder="1" applyProtection="1"/>
    <xf numFmtId="6" fontId="6" fillId="8" borderId="23" xfId="0" applyNumberFormat="1" applyFont="1" applyFill="1" applyBorder="1" applyProtection="1"/>
    <xf numFmtId="0" fontId="5" fillId="26" borderId="0" xfId="0" applyFont="1" applyFill="1" applyBorder="1" applyAlignment="1" applyProtection="1">
      <alignment horizontal="left"/>
    </xf>
    <xf numFmtId="0" fontId="6" fillId="26" borderId="0" xfId="0" applyFont="1" applyFill="1" applyProtection="1"/>
    <xf numFmtId="0" fontId="5" fillId="0" borderId="0" xfId="0" applyFont="1" applyProtection="1"/>
    <xf numFmtId="0" fontId="38" fillId="0" borderId="0" xfId="0" applyFont="1" applyFill="1" applyBorder="1" applyAlignment="1" applyProtection="1">
      <alignment horizontal="center"/>
    </xf>
    <xf numFmtId="9" fontId="6" fillId="0" borderId="0" xfId="0" applyNumberFormat="1" applyFont="1" applyFill="1" applyProtection="1"/>
    <xf numFmtId="164" fontId="6" fillId="8" borderId="0" xfId="1" applyNumberFormat="1" applyFont="1" applyFill="1" applyProtection="1"/>
    <xf numFmtId="1" fontId="14" fillId="30" borderId="0" xfId="0" applyNumberFormat="1" applyFont="1" applyFill="1" applyProtection="1"/>
    <xf numFmtId="1" fontId="73" fillId="31" borderId="0" xfId="0" applyNumberFormat="1" applyFont="1" applyFill="1" applyProtection="1"/>
    <xf numFmtId="9" fontId="6" fillId="30" borderId="0" xfId="3" applyFont="1" applyFill="1" applyProtection="1"/>
    <xf numFmtId="9" fontId="73" fillId="31" borderId="0" xfId="3" applyFont="1" applyFill="1" applyProtection="1"/>
    <xf numFmtId="164" fontId="5" fillId="8" borderId="7" xfId="1" applyNumberFormat="1" applyFont="1" applyFill="1" applyBorder="1" applyProtection="1"/>
    <xf numFmtId="0" fontId="5" fillId="0" borderId="0" xfId="0" applyFont="1" applyAlignment="1" applyProtection="1">
      <alignment horizontal="left"/>
    </xf>
    <xf numFmtId="0" fontId="20" fillId="0" borderId="0" xfId="0" applyFont="1" applyFill="1" applyBorder="1" applyProtection="1"/>
    <xf numFmtId="9" fontId="6" fillId="8" borderId="0" xfId="3" applyFont="1" applyFill="1" applyProtection="1"/>
    <xf numFmtId="164" fontId="6" fillId="8" borderId="0" xfId="0" applyNumberFormat="1" applyFont="1" applyFill="1" applyProtection="1"/>
    <xf numFmtId="0" fontId="5" fillId="0" borderId="5" xfId="0" applyFont="1" applyBorder="1" applyAlignment="1" applyProtection="1">
      <alignment horizontal="left"/>
    </xf>
    <xf numFmtId="0" fontId="6" fillId="0" borderId="0" xfId="0" applyFont="1" applyBorder="1" applyAlignment="1" applyProtection="1">
      <alignment horizontal="left" indent="4"/>
    </xf>
    <xf numFmtId="0" fontId="20" fillId="0" borderId="0" xfId="0" applyFont="1" applyFill="1" applyBorder="1" applyAlignment="1" applyProtection="1">
      <alignment horizontal="left" vertical="center" wrapText="1" indent="2"/>
    </xf>
    <xf numFmtId="1" fontId="6" fillId="8" borderId="0" xfId="3" applyNumberFormat="1" applyFont="1" applyFill="1" applyBorder="1" applyAlignment="1" applyProtection="1">
      <alignment horizontal="right" vertical="center" wrapText="1"/>
    </xf>
    <xf numFmtId="164" fontId="4" fillId="0" borderId="0" xfId="0" applyNumberFormat="1" applyFont="1" applyProtection="1"/>
    <xf numFmtId="0" fontId="6" fillId="0" borderId="6" xfId="0" applyFont="1" applyFill="1" applyBorder="1" applyAlignment="1" applyProtection="1">
      <alignment horizontal="left" vertical="center" wrapText="1" indent="2"/>
    </xf>
    <xf numFmtId="0" fontId="20" fillId="0" borderId="6" xfId="0" applyFont="1" applyFill="1" applyBorder="1" applyAlignment="1" applyProtection="1">
      <alignment horizontal="left" vertical="center" wrapText="1" indent="2"/>
    </xf>
    <xf numFmtId="1" fontId="6" fillId="8" borderId="6" xfId="3" applyNumberFormat="1" applyFont="1" applyFill="1" applyBorder="1" applyAlignment="1" applyProtection="1">
      <alignment horizontal="right" vertical="center" wrapText="1"/>
    </xf>
    <xf numFmtId="0" fontId="5" fillId="0" borderId="0" xfId="0" applyFont="1" applyFill="1" applyBorder="1" applyAlignment="1" applyProtection="1">
      <alignment horizontal="left" vertical="center" wrapText="1"/>
    </xf>
    <xf numFmtId="9" fontId="6" fillId="30" borderId="0" xfId="3" applyFont="1" applyFill="1" applyBorder="1" applyAlignment="1" applyProtection="1">
      <alignment horizontal="right" vertical="center" wrapText="1"/>
    </xf>
    <xf numFmtId="9" fontId="73" fillId="31" borderId="0" xfId="3" applyFont="1" applyFill="1" applyBorder="1" applyAlignment="1" applyProtection="1">
      <alignment horizontal="right" vertical="center" wrapText="1"/>
    </xf>
    <xf numFmtId="0" fontId="5" fillId="0" borderId="5" xfId="0" applyFont="1" applyFill="1" applyBorder="1" applyAlignment="1" applyProtection="1">
      <alignment horizontal="left" vertical="center" wrapText="1"/>
    </xf>
    <xf numFmtId="0" fontId="20" fillId="0" borderId="5" xfId="0" applyFont="1" applyFill="1" applyBorder="1" applyAlignment="1" applyProtection="1">
      <alignment horizontal="left" vertical="center" wrapText="1" indent="2"/>
    </xf>
    <xf numFmtId="0" fontId="6" fillId="0" borderId="0" xfId="0" applyFont="1" applyFill="1" applyBorder="1" applyAlignment="1" applyProtection="1">
      <alignment horizontal="left" vertical="top" wrapText="1" indent="2"/>
    </xf>
    <xf numFmtId="1" fontId="6" fillId="0" borderId="0" xfId="3" applyNumberFormat="1" applyFont="1" applyFill="1" applyBorder="1" applyAlignment="1" applyProtection="1">
      <alignment horizontal="right" vertical="center" wrapText="1"/>
    </xf>
    <xf numFmtId="0" fontId="5" fillId="23" borderId="0" xfId="0" applyFont="1" applyFill="1" applyBorder="1" applyAlignment="1" applyProtection="1">
      <alignment horizontal="justify" vertical="center" wrapText="1"/>
    </xf>
    <xf numFmtId="0" fontId="5" fillId="0" borderId="8" xfId="0" applyFont="1" applyFill="1" applyBorder="1" applyAlignment="1" applyProtection="1">
      <alignment horizontal="left" vertical="center" wrapText="1"/>
    </xf>
    <xf numFmtId="0" fontId="6" fillId="0" borderId="8" xfId="0" applyFont="1" applyFill="1" applyBorder="1" applyAlignment="1" applyProtection="1">
      <alignment horizontal="left" vertical="center" wrapText="1" indent="1"/>
    </xf>
    <xf numFmtId="0" fontId="6" fillId="0" borderId="0" xfId="0" applyFont="1" applyFill="1" applyBorder="1" applyAlignment="1" applyProtection="1">
      <alignment horizontal="left" vertical="center" wrapText="1" indent="1"/>
    </xf>
    <xf numFmtId="0" fontId="6" fillId="0" borderId="0" xfId="0" applyFont="1" applyBorder="1" applyAlignment="1" applyProtection="1">
      <alignment horizontal="left" indent="3"/>
    </xf>
    <xf numFmtId="1" fontId="6" fillId="8" borderId="0" xfId="2" applyNumberFormat="1" applyFont="1" applyFill="1" applyBorder="1" applyProtection="1"/>
    <xf numFmtId="0" fontId="6" fillId="0" borderId="0" xfId="0" applyFont="1" applyAlignment="1" applyProtection="1">
      <alignment horizontal="left" indent="3"/>
    </xf>
    <xf numFmtId="1" fontId="6" fillId="8" borderId="0" xfId="0" applyNumberFormat="1" applyFont="1" applyFill="1" applyProtection="1"/>
    <xf numFmtId="0" fontId="14" fillId="0" borderId="0" xfId="0" applyFont="1" applyFill="1" applyBorder="1" applyAlignment="1" applyProtection="1">
      <alignment horizontal="left" indent="3"/>
    </xf>
    <xf numFmtId="1" fontId="6" fillId="0" borderId="0" xfId="0" applyNumberFormat="1" applyFont="1" applyFill="1" applyProtection="1"/>
    <xf numFmtId="0" fontId="77" fillId="0" borderId="0" xfId="0" applyFont="1" applyFill="1" applyBorder="1" applyAlignment="1" applyProtection="1">
      <alignment horizontal="left" indent="3"/>
    </xf>
    <xf numFmtId="0" fontId="14" fillId="0" borderId="0" xfId="0" applyFont="1" applyFill="1" applyBorder="1" applyAlignment="1" applyProtection="1">
      <alignment horizontal="left" indent="5"/>
    </xf>
    <xf numFmtId="0" fontId="14" fillId="0" borderId="0" xfId="0" applyFont="1" applyFill="1" applyBorder="1" applyAlignment="1" applyProtection="1">
      <alignment horizontal="left" indent="7"/>
    </xf>
    <xf numFmtId="1" fontId="6" fillId="8" borderId="0" xfId="1" applyNumberFormat="1" applyFont="1" applyFill="1" applyBorder="1" applyProtection="1"/>
    <xf numFmtId="0" fontId="6" fillId="0" borderId="0" xfId="0" applyFont="1" applyBorder="1" applyAlignment="1" applyProtection="1">
      <alignment horizontal="left" vertical="center" indent="3"/>
    </xf>
    <xf numFmtId="175" fontId="5" fillId="8" borderId="0" xfId="1" applyNumberFormat="1" applyFont="1" applyFill="1" applyProtection="1"/>
    <xf numFmtId="0" fontId="6" fillId="0" borderId="0" xfId="0" applyFont="1" applyBorder="1" applyAlignment="1" applyProtection="1">
      <alignment horizontal="left" vertical="center" indent="5"/>
    </xf>
    <xf numFmtId="1" fontId="5" fillId="8" borderId="0" xfId="1" applyNumberFormat="1" applyFont="1" applyFill="1" applyProtection="1"/>
    <xf numFmtId="175" fontId="6" fillId="8" borderId="0" xfId="1" applyNumberFormat="1" applyFont="1" applyFill="1" applyProtection="1"/>
    <xf numFmtId="1" fontId="6" fillId="8" borderId="0" xfId="1" applyNumberFormat="1" applyFont="1" applyFill="1" applyProtection="1"/>
    <xf numFmtId="0" fontId="6" fillId="0" borderId="0" xfId="0" applyFont="1" applyBorder="1" applyAlignment="1" applyProtection="1">
      <alignment horizontal="left" vertical="center" indent="7"/>
    </xf>
    <xf numFmtId="175" fontId="6" fillId="9" borderId="0" xfId="1" applyNumberFormat="1" applyFont="1" applyFill="1" applyProtection="1"/>
    <xf numFmtId="0" fontId="36" fillId="0" borderId="0" xfId="0" applyFont="1" applyFill="1" applyBorder="1" applyProtection="1"/>
    <xf numFmtId="0" fontId="67" fillId="0" borderId="0" xfId="0" applyFont="1" applyAlignment="1" applyProtection="1">
      <alignment horizontal="left" vertical="center" indent="4"/>
    </xf>
    <xf numFmtId="1" fontId="73" fillId="31" borderId="0" xfId="3" applyNumberFormat="1" applyFont="1" applyFill="1" applyBorder="1" applyAlignment="1" applyProtection="1">
      <alignment horizontal="right" vertical="center" wrapText="1"/>
    </xf>
    <xf numFmtId="0" fontId="6" fillId="0" borderId="0" xfId="0" applyFont="1" applyAlignment="1" applyProtection="1">
      <alignment horizontal="left" indent="5"/>
    </xf>
    <xf numFmtId="0" fontId="14" fillId="8" borderId="0" xfId="0" applyFont="1" applyFill="1" applyProtection="1"/>
    <xf numFmtId="0" fontId="5" fillId="0" borderId="0" xfId="0" applyFont="1" applyAlignment="1" applyProtection="1">
      <alignment horizontal="left" indent="3"/>
    </xf>
    <xf numFmtId="164" fontId="14" fillId="8" borderId="0" xfId="0" applyNumberFormat="1" applyFont="1" applyFill="1" applyProtection="1"/>
    <xf numFmtId="0" fontId="6" fillId="8" borderId="0" xfId="0" applyFont="1" applyFill="1" applyProtection="1"/>
    <xf numFmtId="6" fontId="6" fillId="8" borderId="0" xfId="0" applyNumberFormat="1" applyFont="1" applyFill="1" applyProtection="1"/>
    <xf numFmtId="0" fontId="6" fillId="0" borderId="0" xfId="0" applyFont="1" applyFill="1" applyBorder="1" applyAlignment="1" applyProtection="1">
      <alignment horizontal="justify" vertical="center" wrapText="1"/>
    </xf>
    <xf numFmtId="0" fontId="5" fillId="0" borderId="0" xfId="0" applyFont="1" applyFill="1" applyBorder="1" applyAlignment="1" applyProtection="1">
      <alignment horizontal="left" vertical="center" wrapText="1" indent="2"/>
    </xf>
    <xf numFmtId="9" fontId="6" fillId="9" borderId="6" xfId="3" applyFont="1" applyFill="1" applyBorder="1" applyAlignment="1" applyProtection="1">
      <alignment horizontal="right" vertical="center" wrapText="1"/>
      <protection locked="0"/>
    </xf>
    <xf numFmtId="175" fontId="6" fillId="8" borderId="18" xfId="0" applyNumberFormat="1" applyFont="1" applyFill="1" applyBorder="1" applyProtection="1"/>
    <xf numFmtId="164" fontId="6" fillId="8" borderId="0" xfId="1" applyNumberFormat="1" applyFont="1" applyFill="1" applyAlignment="1" applyProtection="1">
      <alignment horizontal="right"/>
    </xf>
    <xf numFmtId="166" fontId="6" fillId="0" borderId="9" xfId="0" applyNumberFormat="1" applyFont="1" applyFill="1" applyBorder="1" applyProtection="1"/>
    <xf numFmtId="175" fontId="6" fillId="8" borderId="0" xfId="0" applyNumberFormat="1" applyFont="1" applyFill="1" applyProtection="1"/>
    <xf numFmtId="0" fontId="26" fillId="36" borderId="7" xfId="0" applyFont="1" applyFill="1" applyBorder="1" applyAlignment="1" applyProtection="1">
      <alignment vertical="center"/>
      <protection locked="0"/>
    </xf>
    <xf numFmtId="0" fontId="87" fillId="0" borderId="0" xfId="0" applyFont="1" applyAlignment="1">
      <alignment horizontal="center"/>
    </xf>
    <xf numFmtId="43" fontId="6" fillId="0" borderId="0" xfId="1" applyFont="1" applyProtection="1"/>
    <xf numFmtId="164" fontId="67" fillId="0" borderId="0" xfId="1" applyNumberFormat="1" applyFont="1" applyProtection="1"/>
    <xf numFmtId="175" fontId="0" fillId="0" borderId="0" xfId="1" applyNumberFormat="1" applyFont="1"/>
    <xf numFmtId="175" fontId="0" fillId="0" borderId="0" xfId="0" applyNumberFormat="1"/>
    <xf numFmtId="0" fontId="6" fillId="3" borderId="0" xfId="0" applyFont="1" applyFill="1" applyProtection="1"/>
    <xf numFmtId="0" fontId="88" fillId="0" borderId="0" xfId="0" applyFont="1" applyAlignment="1">
      <alignment horizontal="justify" vertical="center"/>
    </xf>
    <xf numFmtId="0" fontId="0" fillId="9" borderId="0" xfId="0" applyFill="1" applyAlignment="1">
      <alignment wrapText="1"/>
    </xf>
    <xf numFmtId="0" fontId="68" fillId="8" borderId="0" xfId="0" applyFont="1" applyFill="1" applyAlignment="1">
      <alignment wrapText="1"/>
    </xf>
    <xf numFmtId="0" fontId="90" fillId="0" borderId="0" xfId="0" applyFont="1" applyAlignment="1">
      <alignment wrapText="1"/>
    </xf>
    <xf numFmtId="0" fontId="4" fillId="3" borderId="0" xfId="0" applyFont="1" applyFill="1" applyProtection="1"/>
    <xf numFmtId="5" fontId="20" fillId="8" borderId="0" xfId="2" applyNumberFormat="1" applyFont="1" applyFill="1" applyBorder="1" applyProtection="1"/>
    <xf numFmtId="5" fontId="20" fillId="8" borderId="6" xfId="2" applyNumberFormat="1" applyFont="1" applyFill="1" applyBorder="1" applyProtection="1"/>
    <xf numFmtId="5" fontId="20" fillId="8" borderId="16" xfId="2" applyNumberFormat="1" applyFont="1" applyFill="1" applyBorder="1" applyProtection="1"/>
    <xf numFmtId="5" fontId="20" fillId="8" borderId="8" xfId="2" applyNumberFormat="1" applyFont="1" applyFill="1" applyBorder="1" applyProtection="1"/>
    <xf numFmtId="5" fontId="20" fillId="8" borderId="17" xfId="2" applyNumberFormat="1" applyFont="1" applyFill="1" applyBorder="1" applyProtection="1"/>
    <xf numFmtId="5" fontId="20" fillId="8" borderId="19" xfId="2" applyNumberFormat="1" applyFont="1" applyFill="1" applyBorder="1" applyProtection="1"/>
    <xf numFmtId="5" fontId="20" fillId="8" borderId="23" xfId="2" applyNumberFormat="1" applyFont="1" applyFill="1" applyBorder="1" applyProtection="1"/>
    <xf numFmtId="0" fontId="65" fillId="0" borderId="6" xfId="0" applyFont="1" applyBorder="1" applyAlignment="1">
      <alignment horizontal="left" vertical="center"/>
    </xf>
    <xf numFmtId="164" fontId="65" fillId="0" borderId="6" xfId="1" applyNumberFormat="1" applyFont="1" applyBorder="1" applyAlignment="1">
      <alignment horizontal="left" indent="2"/>
    </xf>
    <xf numFmtId="1" fontId="55" fillId="0" borderId="0" xfId="0" applyNumberFormat="1" applyFont="1" applyBorder="1" applyAlignment="1">
      <alignment horizontal="right" indent="3"/>
    </xf>
    <xf numFmtId="0" fontId="2" fillId="0" borderId="7" xfId="0" applyFont="1" applyBorder="1"/>
    <xf numFmtId="9" fontId="5" fillId="0" borderId="0" xfId="3" applyFont="1" applyBorder="1" applyAlignment="1" applyProtection="1">
      <alignment horizontal="left" indent="1"/>
    </xf>
    <xf numFmtId="164" fontId="65" fillId="0" borderId="5" xfId="1" applyNumberFormat="1" applyFont="1" applyBorder="1" applyAlignment="1">
      <alignment horizontal="left" indent="2"/>
    </xf>
    <xf numFmtId="0" fontId="0" fillId="7" borderId="0" xfId="0" applyFill="1" applyBorder="1"/>
    <xf numFmtId="164" fontId="65" fillId="0" borderId="0" xfId="1" applyNumberFormat="1" applyFont="1" applyBorder="1" applyAlignment="1">
      <alignment horizontal="left" indent="2"/>
    </xf>
    <xf numFmtId="0" fontId="0" fillId="7" borderId="0" xfId="0" applyFill="1" applyBorder="1" applyAlignment="1">
      <alignment horizontal="left" indent="2"/>
    </xf>
    <xf numFmtId="0" fontId="0" fillId="0" borderId="0" xfId="0" applyBorder="1" applyAlignment="1">
      <alignment horizontal="left" indent="2"/>
    </xf>
    <xf numFmtId="0" fontId="55" fillId="0" borderId="0" xfId="0" applyFont="1" applyBorder="1" applyAlignment="1">
      <alignment horizontal="right" indent="3"/>
    </xf>
    <xf numFmtId="0" fontId="0" fillId="0" borderId="6" xfId="0" applyBorder="1"/>
    <xf numFmtId="0" fontId="65" fillId="0" borderId="0" xfId="0" applyFont="1" applyBorder="1" applyAlignment="1">
      <alignment horizontal="left" vertical="center"/>
    </xf>
    <xf numFmtId="0" fontId="92" fillId="0" borderId="0" xfId="0" applyFont="1" applyBorder="1"/>
    <xf numFmtId="0" fontId="65" fillId="0" borderId="5" xfId="0" applyFont="1" applyBorder="1" applyAlignment="1">
      <alignment horizontal="left" vertical="center"/>
    </xf>
    <xf numFmtId="9" fontId="55" fillId="0" borderId="0" xfId="3" applyFont="1" applyBorder="1" applyAlignment="1">
      <alignment horizontal="right" indent="3"/>
    </xf>
    <xf numFmtId="0" fontId="59" fillId="0" borderId="0" xfId="0" applyFont="1" applyFill="1" applyBorder="1"/>
    <xf numFmtId="0" fontId="93" fillId="0" borderId="7" xfId="0" applyFont="1" applyBorder="1"/>
    <xf numFmtId="0" fontId="93" fillId="0" borderId="0" xfId="0" applyFont="1" applyFill="1" applyBorder="1"/>
    <xf numFmtId="0" fontId="59" fillId="0" borderId="0" xfId="0" applyFont="1" applyBorder="1"/>
    <xf numFmtId="0" fontId="93" fillId="0" borderId="5" xfId="0" applyFont="1" applyBorder="1" applyAlignment="1">
      <alignment horizontal="left" indent="1"/>
    </xf>
    <xf numFmtId="0" fontId="93" fillId="7" borderId="0" xfId="0" applyFont="1" applyFill="1" applyBorder="1" applyAlignment="1">
      <alignment horizontal="left" indent="1"/>
    </xf>
    <xf numFmtId="0" fontId="17" fillId="0" borderId="0" xfId="0" applyFont="1" applyBorder="1" applyAlignment="1">
      <alignment horizontal="left" indent="1"/>
    </xf>
    <xf numFmtId="0" fontId="93" fillId="0" borderId="6" xfId="0" applyFont="1" applyBorder="1" applyAlignment="1">
      <alignment horizontal="left" indent="1"/>
    </xf>
    <xf numFmtId="0" fontId="93" fillId="0" borderId="6" xfId="0" applyFont="1" applyFill="1" applyBorder="1" applyAlignment="1">
      <alignment horizontal="left" indent="1"/>
    </xf>
    <xf numFmtId="43" fontId="92" fillId="0" borderId="0" xfId="0" applyNumberFormat="1" applyFont="1" applyBorder="1"/>
    <xf numFmtId="43" fontId="0" fillId="0" borderId="0" xfId="0" applyNumberFormat="1" applyBorder="1"/>
    <xf numFmtId="0" fontId="59" fillId="0" borderId="6" xfId="0" applyFont="1" applyBorder="1"/>
    <xf numFmtId="9" fontId="55" fillId="0" borderId="6" xfId="3" applyFont="1" applyBorder="1" applyAlignment="1">
      <alignment horizontal="right" indent="3"/>
    </xf>
    <xf numFmtId="0" fontId="85" fillId="0" borderId="0" xfId="0" applyFont="1" applyAlignment="1" applyProtection="1">
      <alignment horizontal="left" vertical="top" wrapText="1"/>
    </xf>
    <xf numFmtId="164" fontId="38" fillId="33" borderId="7" xfId="1" applyNumberFormat="1" applyFont="1" applyFill="1" applyBorder="1" applyAlignment="1" applyProtection="1">
      <alignment horizontal="center" wrapText="1"/>
    </xf>
    <xf numFmtId="164" fontId="38" fillId="28" borderId="7" xfId="1" applyNumberFormat="1" applyFont="1" applyFill="1" applyBorder="1" applyAlignment="1">
      <alignment horizontal="center" wrapText="1"/>
    </xf>
    <xf numFmtId="164" fontId="38" fillId="29" borderId="7" xfId="1" applyNumberFormat="1" applyFont="1" applyFill="1" applyBorder="1" applyAlignment="1">
      <alignment horizontal="center"/>
    </xf>
    <xf numFmtId="164" fontId="38" fillId="33" borderId="7" xfId="1" applyNumberFormat="1" applyFont="1" applyFill="1" applyBorder="1" applyAlignment="1" applyProtection="1">
      <alignment horizontal="center"/>
    </xf>
    <xf numFmtId="164" fontId="38" fillId="19" borderId="7" xfId="1" applyNumberFormat="1" applyFont="1" applyFill="1" applyBorder="1" applyAlignment="1">
      <alignment horizontal="center"/>
    </xf>
    <xf numFmtId="164" fontId="38" fillId="28" borderId="7" xfId="1" applyNumberFormat="1" applyFont="1" applyFill="1" applyBorder="1" applyAlignment="1">
      <alignment horizontal="center"/>
    </xf>
    <xf numFmtId="164" fontId="91" fillId="30" borderId="7" xfId="1" applyNumberFormat="1" applyFont="1" applyFill="1" applyBorder="1" applyAlignment="1"/>
    <xf numFmtId="164" fontId="38" fillId="30" borderId="7" xfId="1" applyNumberFormat="1" applyFont="1" applyFill="1" applyBorder="1" applyAlignment="1"/>
    <xf numFmtId="164" fontId="38" fillId="33" borderId="7" xfId="1" applyNumberFormat="1" applyFont="1" applyFill="1" applyBorder="1" applyAlignment="1" applyProtection="1">
      <alignment wrapText="1"/>
    </xf>
    <xf numFmtId="164" fontId="38" fillId="28" borderId="7" xfId="1" applyNumberFormat="1" applyFont="1" applyFill="1" applyBorder="1" applyAlignment="1">
      <alignment wrapText="1"/>
    </xf>
    <xf numFmtId="164" fontId="38" fillId="29" borderId="7" xfId="1" applyNumberFormat="1" applyFont="1" applyFill="1" applyBorder="1" applyAlignment="1"/>
    <xf numFmtId="164" fontId="0" fillId="0" borderId="0" xfId="1" applyNumberFormat="1" applyFont="1" applyAlignment="1"/>
    <xf numFmtId="164" fontId="17" fillId="30" borderId="7" xfId="1" applyNumberFormat="1" applyFont="1" applyFill="1" applyBorder="1" applyAlignment="1"/>
    <xf numFmtId="164" fontId="38" fillId="33" borderId="7" xfId="1" applyNumberFormat="1" applyFont="1" applyFill="1" applyBorder="1" applyAlignment="1" applyProtection="1"/>
    <xf numFmtId="164" fontId="38" fillId="19" borderId="7" xfId="1" applyNumberFormat="1" applyFont="1" applyFill="1" applyBorder="1" applyAlignment="1"/>
    <xf numFmtId="164" fontId="38" fillId="28" borderId="7" xfId="1" applyNumberFormat="1" applyFont="1" applyFill="1" applyBorder="1" applyAlignment="1"/>
    <xf numFmtId="164" fontId="38" fillId="7" borderId="11" xfId="1" applyNumberFormat="1" applyFont="1" applyFill="1" applyBorder="1" applyAlignment="1"/>
    <xf numFmtId="164" fontId="0" fillId="7" borderId="11" xfId="1" applyNumberFormat="1" applyFont="1" applyFill="1" applyBorder="1" applyAlignment="1"/>
    <xf numFmtId="164" fontId="0" fillId="0" borderId="0" xfId="1" applyNumberFormat="1" applyFont="1" applyBorder="1" applyAlignment="1"/>
    <xf numFmtId="164" fontId="55" fillId="0" borderId="0" xfId="1" applyNumberFormat="1" applyFont="1" applyBorder="1" applyAlignment="1">
      <alignment vertical="center"/>
    </xf>
    <xf numFmtId="164" fontId="55" fillId="0" borderId="0" xfId="1" applyNumberFormat="1" applyFont="1" applyBorder="1" applyAlignment="1"/>
    <xf numFmtId="164" fontId="55" fillId="0" borderId="0" xfId="1" applyNumberFormat="1" applyFont="1" applyAlignment="1"/>
    <xf numFmtId="164" fontId="93" fillId="0" borderId="7" xfId="1" applyNumberFormat="1" applyFont="1" applyBorder="1" applyAlignment="1"/>
    <xf numFmtId="164" fontId="55" fillId="0" borderId="7" xfId="1" applyNumberFormat="1" applyFont="1" applyBorder="1" applyAlignment="1">
      <alignment vertical="center"/>
    </xf>
    <xf numFmtId="164" fontId="65" fillId="0" borderId="7" xfId="1" applyNumberFormat="1" applyFont="1" applyBorder="1" applyAlignment="1"/>
    <xf numFmtId="164" fontId="0" fillId="0" borderId="7" xfId="1" applyNumberFormat="1" applyFont="1" applyBorder="1" applyAlignment="1"/>
    <xf numFmtId="164" fontId="93" fillId="7" borderId="0" xfId="1" applyNumberFormat="1" applyFont="1" applyFill="1" applyBorder="1" applyAlignment="1"/>
    <xf numFmtId="164" fontId="0" fillId="7" borderId="0" xfId="1" applyNumberFormat="1" applyFont="1" applyFill="1" applyBorder="1" applyAlignment="1"/>
    <xf numFmtId="164" fontId="0" fillId="7" borderId="9" xfId="1" applyNumberFormat="1" applyFont="1" applyFill="1" applyBorder="1" applyAlignment="1"/>
    <xf numFmtId="164" fontId="17" fillId="0" borderId="0" xfId="1" applyNumberFormat="1" applyFont="1" applyBorder="1" applyAlignment="1"/>
    <xf numFmtId="164" fontId="59" fillId="0" borderId="5" xfId="1" applyNumberFormat="1" applyFont="1" applyBorder="1" applyAlignment="1"/>
    <xf numFmtId="164" fontId="94" fillId="0" borderId="5" xfId="1" applyNumberFormat="1" applyFont="1" applyBorder="1" applyAlignment="1">
      <alignment vertical="center"/>
    </xf>
    <xf numFmtId="164" fontId="94" fillId="0" borderId="5" xfId="1" applyNumberFormat="1" applyFont="1" applyBorder="1" applyAlignment="1"/>
    <xf numFmtId="164" fontId="92" fillId="0" borderId="5" xfId="1" applyNumberFormat="1" applyFont="1" applyBorder="1" applyAlignment="1"/>
    <xf numFmtId="164" fontId="59" fillId="0" borderId="6" xfId="1" applyNumberFormat="1" applyFont="1" applyBorder="1" applyAlignment="1"/>
    <xf numFmtId="164" fontId="94" fillId="0" borderId="6" xfId="1" applyNumberFormat="1" applyFont="1" applyBorder="1" applyAlignment="1">
      <alignment vertical="center"/>
    </xf>
    <xf numFmtId="164" fontId="94" fillId="0" borderId="6" xfId="1" applyNumberFormat="1" applyFont="1" applyBorder="1" applyAlignment="1"/>
    <xf numFmtId="164" fontId="92" fillId="0" borderId="6" xfId="1" applyNumberFormat="1" applyFont="1" applyBorder="1" applyAlignment="1"/>
    <xf numFmtId="164" fontId="55" fillId="0" borderId="0" xfId="1" applyNumberFormat="1" applyFont="1" applyAlignment="1">
      <alignment horizontal="center"/>
    </xf>
    <xf numFmtId="164" fontId="65" fillId="0" borderId="7" xfId="1" applyNumberFormat="1" applyFont="1" applyBorder="1" applyAlignment="1">
      <alignment horizontal="center"/>
    </xf>
    <xf numFmtId="164" fontId="0" fillId="7" borderId="9" xfId="1" applyNumberFormat="1" applyFont="1" applyFill="1" applyBorder="1" applyAlignment="1">
      <alignment horizontal="center"/>
    </xf>
    <xf numFmtId="164" fontId="94" fillId="0" borderId="5" xfId="1" applyNumberFormat="1" applyFont="1" applyBorder="1" applyAlignment="1">
      <alignment horizontal="center"/>
    </xf>
    <xf numFmtId="164" fontId="94" fillId="0" borderId="6" xfId="1" applyNumberFormat="1" applyFont="1" applyBorder="1" applyAlignment="1">
      <alignment horizontal="center"/>
    </xf>
    <xf numFmtId="0" fontId="29" fillId="16" borderId="0" xfId="0" applyFont="1" applyFill="1" applyBorder="1" applyAlignment="1"/>
    <xf numFmtId="0" fontId="0" fillId="16" borderId="0" xfId="0" applyFill="1" applyBorder="1" applyAlignment="1"/>
    <xf numFmtId="0" fontId="41" fillId="16" borderId="15" xfId="0" applyFont="1" applyFill="1" applyBorder="1" applyAlignment="1">
      <alignment horizontal="center" wrapText="1"/>
    </xf>
    <xf numFmtId="0" fontId="47" fillId="16" borderId="0" xfId="0" applyFont="1" applyFill="1" applyBorder="1" applyAlignment="1">
      <alignment horizontal="left" vertical="top" wrapText="1"/>
    </xf>
    <xf numFmtId="0" fontId="49" fillId="16" borderId="0" xfId="0" applyFont="1" applyFill="1" applyBorder="1" applyAlignment="1">
      <alignment horizontal="left" vertical="top" wrapText="1"/>
    </xf>
    <xf numFmtId="0" fontId="32" fillId="19" borderId="7" xfId="0" applyFont="1" applyFill="1" applyBorder="1" applyAlignment="1" applyProtection="1">
      <alignment horizontal="center"/>
    </xf>
    <xf numFmtId="0" fontId="85" fillId="0" borderId="0" xfId="0" applyFont="1" applyAlignment="1" applyProtection="1">
      <alignment horizontal="left" vertical="top" wrapText="1"/>
    </xf>
    <xf numFmtId="0" fontId="73" fillId="0" borderId="5" xfId="0" applyFont="1" applyBorder="1" applyAlignment="1" applyProtection="1">
      <alignment horizontal="left" vertical="top" wrapText="1"/>
    </xf>
    <xf numFmtId="0" fontId="73" fillId="0" borderId="0" xfId="0" applyFont="1" applyBorder="1" applyAlignment="1" applyProtection="1">
      <alignment horizontal="left" vertical="top" wrapText="1"/>
    </xf>
    <xf numFmtId="0" fontId="85" fillId="0" borderId="0" xfId="0" applyFont="1" applyAlignment="1" applyProtection="1">
      <alignment horizontal="left" wrapText="1"/>
    </xf>
    <xf numFmtId="0" fontId="26" fillId="19" borderId="7" xfId="0" applyFont="1" applyFill="1" applyBorder="1" applyAlignment="1" applyProtection="1">
      <alignment horizontal="center"/>
    </xf>
    <xf numFmtId="0" fontId="38" fillId="19" borderId="7" xfId="0" applyFont="1" applyFill="1" applyBorder="1" applyAlignment="1">
      <alignment horizontal="center"/>
    </xf>
    <xf numFmtId="0" fontId="6" fillId="0" borderId="0" xfId="0" applyFont="1" applyFill="1" applyBorder="1" applyAlignment="1" applyProtection="1">
      <alignment horizontal="left" vertical="top" wrapText="1" indent="2"/>
    </xf>
    <xf numFmtId="0" fontId="26" fillId="19" borderId="7" xfId="0" applyFont="1" applyFill="1" applyBorder="1" applyAlignment="1">
      <alignment horizontal="center"/>
    </xf>
    <xf numFmtId="0" fontId="6" fillId="0" borderId="0" xfId="0" applyFont="1" applyFill="1" applyBorder="1" applyAlignment="1">
      <alignment horizontal="left" vertical="top" wrapText="1" indent="2"/>
    </xf>
    <xf numFmtId="0" fontId="6" fillId="0" borderId="6" xfId="0" applyFont="1" applyFill="1" applyBorder="1" applyAlignment="1">
      <alignment horizontal="left" vertical="top" wrapText="1" indent="2"/>
    </xf>
    <xf numFmtId="0" fontId="6" fillId="0" borderId="0" xfId="0" applyFont="1" applyAlignment="1">
      <alignment horizontal="left" vertical="top" wrapText="1"/>
    </xf>
    <xf numFmtId="0" fontId="31" fillId="0" borderId="0" xfId="0" applyFont="1" applyAlignment="1">
      <alignment horizontal="left" vertical="top"/>
    </xf>
    <xf numFmtId="164" fontId="38" fillId="19" borderId="7" xfId="1" applyNumberFormat="1" applyFont="1" applyFill="1" applyBorder="1" applyAlignment="1"/>
    <xf numFmtId="164" fontId="38" fillId="19" borderId="7" xfId="1" applyNumberFormat="1" applyFont="1" applyFill="1" applyBorder="1" applyAlignment="1">
      <alignment horizontal="center"/>
    </xf>
    <xf numFmtId="0" fontId="3" fillId="0" borderId="0" xfId="0" applyFont="1" applyAlignment="1" applyProtection="1">
      <alignment vertical="top"/>
    </xf>
    <xf numFmtId="0" fontId="3" fillId="0" borderId="0" xfId="0" applyFont="1" applyAlignment="1" applyProtection="1">
      <alignment horizontal="left" vertical="top" wrapText="1"/>
    </xf>
    <xf numFmtId="0" fontId="3" fillId="0" borderId="25" xfId="0" applyFont="1" applyBorder="1" applyAlignment="1" applyProtection="1">
      <alignment horizontal="left" vertical="top" wrapText="1"/>
    </xf>
  </cellXfs>
  <cellStyles count="10">
    <cellStyle name="Comma" xfId="1" builtinId="3"/>
    <cellStyle name="Comma 2" xfId="5"/>
    <cellStyle name="Currency" xfId="2" builtinId="4"/>
    <cellStyle name="Hyperlink" xfId="4" builtinId="8"/>
    <cellStyle name="Normal" xfId="0" builtinId="0"/>
    <cellStyle name="Normal - Style1" xfId="6"/>
    <cellStyle name="Normal 2" xfId="7"/>
    <cellStyle name="Normal 3" xfId="8"/>
    <cellStyle name="Normal 4" xfId="9"/>
    <cellStyle name="Percent" xfId="3" builtinId="5"/>
  </cellStyles>
  <dxfs count="38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FF99"/>
      <color rgb="FF0000FF"/>
      <color rgb="FFFF5050"/>
      <color rgb="FF006600"/>
      <color rgb="FF00CCFF"/>
      <color rgb="FF33CCFF"/>
      <color rgb="FF66FF33"/>
      <color rgb="FF99FF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3</xdr:col>
      <xdr:colOff>592667</xdr:colOff>
      <xdr:row>11</xdr:row>
      <xdr:rowOff>1</xdr:rowOff>
    </xdr:from>
    <xdr:to>
      <xdr:col>7</xdr:col>
      <xdr:colOff>42475</xdr:colOff>
      <xdr:row>12</xdr:row>
      <xdr:rowOff>237598</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4167" y="2794001"/>
          <a:ext cx="1905141" cy="576264"/>
        </a:xfrm>
        <a:prstGeom prst="rect">
          <a:avLst/>
        </a:prstGeom>
        <a:noFill/>
        <a:ln>
          <a:noFill/>
        </a:ln>
        <a:extLst>
          <a:ext uri="{909E8E84-426E-40DD-AFC4-6F175D3DCCD1}">
            <a14:hiddenFill xmlns:a14="http://schemas.microsoft.com/office/drawing/2010/main">
              <a:solidFill>
                <a:srgbClr val="00CC99"/>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showGridLines="0" zoomScale="110" zoomScaleNormal="110" workbookViewId="0">
      <pane xSplit="35" ySplit="43" topLeftCell="AJ44" activePane="bottomRight" state="frozen"/>
      <selection pane="topRight" activeCell="AJ1" sqref="AJ1"/>
      <selection pane="bottomLeft" activeCell="A44" sqref="A44"/>
      <selection pane="bottomRight" activeCell="H9" sqref="H9"/>
    </sheetView>
  </sheetViews>
  <sheetFormatPr defaultRowHeight="15" x14ac:dyDescent="0.25"/>
  <cols>
    <col min="10" max="11" width="9.7109375" customWidth="1"/>
  </cols>
  <sheetData>
    <row r="1" spans="2:20" ht="26.25" x14ac:dyDescent="0.4">
      <c r="D1" s="928"/>
      <c r="E1" s="929"/>
      <c r="F1" s="929"/>
      <c r="G1" s="929"/>
      <c r="H1" s="929"/>
      <c r="I1" s="929"/>
      <c r="J1" s="929"/>
      <c r="K1" s="929"/>
      <c r="L1" s="929"/>
      <c r="M1" s="929"/>
      <c r="N1" s="929"/>
      <c r="O1" s="929"/>
      <c r="P1" s="929"/>
      <c r="Q1" s="929"/>
      <c r="R1" s="929"/>
      <c r="S1" s="929"/>
      <c r="T1" s="929"/>
    </row>
    <row r="2" spans="2:20" ht="27" x14ac:dyDescent="0.35">
      <c r="H2" s="338" t="s">
        <v>402</v>
      </c>
    </row>
    <row r="4" spans="2:20" ht="20.25" x14ac:dyDescent="0.3">
      <c r="E4" s="340"/>
      <c r="F4" s="340"/>
      <c r="G4" s="340"/>
      <c r="H4" s="339" t="s">
        <v>575</v>
      </c>
      <c r="I4" s="340"/>
      <c r="J4" s="340"/>
      <c r="K4" s="340"/>
    </row>
    <row r="5" spans="2:20" ht="20.25" x14ac:dyDescent="0.3">
      <c r="E5" s="340"/>
      <c r="F5" s="340"/>
      <c r="G5" s="340"/>
      <c r="H5" s="837" t="s">
        <v>801</v>
      </c>
      <c r="I5" s="340"/>
      <c r="J5" s="340"/>
      <c r="K5" s="340"/>
    </row>
    <row r="6" spans="2:20" ht="27" x14ac:dyDescent="0.35">
      <c r="H6" s="222" t="s">
        <v>403</v>
      </c>
    </row>
    <row r="7" spans="2:20" x14ac:dyDescent="0.25">
      <c r="H7" s="223"/>
    </row>
    <row r="8" spans="2:20" ht="18.75" x14ac:dyDescent="0.3">
      <c r="G8" s="322"/>
      <c r="H8" s="341" t="s">
        <v>802</v>
      </c>
      <c r="I8" s="322"/>
    </row>
    <row r="9" spans="2:20" x14ac:dyDescent="0.25">
      <c r="H9" s="342" t="s">
        <v>576</v>
      </c>
    </row>
    <row r="10" spans="2:20" ht="32.25" customHeight="1" thickBot="1" x14ac:dyDescent="0.3">
      <c r="E10" s="930" t="s">
        <v>404</v>
      </c>
      <c r="F10" s="930"/>
      <c r="G10" s="930"/>
      <c r="H10" s="930"/>
      <c r="I10" s="930"/>
      <c r="J10" s="930"/>
      <c r="K10" s="930"/>
    </row>
    <row r="12" spans="2:20" ht="26.25" customHeight="1" x14ac:dyDescent="0.25">
      <c r="I12" s="931" t="s">
        <v>577</v>
      </c>
      <c r="J12" s="931"/>
      <c r="K12" s="931"/>
      <c r="L12" s="343"/>
      <c r="M12" s="343"/>
      <c r="N12" s="343"/>
      <c r="O12" s="343"/>
    </row>
    <row r="13" spans="2:20" s="336" customFormat="1" ht="30" customHeight="1" x14ac:dyDescent="0.4">
      <c r="B13"/>
      <c r="C13"/>
      <c r="D13"/>
      <c r="E13"/>
      <c r="F13"/>
      <c r="G13"/>
      <c r="H13"/>
      <c r="I13" s="932" t="s">
        <v>405</v>
      </c>
      <c r="J13" s="932"/>
      <c r="K13" s="932"/>
      <c r="L13"/>
      <c r="M13"/>
      <c r="N13"/>
      <c r="O13"/>
      <c r="P13"/>
      <c r="Q13"/>
      <c r="R13"/>
      <c r="S13"/>
      <c r="T13"/>
    </row>
    <row r="14" spans="2:20" s="336" customFormat="1" ht="15" customHeight="1" x14ac:dyDescent="0.4">
      <c r="B14"/>
      <c r="C14"/>
      <c r="D14"/>
      <c r="E14"/>
      <c r="F14"/>
      <c r="G14"/>
      <c r="H14"/>
      <c r="I14" s="344" t="s">
        <v>579</v>
      </c>
      <c r="J14"/>
      <c r="K14"/>
      <c r="L14"/>
      <c r="M14"/>
      <c r="N14"/>
      <c r="O14"/>
      <c r="P14"/>
      <c r="Q14"/>
      <c r="R14"/>
      <c r="S14"/>
      <c r="T14"/>
    </row>
    <row r="15" spans="2:20" s="336" customFormat="1" ht="15" customHeight="1" x14ac:dyDescent="0.4">
      <c r="B15"/>
      <c r="C15"/>
      <c r="D15"/>
      <c r="E15"/>
      <c r="F15"/>
      <c r="G15"/>
      <c r="H15"/>
      <c r="I15" s="344" t="s">
        <v>578</v>
      </c>
      <c r="J15"/>
      <c r="K15"/>
      <c r="L15"/>
      <c r="M15"/>
      <c r="N15"/>
      <c r="O15"/>
      <c r="P15"/>
      <c r="Q15"/>
      <c r="R15"/>
      <c r="S15"/>
      <c r="T15"/>
    </row>
    <row r="16" spans="2:20" ht="15" customHeight="1" x14ac:dyDescent="0.25"/>
    <row r="17" spans="1:11" x14ac:dyDescent="0.25">
      <c r="D17" s="337"/>
    </row>
    <row r="18" spans="1:11" x14ac:dyDescent="0.25">
      <c r="D18" s="337"/>
    </row>
    <row r="19" spans="1:11" x14ac:dyDescent="0.25">
      <c r="A19" s="325"/>
      <c r="B19" s="325"/>
      <c r="C19" s="325"/>
      <c r="D19" s="325"/>
      <c r="J19" s="325"/>
      <c r="K19" s="325"/>
    </row>
    <row r="24" spans="1:11" x14ac:dyDescent="0.25">
      <c r="G24" s="224"/>
    </row>
  </sheetData>
  <mergeCells count="4">
    <mergeCell ref="D1:T1"/>
    <mergeCell ref="E10:K10"/>
    <mergeCell ref="I12:K12"/>
    <mergeCell ref="I13:K13"/>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U175"/>
  <sheetViews>
    <sheetView showGridLines="0" workbookViewId="0">
      <pane ySplit="8" topLeftCell="A103" activePane="bottomLeft" state="frozen"/>
      <selection activeCell="I64" sqref="I64"/>
      <selection pane="bottomLeft" activeCell="I125" sqref="I125"/>
    </sheetView>
  </sheetViews>
  <sheetFormatPr defaultRowHeight="14.25" x14ac:dyDescent="0.2"/>
  <cols>
    <col min="1" max="1" width="2.140625" style="525" customWidth="1"/>
    <col min="2" max="2" width="35.5703125" style="525" customWidth="1"/>
    <col min="3" max="3" width="18.85546875" style="525" customWidth="1"/>
    <col min="4" max="4" width="22" style="525" customWidth="1"/>
    <col min="5" max="9" width="16.5703125" style="525" customWidth="1"/>
    <col min="10" max="10" width="12.28515625" style="525" customWidth="1"/>
    <col min="11" max="11" width="19.42578125" style="525" customWidth="1"/>
    <col min="12" max="16384" width="9.140625" style="525"/>
  </cols>
  <sheetData>
    <row r="1" spans="1:21" ht="15.75" x14ac:dyDescent="0.25">
      <c r="A1" s="645"/>
      <c r="B1" s="646" t="s">
        <v>412</v>
      </c>
      <c r="C1" s="737" t="str">
        <f>'Totals and Scenarios'!F35</f>
        <v>Total Provinces</v>
      </c>
      <c r="D1" s="647" t="s">
        <v>834</v>
      </c>
      <c r="E1" s="938" t="s">
        <v>704</v>
      </c>
      <c r="F1" s="938"/>
      <c r="G1" s="938"/>
      <c r="H1" s="648" t="s">
        <v>278</v>
      </c>
      <c r="I1" s="649" t="s">
        <v>835</v>
      </c>
    </row>
    <row r="2" spans="1:21" ht="15.75" x14ac:dyDescent="0.25">
      <c r="A2" s="650"/>
      <c r="B2" s="738" t="s">
        <v>485</v>
      </c>
      <c r="C2" s="739"/>
      <c r="D2" s="740" t="s">
        <v>371</v>
      </c>
      <c r="E2" s="694" t="s">
        <v>371</v>
      </c>
      <c r="F2" s="694" t="s">
        <v>372</v>
      </c>
      <c r="G2" s="694" t="s">
        <v>373</v>
      </c>
      <c r="H2" s="648" t="s">
        <v>371</v>
      </c>
      <c r="I2" s="649" t="s">
        <v>371</v>
      </c>
    </row>
    <row r="3" spans="1:21" x14ac:dyDescent="0.2">
      <c r="A3" s="586"/>
      <c r="B3" s="741" t="s">
        <v>481</v>
      </c>
      <c r="C3" s="741"/>
      <c r="D3" s="714">
        <f>D12+D16+D20+D25+D30</f>
        <v>160331064.44083351</v>
      </c>
      <c r="E3" s="714">
        <f t="shared" ref="E3:I3" si="0">E12+E16+E20+E25+E30</f>
        <v>160331064.44083351</v>
      </c>
      <c r="F3" s="714">
        <f t="shared" si="0"/>
        <v>171462169.39275718</v>
      </c>
      <c r="G3" s="714">
        <f t="shared" si="0"/>
        <v>183539096.50939924</v>
      </c>
      <c r="H3" s="714">
        <f t="shared" si="0"/>
        <v>160331064.44083351</v>
      </c>
      <c r="I3" s="714">
        <f t="shared" si="0"/>
        <v>160331064.44083351</v>
      </c>
    </row>
    <row r="4" spans="1:21" x14ac:dyDescent="0.2">
      <c r="A4" s="586"/>
      <c r="B4" s="666" t="s">
        <v>479</v>
      </c>
      <c r="C4" s="666"/>
      <c r="D4" s="667">
        <f>D13+D17+D21+D22+D26+D27+D31+D32</f>
        <v>1407090373.4743631</v>
      </c>
      <c r="E4" s="667">
        <f t="shared" ref="E4:I4" si="1">E13+E17+E21+E22+E26+E27+E31+E32</f>
        <v>1407090373.4743631</v>
      </c>
      <c r="F4" s="667">
        <f t="shared" si="1"/>
        <v>1483662309.6539924</v>
      </c>
      <c r="G4" s="667">
        <f t="shared" si="1"/>
        <v>1563414909.5188811</v>
      </c>
      <c r="H4" s="667">
        <f t="shared" si="1"/>
        <v>1407090373.4743631</v>
      </c>
      <c r="I4" s="667">
        <f t="shared" si="1"/>
        <v>1407090373.4743631</v>
      </c>
    </row>
    <row r="5" spans="1:21" x14ac:dyDescent="0.2">
      <c r="A5" s="586"/>
      <c r="B5" s="668" t="s">
        <v>386</v>
      </c>
      <c r="C5" s="669"/>
      <c r="D5" s="682">
        <f>D14+D18+D23+D28+D33</f>
        <v>8016553.2220416749</v>
      </c>
      <c r="E5" s="682">
        <f t="shared" ref="E5:I5" si="2">E14+E18+E23+E28+E33</f>
        <v>8016553.2220416749</v>
      </c>
      <c r="F5" s="682">
        <f t="shared" si="2"/>
        <v>8573108.4696378596</v>
      </c>
      <c r="G5" s="682">
        <f t="shared" si="2"/>
        <v>9176954.8254699595</v>
      </c>
      <c r="H5" s="682">
        <f t="shared" si="2"/>
        <v>8016553.2220416749</v>
      </c>
      <c r="I5" s="682">
        <f t="shared" si="2"/>
        <v>8016553.2220416749</v>
      </c>
    </row>
    <row r="6" spans="1:21" x14ac:dyDescent="0.2">
      <c r="A6" s="586"/>
      <c r="B6" s="670" t="s">
        <v>777</v>
      </c>
      <c r="C6" s="671"/>
      <c r="D6" s="672">
        <f t="shared" ref="D6:I6" si="3">SUM(D3:D5)</f>
        <v>1575437991.1372383</v>
      </c>
      <c r="E6" s="672">
        <f t="shared" si="3"/>
        <v>1575437991.1372383</v>
      </c>
      <c r="F6" s="672">
        <f t="shared" si="3"/>
        <v>1663697587.5163875</v>
      </c>
      <c r="G6" s="672">
        <f t="shared" si="3"/>
        <v>1756130960.8537502</v>
      </c>
      <c r="H6" s="672">
        <f t="shared" si="3"/>
        <v>1575437991.1372383</v>
      </c>
      <c r="I6" s="672">
        <f t="shared" si="3"/>
        <v>1575437991.1372383</v>
      </c>
    </row>
    <row r="7" spans="1:21" x14ac:dyDescent="0.2">
      <c r="A7" s="586"/>
      <c r="B7" s="674"/>
      <c r="D7" s="586"/>
      <c r="E7" s="586"/>
      <c r="F7" s="586"/>
      <c r="G7" s="586"/>
      <c r="H7" s="586"/>
      <c r="I7" s="586"/>
    </row>
    <row r="8" spans="1:21" x14ac:dyDescent="0.2">
      <c r="A8" s="586"/>
      <c r="B8" s="670" t="s">
        <v>779</v>
      </c>
      <c r="C8" s="671"/>
      <c r="D8" s="672">
        <f>D39</f>
        <v>702000000</v>
      </c>
      <c r="E8" s="672">
        <f t="shared" ref="E8:I8" si="4">E39</f>
        <v>702000000</v>
      </c>
      <c r="F8" s="672">
        <f t="shared" si="4"/>
        <v>747612000</v>
      </c>
      <c r="G8" s="672">
        <f t="shared" si="4"/>
        <v>794698848</v>
      </c>
      <c r="H8" s="672">
        <f t="shared" si="4"/>
        <v>702000000</v>
      </c>
      <c r="I8" s="672">
        <f t="shared" si="4"/>
        <v>702000000</v>
      </c>
    </row>
    <row r="9" spans="1:21" ht="9.75" customHeight="1" x14ac:dyDescent="0.2">
      <c r="A9" s="586"/>
      <c r="B9" s="675"/>
      <c r="C9" s="675"/>
      <c r="D9" s="675"/>
      <c r="E9" s="675"/>
      <c r="F9" s="675"/>
      <c r="G9" s="675"/>
      <c r="H9" s="675"/>
      <c r="I9" s="675"/>
    </row>
    <row r="10" spans="1:21" x14ac:dyDescent="0.2">
      <c r="A10" s="586"/>
      <c r="B10" s="676" t="s">
        <v>545</v>
      </c>
      <c r="C10" s="676"/>
      <c r="D10" s="679"/>
      <c r="E10" s="679"/>
      <c r="F10" s="679"/>
      <c r="G10" s="679"/>
      <c r="H10" s="679"/>
      <c r="I10" s="679"/>
      <c r="U10" s="525" t="s">
        <v>257</v>
      </c>
    </row>
    <row r="11" spans="1:21" x14ac:dyDescent="0.2">
      <c r="A11" s="586"/>
      <c r="B11" s="742" t="s">
        <v>658</v>
      </c>
      <c r="C11" s="615"/>
      <c r="D11" s="743">
        <f>SUM(D12:D14)</f>
        <v>56982978</v>
      </c>
      <c r="E11" s="743">
        <f>SUM(E12:E14)</f>
        <v>56982978</v>
      </c>
      <c r="F11" s="743">
        <f t="shared" ref="F11:I11" si="5">SUM(F12:F14)</f>
        <v>60743854.548</v>
      </c>
      <c r="G11" s="743">
        <f t="shared" si="5"/>
        <v>64631461.23907201</v>
      </c>
      <c r="H11" s="743">
        <f t="shared" si="5"/>
        <v>56982978</v>
      </c>
      <c r="I11" s="743">
        <f t="shared" si="5"/>
        <v>56982978</v>
      </c>
      <c r="U11" s="525" t="s">
        <v>258</v>
      </c>
    </row>
    <row r="12" spans="1:21" x14ac:dyDescent="0.2">
      <c r="A12" s="586"/>
      <c r="B12" s="666" t="s">
        <v>481</v>
      </c>
      <c r="C12" s="666"/>
      <c r="D12" s="744">
        <f>IF($C$1=$U$14,(D82*GenAssumptions!D15+D85*GenAssumptions!D16+D86*GenAssumptions!D18)*9+D83*GenAssumptions!D16+D87*GenAssumptions!D19,D82*GenAssumptions!D15+D83*GenAssumptions!D16+D85*GenAssumptions!D16+D86*GenAssumptions!D18+D87*GenAssumptions!D19)</f>
        <v>43833060</v>
      </c>
      <c r="E12" s="714">
        <f>IF($C$1=$U$14,(E82*GenAssumptions!E15+E85*GenAssumptions!E16+E86*GenAssumptions!E18)*9+E83*GenAssumptions!E16+E87*GenAssumptions!E19,E82*GenAssumptions!E15+E83*GenAssumptions!E16+E85*GenAssumptions!E16+E86*GenAssumptions!E18+E87*GenAssumptions!E19)</f>
        <v>43833060</v>
      </c>
      <c r="F12" s="714">
        <f>IF($C$1=$U$14,(F82*GenAssumptions!F15+F85*GenAssumptions!F16+F86*GenAssumptions!F18)*9+F83*GenAssumptions!F16+F87*GenAssumptions!F19,F82*GenAssumptions!F15+F83*GenAssumptions!F16+F85*GenAssumptions!F16+F86*GenAssumptions!F18+F87*GenAssumptions!F19)</f>
        <v>46726041.960000001</v>
      </c>
      <c r="G12" s="714">
        <f>IF($C$1=$U$14,(G82*GenAssumptions!G15+G85*GenAssumptions!G16+G86*GenAssumptions!G18)*9+G83*GenAssumptions!G16+G87*GenAssumptions!G19,G82*GenAssumptions!G15+G83*GenAssumptions!G16+G85*GenAssumptions!G16+G86*GenAssumptions!G18+G87*GenAssumptions!G19)</f>
        <v>49716508.645440005</v>
      </c>
      <c r="H12" s="714">
        <f>IF($C$1=$U$14,(H82*GenAssumptions!H15+H85*GenAssumptions!H16+H86*GenAssumptions!H18)*9+H83*GenAssumptions!H16+H87*GenAssumptions!H19,H82*GenAssumptions!H15+H83*GenAssumptions!H16+H85*GenAssumptions!H16+H86*GenAssumptions!H18+H87*GenAssumptions!H19)</f>
        <v>43833060</v>
      </c>
      <c r="I12" s="745">
        <f>IF($C$1=$U$14,(I82*GenAssumptions!I15+I85*GenAssumptions!I16+I86*GenAssumptions!I18)*9+I83*GenAssumptions!I16+I87*GenAssumptions!I19,I82*GenAssumptions!I15+I83*GenAssumptions!I16+I85*GenAssumptions!I16+I86*GenAssumptions!I18+I87*GenAssumptions!I19)</f>
        <v>43833060</v>
      </c>
      <c r="U12" s="525" t="s">
        <v>259</v>
      </c>
    </row>
    <row r="13" spans="1:21" x14ac:dyDescent="0.2">
      <c r="A13" s="586"/>
      <c r="B13" s="666" t="s">
        <v>671</v>
      </c>
      <c r="C13" s="666"/>
      <c r="D13" s="746">
        <f>D12*GenAssumptions!D10</f>
        <v>10958265</v>
      </c>
      <c r="E13" s="667">
        <f>E12*GenAssumptions!E10</f>
        <v>10958265</v>
      </c>
      <c r="F13" s="667">
        <f>F12*GenAssumptions!F10</f>
        <v>11681510.49</v>
      </c>
      <c r="G13" s="667">
        <f>G12*GenAssumptions!G10</f>
        <v>12429127.161360001</v>
      </c>
      <c r="H13" s="667">
        <f>H12*GenAssumptions!H10</f>
        <v>10958265</v>
      </c>
      <c r="I13" s="747">
        <f>I12*GenAssumptions!I10</f>
        <v>10958265</v>
      </c>
      <c r="U13" s="525" t="s">
        <v>260</v>
      </c>
    </row>
    <row r="14" spans="1:21" x14ac:dyDescent="0.2">
      <c r="A14" s="586"/>
      <c r="B14" s="666" t="s">
        <v>386</v>
      </c>
      <c r="C14" s="748"/>
      <c r="D14" s="749">
        <f>D12*GenAssumptions!D11</f>
        <v>2191653</v>
      </c>
      <c r="E14" s="750">
        <f>E12*GenAssumptions!E11</f>
        <v>2191653</v>
      </c>
      <c r="F14" s="750">
        <f>F12*GenAssumptions!F11</f>
        <v>2336302.0980000002</v>
      </c>
      <c r="G14" s="750">
        <f>G12*GenAssumptions!G11</f>
        <v>2485825.4322720002</v>
      </c>
      <c r="H14" s="750">
        <f>H12*GenAssumptions!H11</f>
        <v>2191653</v>
      </c>
      <c r="I14" s="751">
        <f>I12*GenAssumptions!I11</f>
        <v>2191653</v>
      </c>
      <c r="U14" s="525" t="s">
        <v>700</v>
      </c>
    </row>
    <row r="15" spans="1:21" x14ac:dyDescent="0.2">
      <c r="A15" s="586"/>
      <c r="B15" s="742" t="s">
        <v>621</v>
      </c>
      <c r="C15" s="615"/>
      <c r="D15" s="743">
        <f>SUM(D16:D18)</f>
        <v>21996747</v>
      </c>
      <c r="E15" s="743">
        <f>SUM(E16:E18)</f>
        <v>21996747</v>
      </c>
      <c r="F15" s="743">
        <f t="shared" ref="F15:I15" si="6">SUM(F16:F18)</f>
        <v>23291032.302000005</v>
      </c>
      <c r="G15" s="743">
        <f t="shared" si="6"/>
        <v>24615338.369328</v>
      </c>
      <c r="H15" s="743">
        <f t="shared" si="6"/>
        <v>21996747</v>
      </c>
      <c r="I15" s="743">
        <f t="shared" si="6"/>
        <v>21996747</v>
      </c>
    </row>
    <row r="16" spans="1:21" x14ac:dyDescent="0.2">
      <c r="A16" s="586"/>
      <c r="B16" s="666" t="s">
        <v>481</v>
      </c>
      <c r="C16" s="666"/>
      <c r="D16" s="744">
        <f>IF($C$1=$U$14,(D90*GenAssumptions!D17)*9,D90*GenAssumptions!D17)</f>
        <v>4805190</v>
      </c>
      <c r="E16" s="714">
        <f>IF($C$1=$U$14,(E90*GenAssumptions!E17)*9,E90*GenAssumptions!E17)</f>
        <v>4805190</v>
      </c>
      <c r="F16" s="714">
        <f>IF($C$1=$U$14,(F90*GenAssumptions!F17)*9,F90*GenAssumptions!F17)</f>
        <v>5122332.540000001</v>
      </c>
      <c r="G16" s="714">
        <f>IF($C$1=$U$14,(G90*GenAssumptions!G17)*9,G90*GenAssumptions!G17)</f>
        <v>5450161.8225600012</v>
      </c>
      <c r="H16" s="714">
        <f>IF($C$1=$U$14,(H90*GenAssumptions!H17)*9,H90*GenAssumptions!H17)</f>
        <v>4805190</v>
      </c>
      <c r="I16" s="745">
        <f>IF($C$1=$U$14,(I90*GenAssumptions!I17)*9,I90*GenAssumptions!I17)</f>
        <v>4805190</v>
      </c>
    </row>
    <row r="17" spans="1:9" x14ac:dyDescent="0.2">
      <c r="A17" s="586"/>
      <c r="B17" s="666" t="s">
        <v>671</v>
      </c>
      <c r="C17" s="666"/>
      <c r="D17" s="746">
        <f>D16*GenAssumptions!D10+IF($C$1=$U$14,PED!D92*9,D92)</f>
        <v>16951297.5</v>
      </c>
      <c r="E17" s="667">
        <f>E16*GenAssumptions!E10+IF($C$1=$U$14,PED!E92*9,E92)</f>
        <v>16951297.5</v>
      </c>
      <c r="F17" s="667">
        <f>F16*GenAssumptions!F10+IF($C$1=$U$14,PED!F92*9,F92)</f>
        <v>17912583.135000002</v>
      </c>
      <c r="G17" s="667">
        <f>G16*GenAssumptions!G10+IF($C$1=$U$14,PED!G92*9,G92)</f>
        <v>18892668.455639999</v>
      </c>
      <c r="H17" s="667">
        <f>H16*GenAssumptions!H10+IF($C$1=$U$14,PED!H92*9,H92)</f>
        <v>16951297.5</v>
      </c>
      <c r="I17" s="747">
        <f>I16*GenAssumptions!I10+IF($C$1=$U$14,PED!I92*9,I92)</f>
        <v>16951297.5</v>
      </c>
    </row>
    <row r="18" spans="1:9" x14ac:dyDescent="0.2">
      <c r="A18" s="586"/>
      <c r="B18" s="666" t="s">
        <v>386</v>
      </c>
      <c r="C18" s="748"/>
      <c r="D18" s="749">
        <f>D16*GenAssumptions!D11</f>
        <v>240259.5</v>
      </c>
      <c r="E18" s="750">
        <f>E16*GenAssumptions!E11</f>
        <v>240259.5</v>
      </c>
      <c r="F18" s="750">
        <f>F16*GenAssumptions!F11</f>
        <v>256116.62700000007</v>
      </c>
      <c r="G18" s="750">
        <f>G16*GenAssumptions!G11</f>
        <v>272508.09112800006</v>
      </c>
      <c r="H18" s="750">
        <f>H16*GenAssumptions!H11</f>
        <v>240259.5</v>
      </c>
      <c r="I18" s="751">
        <f>I16*GenAssumptions!I11</f>
        <v>240259.5</v>
      </c>
    </row>
    <row r="19" spans="1:9" x14ac:dyDescent="0.2">
      <c r="A19" s="586"/>
      <c r="B19" s="742" t="s">
        <v>669</v>
      </c>
      <c r="C19" s="615"/>
      <c r="D19" s="743">
        <f>SUM(D20:D23)</f>
        <v>1461282294.3547797</v>
      </c>
      <c r="E19" s="743">
        <f>SUM(E20:E23)</f>
        <v>1461282294.3547797</v>
      </c>
      <c r="F19" s="743">
        <f t="shared" ref="F19:I19" si="7">SUM(F20:F23)</f>
        <v>1543314720.4872658</v>
      </c>
      <c r="G19" s="743">
        <f t="shared" si="7"/>
        <v>1629316442.3922501</v>
      </c>
      <c r="H19" s="743">
        <f t="shared" si="7"/>
        <v>1461282294.3547797</v>
      </c>
      <c r="I19" s="743">
        <f t="shared" si="7"/>
        <v>1461282294.3547797</v>
      </c>
    </row>
    <row r="20" spans="1:9" x14ac:dyDescent="0.2">
      <c r="A20" s="586"/>
      <c r="B20" s="666" t="s">
        <v>481</v>
      </c>
      <c r="C20" s="752"/>
      <c r="D20" s="744">
        <f>D98*GenAssumptions!D16+D99*GenAssumptions!D17+D100*GenAssumptions!D18+D101*GenAssumptions!D19</f>
        <v>99157451.53125</v>
      </c>
      <c r="E20" s="714">
        <f>E98*GenAssumptions!E16+E99*GenAssumptions!E17+E100*GenAssumptions!E18+E101*GenAssumptions!E19</f>
        <v>99157451.53125</v>
      </c>
      <c r="F20" s="714">
        <f>F98*GenAssumptions!F16+F99*GenAssumptions!F17+F100*GenAssumptions!F18+F101*GenAssumptions!F19</f>
        <v>106188948.601125</v>
      </c>
      <c r="G20" s="714">
        <f>G98*GenAssumptions!G16+G99*GenAssumptions!G17+G100*GenAssumptions!G18+G101*GenAssumptions!G19</f>
        <v>114021601.32363001</v>
      </c>
      <c r="H20" s="714">
        <f>H98*GenAssumptions!H16+H99*GenAssumptions!H17+H100*GenAssumptions!H18+H101*GenAssumptions!H19</f>
        <v>99157451.53125</v>
      </c>
      <c r="I20" s="745">
        <f>I98*GenAssumptions!I16+I99*GenAssumptions!I17+I100*GenAssumptions!I18+I101*GenAssumptions!I19</f>
        <v>99157451.53125</v>
      </c>
    </row>
    <row r="21" spans="1:9" x14ac:dyDescent="0.2">
      <c r="A21" s="586"/>
      <c r="B21" s="666" t="s">
        <v>671</v>
      </c>
      <c r="C21" s="666"/>
      <c r="D21" s="753">
        <f>D20*GenAssumptions!D10</f>
        <v>24789362.8828125</v>
      </c>
      <c r="E21" s="754">
        <f>E20*GenAssumptions!E10</f>
        <v>24789362.8828125</v>
      </c>
      <c r="F21" s="754">
        <f>F20*GenAssumptions!F10</f>
        <v>26547237.15028125</v>
      </c>
      <c r="G21" s="754">
        <f>G20*GenAssumptions!G10</f>
        <v>28505400.330907501</v>
      </c>
      <c r="H21" s="754">
        <f>H20*GenAssumptions!H10</f>
        <v>24789362.8828125</v>
      </c>
      <c r="I21" s="755">
        <f>I20*GenAssumptions!I10</f>
        <v>24789362.8828125</v>
      </c>
    </row>
    <row r="22" spans="1:9" x14ac:dyDescent="0.2">
      <c r="A22" s="586"/>
      <c r="B22" s="666" t="s">
        <v>672</v>
      </c>
      <c r="C22" s="752"/>
      <c r="D22" s="753">
        <f t="shared" ref="D22:I22" si="8">D106+D113</f>
        <v>1332377607.3641548</v>
      </c>
      <c r="E22" s="754">
        <f t="shared" si="8"/>
        <v>1332377607.3641548</v>
      </c>
      <c r="F22" s="754">
        <f t="shared" si="8"/>
        <v>1405269087.3058033</v>
      </c>
      <c r="G22" s="754">
        <f t="shared" si="8"/>
        <v>1481088360.6715312</v>
      </c>
      <c r="H22" s="754">
        <f t="shared" si="8"/>
        <v>1332377607.3641548</v>
      </c>
      <c r="I22" s="755">
        <f t="shared" si="8"/>
        <v>1332377607.3641548</v>
      </c>
    </row>
    <row r="23" spans="1:9" x14ac:dyDescent="0.2">
      <c r="A23" s="586"/>
      <c r="B23" s="666" t="s">
        <v>386</v>
      </c>
      <c r="C23" s="748"/>
      <c r="D23" s="756">
        <f>D20*GenAssumptions!D11</f>
        <v>4957872.5765625006</v>
      </c>
      <c r="E23" s="757">
        <f>E20*GenAssumptions!E11</f>
        <v>4957872.5765625006</v>
      </c>
      <c r="F23" s="757">
        <f>F20*GenAssumptions!F11</f>
        <v>5309447.4300562507</v>
      </c>
      <c r="G23" s="757">
        <f>G20*GenAssumptions!G11</f>
        <v>5701080.0661815004</v>
      </c>
      <c r="H23" s="757">
        <f>H20*GenAssumptions!H11</f>
        <v>4957872.5765625006</v>
      </c>
      <c r="I23" s="758">
        <f>I20*GenAssumptions!I11</f>
        <v>4957872.5765625006</v>
      </c>
    </row>
    <row r="24" spans="1:9" x14ac:dyDescent="0.2">
      <c r="A24" s="586"/>
      <c r="B24" s="742" t="s">
        <v>643</v>
      </c>
      <c r="C24" s="675"/>
      <c r="D24" s="722">
        <f>SUM(D25:D28)</f>
        <v>14350157.1</v>
      </c>
      <c r="E24" s="722">
        <f>SUM(E25:E28)</f>
        <v>14350157.1</v>
      </c>
      <c r="F24" s="722">
        <f t="shared" ref="F24:I24" si="9">SUM(F25:F28)</f>
        <v>14663667.468599999</v>
      </c>
      <c r="G24" s="722">
        <f t="shared" si="9"/>
        <v>14987742.1865904</v>
      </c>
      <c r="H24" s="722">
        <f t="shared" si="9"/>
        <v>14350157.1</v>
      </c>
      <c r="I24" s="722">
        <f t="shared" si="9"/>
        <v>14350157.1</v>
      </c>
    </row>
    <row r="25" spans="1:9" x14ac:dyDescent="0.2">
      <c r="A25" s="586"/>
      <c r="B25" s="666" t="s">
        <v>481</v>
      </c>
      <c r="C25" s="748"/>
      <c r="D25" s="744">
        <f>(D130*GenAssumptions!D16+D131*GenAssumptions!D17+D132*GenAssumptions!D18+D133*GenAssumptions!D19)*IF($D$136=0,0,1)</f>
        <v>3653967</v>
      </c>
      <c r="E25" s="714">
        <f>(E130*GenAssumptions!E16+E131*GenAssumptions!E17+E132*GenAssumptions!E18+E133*GenAssumptions!E19)*IF($E$136=0,0,1)</f>
        <v>3653967</v>
      </c>
      <c r="F25" s="714">
        <f>(F130*GenAssumptions!F16+F131*GenAssumptions!F17+F132*GenAssumptions!F18+F133*GenAssumptions!F19)*IF($F$136=0,0,1)</f>
        <v>3895128.8220000006</v>
      </c>
      <c r="G25" s="714">
        <f>(G130*GenAssumptions!G16+G131*GenAssumptions!G17+G132*GenAssumptions!G18+G133*GenAssumptions!G19)*IF($G$136=0,0,1)</f>
        <v>4144417.0666080005</v>
      </c>
      <c r="H25" s="714">
        <f>(H130*GenAssumptions!H16+H131*GenAssumptions!H17+H132*GenAssumptions!H18+H133*GenAssumptions!H19)*IF($H$136=0,0,1)</f>
        <v>3653967</v>
      </c>
      <c r="I25" s="745">
        <f>(I130*GenAssumptions!I16+I131*GenAssumptions!I17+I132*GenAssumptions!I18+I133*GenAssumptions!I19)*IF($I$136=0,0,1)</f>
        <v>3653967</v>
      </c>
    </row>
    <row r="26" spans="1:9" x14ac:dyDescent="0.2">
      <c r="A26" s="586"/>
      <c r="B26" s="666" t="s">
        <v>642</v>
      </c>
      <c r="C26" s="748"/>
      <c r="D26" s="753">
        <f>D25*GenAssumptions!D10</f>
        <v>913491.75</v>
      </c>
      <c r="E26" s="754">
        <f>E25*GenAssumptions!E10</f>
        <v>913491.75</v>
      </c>
      <c r="F26" s="754">
        <f>F25*GenAssumptions!F10</f>
        <v>973782.20550000016</v>
      </c>
      <c r="G26" s="754">
        <f>G25*GenAssumptions!G10</f>
        <v>1036104.2666520001</v>
      </c>
      <c r="H26" s="754">
        <f>H25*GenAssumptions!H10</f>
        <v>913491.75</v>
      </c>
      <c r="I26" s="755">
        <f>I25*GenAssumptions!I10</f>
        <v>913491.75</v>
      </c>
    </row>
    <row r="27" spans="1:9" x14ac:dyDescent="0.2">
      <c r="A27" s="586"/>
      <c r="B27" s="666" t="s">
        <v>631</v>
      </c>
      <c r="C27" s="748"/>
      <c r="D27" s="753">
        <f>D134</f>
        <v>9600000</v>
      </c>
      <c r="E27" s="754">
        <f t="shared" ref="E27:I27" si="10">E134</f>
        <v>9600000</v>
      </c>
      <c r="F27" s="754">
        <f t="shared" si="10"/>
        <v>9600000</v>
      </c>
      <c r="G27" s="754">
        <f t="shared" si="10"/>
        <v>9600000</v>
      </c>
      <c r="H27" s="754">
        <f t="shared" si="10"/>
        <v>9600000</v>
      </c>
      <c r="I27" s="755">
        <f t="shared" si="10"/>
        <v>9600000</v>
      </c>
    </row>
    <row r="28" spans="1:9" x14ac:dyDescent="0.2">
      <c r="A28" s="586"/>
      <c r="B28" s="666" t="s">
        <v>386</v>
      </c>
      <c r="C28" s="748"/>
      <c r="D28" s="756">
        <f>D25*GenAssumptions!D11</f>
        <v>182698.35</v>
      </c>
      <c r="E28" s="757">
        <f>E25*GenAssumptions!E11</f>
        <v>182698.35</v>
      </c>
      <c r="F28" s="757">
        <f>F25*GenAssumptions!F11</f>
        <v>194756.44110000005</v>
      </c>
      <c r="G28" s="757">
        <f>G25*GenAssumptions!G11</f>
        <v>207220.85333040004</v>
      </c>
      <c r="H28" s="757">
        <f>H25*GenAssumptions!H11</f>
        <v>182698.35</v>
      </c>
      <c r="I28" s="758">
        <f>I25*GenAssumptions!I11</f>
        <v>182698.35</v>
      </c>
    </row>
    <row r="29" spans="1:9" x14ac:dyDescent="0.2">
      <c r="A29" s="586"/>
      <c r="B29" s="742" t="s">
        <v>714</v>
      </c>
      <c r="C29" s="615"/>
      <c r="D29" s="743">
        <f>SUM(D30:D33)</f>
        <v>20825814.682458553</v>
      </c>
      <c r="E29" s="743">
        <f>SUM(E30:E33)</f>
        <v>20825814.682458553</v>
      </c>
      <c r="F29" s="743">
        <f t="shared" ref="F29:I29" si="11">SUM(F30:F33)</f>
        <v>21684312.710521825</v>
      </c>
      <c r="G29" s="743">
        <f t="shared" si="11"/>
        <v>22579976.666509554</v>
      </c>
      <c r="H29" s="743">
        <f t="shared" si="11"/>
        <v>20825814.682458553</v>
      </c>
      <c r="I29" s="743">
        <f t="shared" si="11"/>
        <v>20825814.682458553</v>
      </c>
    </row>
    <row r="30" spans="1:9" x14ac:dyDescent="0.2">
      <c r="A30" s="586"/>
      <c r="B30" s="666" t="s">
        <v>481</v>
      </c>
      <c r="C30" s="666"/>
      <c r="D30" s="744">
        <f>IF($C$1=$U$14,(D122*GenAssumptions!D18)*9+D123*GenAssumptions!D19,D122*GenAssumptions!D18+D123*GenAssumptions!D19)</f>
        <v>8881395.9095835015</v>
      </c>
      <c r="E30" s="714">
        <f>IF($C$1=$U$14,(E122*GenAssumptions!E18)*9+E123*GenAssumptions!E19,E122*GenAssumptions!E18+E123*GenAssumptions!E19)</f>
        <v>8881395.9095835015</v>
      </c>
      <c r="F30" s="714">
        <f>IF($C$1=$U$14,(F122*GenAssumptions!F18)*9+F123*GenAssumptions!F19,F122*GenAssumptions!F18+F123*GenAssumptions!F19)</f>
        <v>9529717.4696321711</v>
      </c>
      <c r="G30" s="714">
        <f>IF($C$1=$U$14,(G122*GenAssumptions!G18)*9+G123*GenAssumptions!G19,G122*GenAssumptions!G18+G123*GenAssumptions!G19)</f>
        <v>10206407.651161196</v>
      </c>
      <c r="H30" s="714">
        <f>IF($C$1=$U$14,(H122*GenAssumptions!H18)*9+H123*GenAssumptions!H19,H122*GenAssumptions!H18+H123*GenAssumptions!H19)</f>
        <v>8881395.9095835015</v>
      </c>
      <c r="I30" s="745">
        <f>IF($C$1=$U$14,(I122*GenAssumptions!I18)*9+I123*GenAssumptions!I19,I122*GenAssumptions!I18+I123*GenAssumptions!I19)</f>
        <v>8881395.9095835015</v>
      </c>
    </row>
    <row r="31" spans="1:9" x14ac:dyDescent="0.2">
      <c r="A31" s="586"/>
      <c r="B31" s="666" t="s">
        <v>671</v>
      </c>
      <c r="C31" s="666"/>
      <c r="D31" s="746">
        <f>D30*GenAssumptions!D10</f>
        <v>2220348.9773958754</v>
      </c>
      <c r="E31" s="667">
        <f>E30*GenAssumptions!E10</f>
        <v>2220348.9773958754</v>
      </c>
      <c r="F31" s="667">
        <f>F30*GenAssumptions!F10</f>
        <v>2382429.3674080428</v>
      </c>
      <c r="G31" s="667">
        <f>G30*GenAssumptions!G10</f>
        <v>2551601.9127902989</v>
      </c>
      <c r="H31" s="667">
        <f>H30*GenAssumptions!H10</f>
        <v>2220348.9773958754</v>
      </c>
      <c r="I31" s="747">
        <f>I30*GenAssumptions!I10</f>
        <v>2220348.9773958754</v>
      </c>
    </row>
    <row r="32" spans="1:9" x14ac:dyDescent="0.2">
      <c r="A32" s="586"/>
      <c r="B32" s="666" t="s">
        <v>673</v>
      </c>
      <c r="C32" s="666"/>
      <c r="D32" s="746">
        <f t="shared" ref="D32:I32" si="12">IF($C$1=$U$14,D125*9+D126,D125+D126)</f>
        <v>9280000</v>
      </c>
      <c r="E32" s="667">
        <f t="shared" si="12"/>
        <v>9280000</v>
      </c>
      <c r="F32" s="667">
        <f t="shared" si="12"/>
        <v>9295680</v>
      </c>
      <c r="G32" s="667">
        <f t="shared" si="12"/>
        <v>9311646.7200000007</v>
      </c>
      <c r="H32" s="667">
        <f t="shared" si="12"/>
        <v>9280000</v>
      </c>
      <c r="I32" s="747">
        <f t="shared" si="12"/>
        <v>9280000</v>
      </c>
    </row>
    <row r="33" spans="1:9" x14ac:dyDescent="0.2">
      <c r="A33" s="586"/>
      <c r="B33" s="666" t="s">
        <v>386</v>
      </c>
      <c r="C33" s="666"/>
      <c r="D33" s="759">
        <f>D30*GenAssumptions!D11</f>
        <v>444069.79547917511</v>
      </c>
      <c r="E33" s="682">
        <f>E30*GenAssumptions!E11</f>
        <v>444069.79547917511</v>
      </c>
      <c r="F33" s="682">
        <f>F30*GenAssumptions!F11</f>
        <v>476485.87348160858</v>
      </c>
      <c r="G33" s="682">
        <f>G30*GenAssumptions!G11</f>
        <v>510320.38255805982</v>
      </c>
      <c r="H33" s="682">
        <f>H30*GenAssumptions!H11</f>
        <v>444069.79547917511</v>
      </c>
      <c r="I33" s="760">
        <f>I30*GenAssumptions!I11</f>
        <v>444069.79547917511</v>
      </c>
    </row>
    <row r="34" spans="1:9" x14ac:dyDescent="0.2">
      <c r="A34" s="586"/>
      <c r="B34" s="670" t="s">
        <v>777</v>
      </c>
      <c r="C34" s="671"/>
      <c r="D34" s="761">
        <f>D11+D15+D19+D24+D29</f>
        <v>1575437991.1372383</v>
      </c>
      <c r="E34" s="761">
        <f t="shared" ref="E34:I34" si="13">E11+E15+E19+E24+E29</f>
        <v>1575437991.1372383</v>
      </c>
      <c r="F34" s="761">
        <f t="shared" si="13"/>
        <v>1663697587.5163877</v>
      </c>
      <c r="G34" s="761">
        <f t="shared" si="13"/>
        <v>1756130960.8537502</v>
      </c>
      <c r="H34" s="761">
        <f t="shared" si="13"/>
        <v>1575437991.1372383</v>
      </c>
      <c r="I34" s="761">
        <f t="shared" si="13"/>
        <v>1575437991.1372383</v>
      </c>
    </row>
    <row r="35" spans="1:9" ht="7.5" customHeight="1" x14ac:dyDescent="0.2">
      <c r="A35" s="586"/>
      <c r="B35" s="666"/>
      <c r="D35" s="586"/>
      <c r="E35" s="586"/>
      <c r="F35" s="586"/>
      <c r="G35" s="586"/>
      <c r="H35" s="586"/>
      <c r="I35" s="586"/>
    </row>
    <row r="36" spans="1:9" x14ac:dyDescent="0.2">
      <c r="A36" s="586"/>
      <c r="B36" s="742" t="s">
        <v>774</v>
      </c>
      <c r="D36" s="586"/>
      <c r="E36" s="586"/>
      <c r="F36" s="586"/>
      <c r="G36" s="586"/>
      <c r="H36" s="586"/>
      <c r="I36" s="586"/>
    </row>
    <row r="37" spans="1:9" x14ac:dyDescent="0.2">
      <c r="A37" s="586"/>
      <c r="B37" s="666" t="s">
        <v>775</v>
      </c>
      <c r="C37" s="615"/>
      <c r="D37" s="762">
        <f>D148*D146</f>
        <v>72000000</v>
      </c>
      <c r="E37" s="763">
        <f t="shared" ref="E37:I37" si="14">E148*E146</f>
        <v>72000000</v>
      </c>
      <c r="F37" s="763">
        <f t="shared" si="14"/>
        <v>76032000</v>
      </c>
      <c r="G37" s="763">
        <f t="shared" si="14"/>
        <v>80137728</v>
      </c>
      <c r="H37" s="763">
        <f t="shared" si="14"/>
        <v>72000000</v>
      </c>
      <c r="I37" s="764">
        <f t="shared" si="14"/>
        <v>72000000</v>
      </c>
    </row>
    <row r="38" spans="1:9" x14ac:dyDescent="0.2">
      <c r="A38" s="586"/>
      <c r="B38" s="666" t="s">
        <v>776</v>
      </c>
      <c r="C38" s="615"/>
      <c r="D38" s="765">
        <f>D149*D147</f>
        <v>630000000</v>
      </c>
      <c r="E38" s="766">
        <f t="shared" ref="E38:I38" si="15">E149*E147</f>
        <v>630000000</v>
      </c>
      <c r="F38" s="766">
        <f t="shared" si="15"/>
        <v>671580000</v>
      </c>
      <c r="G38" s="766">
        <f t="shared" si="15"/>
        <v>714561120</v>
      </c>
      <c r="H38" s="766">
        <f t="shared" si="15"/>
        <v>630000000</v>
      </c>
      <c r="I38" s="767">
        <f t="shared" si="15"/>
        <v>630000000</v>
      </c>
    </row>
    <row r="39" spans="1:9" x14ac:dyDescent="0.2">
      <c r="A39" s="586"/>
      <c r="B39" s="670" t="s">
        <v>778</v>
      </c>
      <c r="C39" s="671"/>
      <c r="D39" s="672">
        <f>SUM(D37:D38)</f>
        <v>702000000</v>
      </c>
      <c r="E39" s="672">
        <f t="shared" ref="E39:I39" si="16">SUM(E37:E38)</f>
        <v>702000000</v>
      </c>
      <c r="F39" s="672">
        <f t="shared" si="16"/>
        <v>747612000</v>
      </c>
      <c r="G39" s="672">
        <f t="shared" si="16"/>
        <v>794698848</v>
      </c>
      <c r="H39" s="672">
        <f t="shared" si="16"/>
        <v>702000000</v>
      </c>
      <c r="I39" s="672">
        <f t="shared" si="16"/>
        <v>702000000</v>
      </c>
    </row>
    <row r="40" spans="1:9" ht="6.75" customHeight="1" x14ac:dyDescent="0.2">
      <c r="A40" s="586"/>
      <c r="B40" s="674"/>
      <c r="C40" s="675"/>
      <c r="D40" s="726"/>
      <c r="E40" s="726"/>
      <c r="F40" s="726"/>
      <c r="G40" s="726"/>
      <c r="H40" s="726"/>
      <c r="I40" s="726"/>
    </row>
    <row r="41" spans="1:9" x14ac:dyDescent="0.2">
      <c r="A41" s="586"/>
      <c r="B41" s="768" t="s">
        <v>585</v>
      </c>
      <c r="C41" s="768"/>
      <c r="D41" s="769"/>
      <c r="E41" s="769"/>
      <c r="F41" s="769"/>
      <c r="G41" s="769"/>
      <c r="H41" s="769"/>
      <c r="I41" s="769"/>
    </row>
    <row r="42" spans="1:9" x14ac:dyDescent="0.2">
      <c r="A42" s="586"/>
      <c r="B42" s="770" t="s">
        <v>800</v>
      </c>
      <c r="C42" s="586"/>
      <c r="D42" s="771"/>
      <c r="E42" s="771"/>
      <c r="F42" s="771"/>
      <c r="G42" s="771"/>
      <c r="H42" s="771"/>
      <c r="I42" s="771"/>
    </row>
    <row r="43" spans="1:9" x14ac:dyDescent="0.2">
      <c r="A43" s="586"/>
      <c r="B43" s="696" t="s">
        <v>490</v>
      </c>
      <c r="C43" s="586"/>
      <c r="D43" s="540">
        <v>0.18</v>
      </c>
      <c r="E43" s="634">
        <v>0.18</v>
      </c>
      <c r="F43" s="634">
        <v>0.18</v>
      </c>
      <c r="G43" s="634">
        <v>0.18</v>
      </c>
      <c r="H43" s="634">
        <v>0.18</v>
      </c>
      <c r="I43" s="634">
        <v>0.18</v>
      </c>
    </row>
    <row r="44" spans="1:9" x14ac:dyDescent="0.2">
      <c r="A44" s="586"/>
      <c r="B44" s="696" t="s">
        <v>495</v>
      </c>
      <c r="C44" s="586"/>
      <c r="D44" s="540">
        <v>0.71</v>
      </c>
      <c r="E44" s="634">
        <v>0.71</v>
      </c>
      <c r="F44" s="634">
        <v>0.71</v>
      </c>
      <c r="G44" s="634">
        <v>0.71</v>
      </c>
      <c r="H44" s="634">
        <v>0.71</v>
      </c>
      <c r="I44" s="634">
        <v>0.71</v>
      </c>
    </row>
    <row r="45" spans="1:9" x14ac:dyDescent="0.2">
      <c r="A45" s="586"/>
      <c r="B45" s="696" t="s">
        <v>491</v>
      </c>
      <c r="C45" s="586"/>
      <c r="D45" s="540">
        <v>0.11</v>
      </c>
      <c r="E45" s="634">
        <v>0.11</v>
      </c>
      <c r="F45" s="634">
        <v>0.11</v>
      </c>
      <c r="G45" s="634">
        <v>0.11</v>
      </c>
      <c r="H45" s="634">
        <v>0.11</v>
      </c>
      <c r="I45" s="634">
        <v>0.11</v>
      </c>
    </row>
    <row r="46" spans="1:9" x14ac:dyDescent="0.2">
      <c r="A46" s="586"/>
      <c r="B46" s="770" t="s">
        <v>717</v>
      </c>
      <c r="C46" s="586"/>
      <c r="D46" s="772"/>
      <c r="E46" s="772"/>
      <c r="F46" s="772"/>
      <c r="G46" s="772"/>
      <c r="H46" s="772"/>
      <c r="I46" s="772"/>
    </row>
    <row r="47" spans="1:9" x14ac:dyDescent="0.2">
      <c r="A47" s="586"/>
      <c r="B47" s="696" t="s">
        <v>490</v>
      </c>
      <c r="C47" s="586"/>
      <c r="D47" s="773">
        <f>D43*(VLOOKUP($C$1,Teachers!$B$4:$K$13,5,FALSE))</f>
        <v>77269.181399999987</v>
      </c>
      <c r="E47" s="773">
        <f>E43*(VLOOKUP($C$1,Teachers!$B$4:$K$13,6,FALSE))</f>
        <v>77269.181399999987</v>
      </c>
      <c r="F47" s="773">
        <f>F43*(VLOOKUP($C$1,Teachers!$B$4:$K$13,7,FALSE))</f>
        <v>78041.873214000007</v>
      </c>
      <c r="G47" s="773">
        <f>G43*(VLOOKUP($C$1,Teachers!$B$4:$K$13,8,FALSE))</f>
        <v>78822.291946140002</v>
      </c>
      <c r="H47" s="773">
        <f>H43*(VLOOKUP($C$1,Teachers!$B$4:$K$13,9,FALSE))</f>
        <v>77269.181399999987</v>
      </c>
      <c r="I47" s="773">
        <f>I43*(VLOOKUP($C$1,Teachers!$B$4:$K$13,10,FALSE))</f>
        <v>77269.181399999987</v>
      </c>
    </row>
    <row r="48" spans="1:9" x14ac:dyDescent="0.2">
      <c r="A48" s="586"/>
      <c r="B48" s="696" t="s">
        <v>495</v>
      </c>
      <c r="C48" s="586"/>
      <c r="D48" s="773">
        <f>D44*(VLOOKUP($C$1,Teachers!$B$4:$K$13,5,FALSE))</f>
        <v>304783.99329999997</v>
      </c>
      <c r="E48" s="773">
        <f>E44*(VLOOKUP($C$1,Teachers!$B$4:$K$13,6,FALSE))</f>
        <v>304783.99329999997</v>
      </c>
      <c r="F48" s="773">
        <f>F44*(VLOOKUP($C$1,Teachers!$B$4:$K$13,7,FALSE))</f>
        <v>307831.83323300001</v>
      </c>
      <c r="G48" s="773">
        <f>G44*(VLOOKUP($C$1,Teachers!$B$4:$K$13,8,FALSE))</f>
        <v>310910.15156532999</v>
      </c>
      <c r="H48" s="773">
        <f>H44*(VLOOKUP($C$1,Teachers!$B$4:$K$13,9,FALSE))</f>
        <v>304783.99329999997</v>
      </c>
      <c r="I48" s="773">
        <f>I44*(VLOOKUP($C$1,Teachers!$B$4:$K$13,10,FALSE))</f>
        <v>304783.99329999997</v>
      </c>
    </row>
    <row r="49" spans="1:11" x14ac:dyDescent="0.2">
      <c r="A49" s="586"/>
      <c r="B49" s="696" t="s">
        <v>491</v>
      </c>
      <c r="C49" s="586"/>
      <c r="D49" s="773">
        <f>D45*(VLOOKUP($C$1,Teachers!$B$4:$K$13,5,FALSE))</f>
        <v>47220.0553</v>
      </c>
      <c r="E49" s="773">
        <f>E45*(VLOOKUP($C$1,Teachers!$B$4:$K$13,6,FALSE))</f>
        <v>47220.0553</v>
      </c>
      <c r="F49" s="773">
        <f>F45*(VLOOKUP($C$1,Teachers!$B$4:$K$13,7,FALSE))</f>
        <v>47692.255853000002</v>
      </c>
      <c r="G49" s="773">
        <f>G45*(VLOOKUP($C$1,Teachers!$B$4:$K$13,8,FALSE))</f>
        <v>48169.178411530003</v>
      </c>
      <c r="H49" s="773">
        <f>H45*(VLOOKUP($C$1,Teachers!$B$4:$K$13,9,FALSE))</f>
        <v>47220.0553</v>
      </c>
      <c r="I49" s="773">
        <f>I45*(VLOOKUP($C$1,Teachers!$B$4:$K$13,10,FALSE))</f>
        <v>47220.0553</v>
      </c>
    </row>
    <row r="50" spans="1:11" x14ac:dyDescent="0.2">
      <c r="A50" s="586"/>
      <c r="B50" s="770" t="s">
        <v>718</v>
      </c>
      <c r="C50" s="586"/>
      <c r="D50" s="586"/>
      <c r="E50" s="586" t="s">
        <v>741</v>
      </c>
      <c r="F50" s="586"/>
      <c r="G50" s="586"/>
      <c r="H50" s="586"/>
      <c r="I50" s="586"/>
    </row>
    <row r="51" spans="1:11" x14ac:dyDescent="0.2">
      <c r="A51" s="586"/>
      <c r="B51" s="696" t="s">
        <v>490</v>
      </c>
      <c r="C51" s="586"/>
      <c r="D51" s="774">
        <v>30</v>
      </c>
      <c r="E51" s="775">
        <f>'Totals and Scenarios'!E$40</f>
        <v>30</v>
      </c>
      <c r="F51" s="775">
        <f>'Totals and Scenarios'!F$40</f>
        <v>30</v>
      </c>
      <c r="G51" s="775">
        <f>'Totals and Scenarios'!G$40</f>
        <v>30</v>
      </c>
      <c r="H51" s="775">
        <f>'Totals and Scenarios'!H$40</f>
        <v>30</v>
      </c>
      <c r="I51" s="775">
        <f>'Totals and Scenarios'!I$40</f>
        <v>30</v>
      </c>
    </row>
    <row r="52" spans="1:11" x14ac:dyDescent="0.2">
      <c r="A52" s="586"/>
      <c r="B52" s="696" t="s">
        <v>492</v>
      </c>
      <c r="C52" s="586"/>
      <c r="D52" s="774">
        <v>30</v>
      </c>
      <c r="E52" s="775">
        <f>'Totals and Scenarios'!E$40</f>
        <v>30</v>
      </c>
      <c r="F52" s="775">
        <f>'Totals and Scenarios'!F$40</f>
        <v>30</v>
      </c>
      <c r="G52" s="775">
        <f>'Totals and Scenarios'!G$40</f>
        <v>30</v>
      </c>
      <c r="H52" s="775">
        <f>'Totals and Scenarios'!H$40</f>
        <v>30</v>
      </c>
      <c r="I52" s="775">
        <f>'Totals and Scenarios'!I$40</f>
        <v>30</v>
      </c>
    </row>
    <row r="53" spans="1:11" x14ac:dyDescent="0.2">
      <c r="A53" s="586"/>
      <c r="B53" s="696" t="s">
        <v>491</v>
      </c>
      <c r="C53" s="586"/>
      <c r="D53" s="774">
        <v>30</v>
      </c>
      <c r="E53" s="775">
        <f>'Totals and Scenarios'!E$40</f>
        <v>30</v>
      </c>
      <c r="F53" s="775">
        <f>'Totals and Scenarios'!F$40</f>
        <v>30</v>
      </c>
      <c r="G53" s="775">
        <f>'Totals and Scenarios'!G$40</f>
        <v>30</v>
      </c>
      <c r="H53" s="775">
        <f>'Totals and Scenarios'!H$40</f>
        <v>30</v>
      </c>
      <c r="I53" s="775">
        <f>'Totals and Scenarios'!I$40</f>
        <v>30</v>
      </c>
    </row>
    <row r="54" spans="1:11" x14ac:dyDescent="0.2">
      <c r="A54" s="586"/>
      <c r="B54" s="770" t="s">
        <v>722</v>
      </c>
      <c r="C54" s="586"/>
      <c r="D54" s="586"/>
      <c r="E54" s="586" t="s">
        <v>742</v>
      </c>
      <c r="F54" s="586"/>
      <c r="G54" s="586"/>
      <c r="H54" s="586"/>
      <c r="I54" s="586"/>
    </row>
    <row r="55" spans="1:11" x14ac:dyDescent="0.2">
      <c r="A55" s="586"/>
      <c r="B55" s="696" t="s">
        <v>490</v>
      </c>
      <c r="C55" s="586"/>
      <c r="D55" s="776">
        <v>0.33</v>
      </c>
      <c r="E55" s="777">
        <f>'Totals and Scenarios'!E42</f>
        <v>0.33</v>
      </c>
      <c r="F55" s="777">
        <f>'Totals and Scenarios'!F42</f>
        <v>0.33</v>
      </c>
      <c r="G55" s="777">
        <f>'Totals and Scenarios'!G42</f>
        <v>0.33</v>
      </c>
      <c r="H55" s="777">
        <f>'Totals and Scenarios'!H42</f>
        <v>0.33</v>
      </c>
      <c r="I55" s="777">
        <f>'Totals and Scenarios'!I42</f>
        <v>0.33</v>
      </c>
      <c r="K55" s="838">
        <f>H47*H55</f>
        <v>25498.829861999995</v>
      </c>
    </row>
    <row r="56" spans="1:11" x14ac:dyDescent="0.2">
      <c r="A56" s="586"/>
      <c r="B56" s="696" t="s">
        <v>492</v>
      </c>
      <c r="C56" s="586"/>
      <c r="D56" s="776">
        <v>0.33</v>
      </c>
      <c r="E56" s="777">
        <f>'Totals and Scenarios'!E43</f>
        <v>0.33</v>
      </c>
      <c r="F56" s="777">
        <f>'Totals and Scenarios'!F43</f>
        <v>0.33</v>
      </c>
      <c r="G56" s="777">
        <f>'Totals and Scenarios'!G43</f>
        <v>0.33</v>
      </c>
      <c r="H56" s="777">
        <f>'Totals and Scenarios'!H43</f>
        <v>0.33</v>
      </c>
      <c r="I56" s="777">
        <f>'Totals and Scenarios'!I43</f>
        <v>0.33</v>
      </c>
      <c r="K56" s="838">
        <f t="shared" ref="K56:K57" si="17">H48*H56</f>
        <v>100578.717789</v>
      </c>
    </row>
    <row r="57" spans="1:11" x14ac:dyDescent="0.2">
      <c r="A57" s="586"/>
      <c r="B57" s="696" t="s">
        <v>491</v>
      </c>
      <c r="C57" s="586"/>
      <c r="D57" s="776">
        <v>0.33</v>
      </c>
      <c r="E57" s="777">
        <f>'Totals and Scenarios'!E44</f>
        <v>0.33</v>
      </c>
      <c r="F57" s="777">
        <f>'Totals and Scenarios'!F44</f>
        <v>0.33</v>
      </c>
      <c r="G57" s="777">
        <f>'Totals and Scenarios'!G44</f>
        <v>0.33</v>
      </c>
      <c r="H57" s="777">
        <f>'Totals and Scenarios'!H44</f>
        <v>0.33</v>
      </c>
      <c r="I57" s="777">
        <f>'Totals and Scenarios'!I44</f>
        <v>0.33</v>
      </c>
      <c r="K57" s="838">
        <f t="shared" si="17"/>
        <v>15582.618249000001</v>
      </c>
    </row>
    <row r="58" spans="1:11" x14ac:dyDescent="0.2">
      <c r="A58" s="586"/>
      <c r="B58" s="770" t="s">
        <v>719</v>
      </c>
      <c r="C58" s="586"/>
      <c r="D58" s="778">
        <f>SUM(D59:D61)</f>
        <v>1416601.659</v>
      </c>
      <c r="E58" s="778">
        <f>SUM(E59:E61)</f>
        <v>1416601.659</v>
      </c>
      <c r="F58" s="778">
        <f t="shared" ref="F58:I58" si="18">SUM(F59:F61)</f>
        <v>1430767.6755900003</v>
      </c>
      <c r="G58" s="778">
        <f t="shared" si="18"/>
        <v>1445075.3523459001</v>
      </c>
      <c r="H58" s="778">
        <f t="shared" si="18"/>
        <v>1416601.659</v>
      </c>
      <c r="I58" s="778">
        <f t="shared" si="18"/>
        <v>1416601.659</v>
      </c>
      <c r="K58" s="838">
        <f>SUM(K55:K57)</f>
        <v>141660.16589999999</v>
      </c>
    </row>
    <row r="59" spans="1:11" x14ac:dyDescent="0.2">
      <c r="A59" s="586"/>
      <c r="B59" s="696" t="s">
        <v>490</v>
      </c>
      <c r="C59" s="586"/>
      <c r="D59" s="773">
        <f>D47*D51*D55/3</f>
        <v>254988.29861999999</v>
      </c>
      <c r="E59" s="773">
        <f t="shared" ref="E59:I59" si="19">E47*E51*E55/3</f>
        <v>254988.29861999999</v>
      </c>
      <c r="F59" s="773">
        <f t="shared" si="19"/>
        <v>257538.18160620006</v>
      </c>
      <c r="G59" s="773">
        <f t="shared" si="19"/>
        <v>260113.563422262</v>
      </c>
      <c r="H59" s="773">
        <f t="shared" si="19"/>
        <v>254988.29861999999</v>
      </c>
      <c r="I59" s="773">
        <f t="shared" si="19"/>
        <v>254988.29861999999</v>
      </c>
    </row>
    <row r="60" spans="1:11" x14ac:dyDescent="0.2">
      <c r="A60" s="586"/>
      <c r="B60" s="696" t="s">
        <v>495</v>
      </c>
      <c r="C60" s="586"/>
      <c r="D60" s="773">
        <f t="shared" ref="D60:I61" si="20">D48*D52*D56/3</f>
        <v>1005787.1778899999</v>
      </c>
      <c r="E60" s="773">
        <f t="shared" si="20"/>
        <v>1005787.1778899999</v>
      </c>
      <c r="F60" s="773">
        <f t="shared" si="20"/>
        <v>1015845.0496689002</v>
      </c>
      <c r="G60" s="773">
        <f t="shared" si="20"/>
        <v>1026003.500165589</v>
      </c>
      <c r="H60" s="773">
        <f t="shared" si="20"/>
        <v>1005787.1778899999</v>
      </c>
      <c r="I60" s="773">
        <f t="shared" si="20"/>
        <v>1005787.1778899999</v>
      </c>
    </row>
    <row r="61" spans="1:11" x14ac:dyDescent="0.2">
      <c r="A61" s="586"/>
      <c r="B61" s="696" t="s">
        <v>491</v>
      </c>
      <c r="C61" s="586"/>
      <c r="D61" s="773">
        <f t="shared" si="20"/>
        <v>155826.18249000001</v>
      </c>
      <c r="E61" s="773">
        <f t="shared" si="20"/>
        <v>155826.18249000001</v>
      </c>
      <c r="F61" s="773">
        <f t="shared" si="20"/>
        <v>157384.44431490003</v>
      </c>
      <c r="G61" s="773">
        <f t="shared" si="20"/>
        <v>158958.28875804902</v>
      </c>
      <c r="H61" s="773">
        <f t="shared" si="20"/>
        <v>155826.18249000001</v>
      </c>
      <c r="I61" s="773">
        <f t="shared" si="20"/>
        <v>155826.18249000001</v>
      </c>
      <c r="K61" s="787"/>
    </row>
    <row r="62" spans="1:11" x14ac:dyDescent="0.2">
      <c r="A62" s="586"/>
      <c r="B62" s="779" t="s">
        <v>594</v>
      </c>
      <c r="C62" s="586"/>
      <c r="D62" s="586"/>
      <c r="E62" s="558" t="s">
        <v>748</v>
      </c>
      <c r="F62" s="586"/>
      <c r="G62" s="586"/>
      <c r="H62" s="586"/>
      <c r="I62" s="586"/>
    </row>
    <row r="63" spans="1:11" x14ac:dyDescent="0.2">
      <c r="A63" s="628"/>
      <c r="B63" s="696" t="s">
        <v>720</v>
      </c>
      <c r="C63" s="586"/>
      <c r="D63" s="776">
        <v>0.4</v>
      </c>
      <c r="E63" s="777">
        <f>'Totals and Scenarios'!E51</f>
        <v>0.4</v>
      </c>
      <c r="F63" s="777">
        <f>'Totals and Scenarios'!F51</f>
        <v>0.4</v>
      </c>
      <c r="G63" s="777">
        <f>'Totals and Scenarios'!G51</f>
        <v>0.4</v>
      </c>
      <c r="H63" s="777">
        <f>'Totals and Scenarios'!H51</f>
        <v>0.4</v>
      </c>
      <c r="I63" s="777">
        <f>'Totals and Scenarios'!I51</f>
        <v>0.4</v>
      </c>
      <c r="J63" s="780"/>
    </row>
    <row r="64" spans="1:11" x14ac:dyDescent="0.2">
      <c r="A64" s="628"/>
      <c r="B64" s="696" t="s">
        <v>721</v>
      </c>
      <c r="C64" s="586"/>
      <c r="D64" s="781">
        <f>1-D63</f>
        <v>0.6</v>
      </c>
      <c r="E64" s="781">
        <f>1-E63</f>
        <v>0.6</v>
      </c>
      <c r="F64" s="781">
        <f t="shared" ref="F64:I64" si="21">1-F63</f>
        <v>0.6</v>
      </c>
      <c r="G64" s="781">
        <f t="shared" si="21"/>
        <v>0.6</v>
      </c>
      <c r="H64" s="781">
        <f t="shared" si="21"/>
        <v>0.6</v>
      </c>
      <c r="I64" s="781">
        <f t="shared" si="21"/>
        <v>0.6</v>
      </c>
      <c r="J64" s="780"/>
    </row>
    <row r="65" spans="1:10" x14ac:dyDescent="0.2">
      <c r="A65" s="586"/>
      <c r="B65" s="696" t="s">
        <v>586</v>
      </c>
      <c r="C65" s="586"/>
      <c r="D65" s="773">
        <f>(D58*D63)/GenAssumptions!D45/GenAssumptions!D41</f>
        <v>3777.6044239999997</v>
      </c>
      <c r="E65" s="773">
        <f>(E58*E63)/GenAssumptions!E45/GenAssumptions!E41</f>
        <v>3777.6044239999997</v>
      </c>
      <c r="F65" s="773">
        <f>(F58*F63)/GenAssumptions!F45/GenAssumptions!F41</f>
        <v>3815.3804682400009</v>
      </c>
      <c r="G65" s="773">
        <f>(G58*G63)/GenAssumptions!G45/GenAssumptions!G41</f>
        <v>3853.5342729224008</v>
      </c>
      <c r="H65" s="773">
        <f>(H58*H63)/GenAssumptions!H45/GenAssumptions!H41</f>
        <v>3777.6044239999997</v>
      </c>
      <c r="I65" s="773">
        <f>(I58*I63)/GenAssumptions!I45/GenAssumptions!I41</f>
        <v>3777.6044239999997</v>
      </c>
      <c r="J65" s="706"/>
    </row>
    <row r="66" spans="1:10" x14ac:dyDescent="0.2">
      <c r="A66" s="586"/>
      <c r="B66" s="696" t="s">
        <v>587</v>
      </c>
      <c r="C66" s="586"/>
      <c r="D66" s="782">
        <f>(D58*D64)/GenAssumptions!D46/GenAssumptions!D42</f>
        <v>1416.6016589999999</v>
      </c>
      <c r="E66" s="782">
        <f>(E58*E64)/GenAssumptions!E46/GenAssumptions!E42</f>
        <v>1416.6016589999999</v>
      </c>
      <c r="F66" s="782">
        <f>(F58*F64)/GenAssumptions!F46/GenAssumptions!F42</f>
        <v>1430.7676755900004</v>
      </c>
      <c r="G66" s="782">
        <f>(G58*G64)/GenAssumptions!G46/GenAssumptions!G42</f>
        <v>1445.0753523459</v>
      </c>
      <c r="H66" s="782">
        <f>(H58*H64)/GenAssumptions!H46/GenAssumptions!H42</f>
        <v>1416.6016589999999</v>
      </c>
      <c r="I66" s="782">
        <f>(I58*I64)/GenAssumptions!I46/GenAssumptions!I42</f>
        <v>1416.6016589999999</v>
      </c>
    </row>
    <row r="67" spans="1:10" x14ac:dyDescent="0.2">
      <c r="A67" s="586"/>
      <c r="B67" s="783" t="s">
        <v>595</v>
      </c>
      <c r="C67" s="679"/>
      <c r="D67" s="679"/>
      <c r="E67" s="679"/>
      <c r="F67" s="679"/>
      <c r="G67" s="679"/>
      <c r="H67" s="679"/>
      <c r="I67" s="679"/>
    </row>
    <row r="68" spans="1:10" ht="21" customHeight="1" x14ac:dyDescent="0.2">
      <c r="A68" s="586"/>
      <c r="B68" s="704" t="s">
        <v>597</v>
      </c>
      <c r="C68" s="628"/>
      <c r="D68" s="540">
        <v>0.5</v>
      </c>
      <c r="E68" s="634">
        <v>0.5</v>
      </c>
      <c r="F68" s="634">
        <v>0.5</v>
      </c>
      <c r="G68" s="634">
        <v>0.5</v>
      </c>
      <c r="H68" s="634">
        <v>0.5</v>
      </c>
      <c r="I68" s="634">
        <v>0.5</v>
      </c>
    </row>
    <row r="69" spans="1:10" ht="25.5" x14ac:dyDescent="0.2">
      <c r="A69" s="586"/>
      <c r="B69" s="704" t="s">
        <v>596</v>
      </c>
      <c r="C69" s="784"/>
      <c r="D69" s="540">
        <v>1</v>
      </c>
      <c r="E69" s="634">
        <v>1</v>
      </c>
      <c r="F69" s="634">
        <v>1</v>
      </c>
      <c r="G69" s="634">
        <v>1</v>
      </c>
      <c r="H69" s="634">
        <v>1</v>
      </c>
      <c r="I69" s="634">
        <v>1</v>
      </c>
    </row>
    <row r="70" spans="1:10" x14ac:dyDescent="0.2">
      <c r="A70" s="586"/>
      <c r="B70" s="704" t="s">
        <v>598</v>
      </c>
      <c r="C70" s="785"/>
      <c r="D70" s="786">
        <f>D65*D68</f>
        <v>1888.8022119999998</v>
      </c>
      <c r="E70" s="786">
        <f>E65*E68</f>
        <v>1888.8022119999998</v>
      </c>
      <c r="F70" s="786">
        <f t="shared" ref="F70:I70" si="22">F65*F68</f>
        <v>1907.6902341200005</v>
      </c>
      <c r="G70" s="786">
        <f t="shared" si="22"/>
        <v>1926.7671364612004</v>
      </c>
      <c r="H70" s="786">
        <f t="shared" si="22"/>
        <v>1888.8022119999998</v>
      </c>
      <c r="I70" s="786">
        <f t="shared" si="22"/>
        <v>1888.8022119999998</v>
      </c>
      <c r="J70" s="787"/>
    </row>
    <row r="71" spans="1:10" x14ac:dyDescent="0.2">
      <c r="A71" s="586"/>
      <c r="B71" s="788" t="s">
        <v>599</v>
      </c>
      <c r="C71" s="789"/>
      <c r="D71" s="790">
        <f t="shared" ref="D71" si="23">D66*D69</f>
        <v>1416.6016589999999</v>
      </c>
      <c r="E71" s="790">
        <f t="shared" ref="E71:I71" si="24">E66*E69</f>
        <v>1416.6016589999999</v>
      </c>
      <c r="F71" s="790">
        <f t="shared" si="24"/>
        <v>1430.7676755900004</v>
      </c>
      <c r="G71" s="790">
        <f t="shared" si="24"/>
        <v>1445.0753523459</v>
      </c>
      <c r="H71" s="790">
        <f t="shared" si="24"/>
        <v>1416.6016589999999</v>
      </c>
      <c r="I71" s="790">
        <f t="shared" si="24"/>
        <v>1416.6016589999999</v>
      </c>
    </row>
    <row r="72" spans="1:10" x14ac:dyDescent="0.2">
      <c r="A72" s="586"/>
      <c r="B72" s="791" t="s">
        <v>723</v>
      </c>
      <c r="C72" s="785"/>
      <c r="D72" s="586"/>
      <c r="E72" s="558" t="s">
        <v>749</v>
      </c>
      <c r="F72" s="586"/>
      <c r="G72" s="586"/>
      <c r="H72" s="586"/>
      <c r="I72" s="586"/>
    </row>
    <row r="73" spans="1:10" ht="14.85" customHeight="1" x14ac:dyDescent="0.2">
      <c r="A73" s="586"/>
      <c r="B73" s="940" t="s">
        <v>724</v>
      </c>
      <c r="C73" s="940"/>
      <c r="D73" s="792">
        <v>0.1</v>
      </c>
      <c r="E73" s="793">
        <f>'Totals and Scenarios'!E56</f>
        <v>0.1</v>
      </c>
      <c r="F73" s="793">
        <f>'Totals and Scenarios'!F56</f>
        <v>0.1</v>
      </c>
      <c r="G73" s="793">
        <f>'Totals and Scenarios'!G56</f>
        <v>0.1</v>
      </c>
      <c r="H73" s="793">
        <f>'Totals and Scenarios'!H56</f>
        <v>0.1</v>
      </c>
      <c r="I73" s="793">
        <f>'Totals and Scenarios'!I56</f>
        <v>0.1</v>
      </c>
    </row>
    <row r="74" spans="1:10" x14ac:dyDescent="0.2">
      <c r="A74" s="586"/>
      <c r="B74" s="940" t="s">
        <v>725</v>
      </c>
      <c r="C74" s="940"/>
      <c r="D74" s="540">
        <v>1</v>
      </c>
      <c r="E74" s="634">
        <v>1</v>
      </c>
      <c r="F74" s="634">
        <v>1</v>
      </c>
      <c r="G74" s="634">
        <v>1</v>
      </c>
      <c r="H74" s="634">
        <v>1</v>
      </c>
      <c r="I74" s="634">
        <v>1</v>
      </c>
    </row>
    <row r="75" spans="1:10" x14ac:dyDescent="0.2">
      <c r="A75" s="586"/>
      <c r="B75" s="794" t="s">
        <v>734</v>
      </c>
      <c r="C75" s="795"/>
      <c r="D75" s="679"/>
      <c r="E75" s="558" t="s">
        <v>759</v>
      </c>
      <c r="F75" s="586"/>
      <c r="G75" s="586"/>
      <c r="H75" s="586"/>
      <c r="I75" s="586"/>
    </row>
    <row r="76" spans="1:10" ht="14.85" customHeight="1" x14ac:dyDescent="0.2">
      <c r="A76" s="586"/>
      <c r="B76" s="940" t="s">
        <v>735</v>
      </c>
      <c r="C76" s="940"/>
      <c r="D76" s="792">
        <v>0.8</v>
      </c>
      <c r="E76" s="793">
        <f>1-'Totals and Scenarios'!E60</f>
        <v>0.8</v>
      </c>
      <c r="F76" s="793">
        <f>1-'Totals and Scenarios'!F60</f>
        <v>0.8</v>
      </c>
      <c r="G76" s="793">
        <f>1-'Totals and Scenarios'!G60</f>
        <v>0.8</v>
      </c>
      <c r="H76" s="793">
        <f>1-'Totals and Scenarios'!H60</f>
        <v>0.8</v>
      </c>
      <c r="I76" s="793">
        <f>1-'Totals and Scenarios'!I60</f>
        <v>0.8</v>
      </c>
    </row>
    <row r="77" spans="1:10" x14ac:dyDescent="0.2">
      <c r="A77" s="586"/>
      <c r="B77" s="940" t="s">
        <v>736</v>
      </c>
      <c r="C77" s="940"/>
      <c r="D77" s="792">
        <v>0.8</v>
      </c>
      <c r="E77" s="793">
        <f>1-'Totals and Scenarios'!E61</f>
        <v>0.8</v>
      </c>
      <c r="F77" s="793">
        <f>1-'Totals and Scenarios'!F61</f>
        <v>0.8</v>
      </c>
      <c r="G77" s="793">
        <f>1-'Totals and Scenarios'!G61</f>
        <v>0.8</v>
      </c>
      <c r="H77" s="793">
        <f>1-'Totals and Scenarios'!H61</f>
        <v>0.8</v>
      </c>
      <c r="I77" s="793">
        <f>1-'Totals and Scenarios'!I61</f>
        <v>0.8</v>
      </c>
    </row>
    <row r="78" spans="1:10" x14ac:dyDescent="0.2">
      <c r="A78" s="586"/>
      <c r="B78" s="796"/>
      <c r="C78" s="796"/>
      <c r="D78" s="797"/>
      <c r="E78" s="797"/>
      <c r="F78" s="797"/>
      <c r="G78" s="797"/>
      <c r="H78" s="797"/>
      <c r="I78" s="797"/>
    </row>
    <row r="79" spans="1:10" x14ac:dyDescent="0.2">
      <c r="A79" s="586"/>
      <c r="B79" s="798" t="s">
        <v>483</v>
      </c>
      <c r="C79" s="798"/>
      <c r="D79" s="727"/>
      <c r="E79" s="727"/>
      <c r="F79" s="727"/>
      <c r="G79" s="727"/>
      <c r="H79" s="727"/>
      <c r="I79" s="727"/>
    </row>
    <row r="80" spans="1:10" x14ac:dyDescent="0.2">
      <c r="A80" s="586"/>
      <c r="B80" s="799" t="str">
        <f>B10</f>
        <v>B. PTDI</v>
      </c>
      <c r="C80" s="800"/>
      <c r="D80" s="728"/>
      <c r="E80" s="728"/>
      <c r="F80" s="728"/>
      <c r="G80" s="728"/>
      <c r="H80" s="728"/>
      <c r="I80" s="728"/>
    </row>
    <row r="81" spans="1:10" x14ac:dyDescent="0.2">
      <c r="A81" s="586"/>
      <c r="B81" s="742" t="s">
        <v>658</v>
      </c>
      <c r="C81" s="801"/>
      <c r="D81" s="586"/>
      <c r="E81" s="586"/>
      <c r="F81" s="586"/>
      <c r="G81" s="586"/>
      <c r="H81" s="586"/>
      <c r="I81" s="586"/>
    </row>
    <row r="82" spans="1:10" x14ac:dyDescent="0.2">
      <c r="A82" s="586"/>
      <c r="B82" s="802" t="s">
        <v>414</v>
      </c>
      <c r="C82" s="801"/>
      <c r="D82" s="581">
        <v>1</v>
      </c>
      <c r="E82" s="641">
        <v>1</v>
      </c>
      <c r="F82" s="641">
        <v>1</v>
      </c>
      <c r="G82" s="641">
        <v>1</v>
      </c>
      <c r="H82" s="641">
        <v>1</v>
      </c>
      <c r="I82" s="641">
        <v>1</v>
      </c>
    </row>
    <row r="83" spans="1:10" x14ac:dyDescent="0.2">
      <c r="A83" s="586"/>
      <c r="B83" s="802" t="s">
        <v>653</v>
      </c>
      <c r="C83" s="801"/>
      <c r="D83" s="803">
        <f>IF($C$1=$U$14,ROUNDUP(Teachers!$C$28/PED!D84,0)+ROUNDUP(Teachers!$C$29/PED!D84,0)+ROUNDUP(Teachers!$C$30/PED!D84,0)+ROUNDUP(Teachers!$C$31/PED!D84,0)+ROUNDUP(Teachers!$C$32/PED!D84,0)+ROUNDUP(Teachers!$C$33/PED!D84,0)+ROUNDUP(Teachers!$C$34/PED!D84,0)+ROUNDUP(Teachers!$C$35/PED!D84,0)+ROUNDUP(Teachers!$C$36/PED!D84,0),DISTRICT!D58/PED!D84)</f>
        <v>17</v>
      </c>
      <c r="E83" s="803">
        <f>IF($C$1=$U$14,ROUNDUP(Teachers!$C$28/PED!E84,0)+ROUNDUP(Teachers!$C$29/PED!E84,0)+ROUNDUP(Teachers!$C$30/PED!E84,0)+ROUNDUP(Teachers!$C$31/PED!E84,0)+ROUNDUP(Teachers!$C$32/PED!E84,0)+ROUNDUP(Teachers!$C$33/PED!E84,0)+ROUNDUP(Teachers!$C$34/PED!E84,0)+ROUNDUP(Teachers!$C$35/PED!E84,0)+ROUNDUP(Teachers!$C$36/PED!E84,0),DISTRICT!E58/PED!E84)</f>
        <v>17</v>
      </c>
      <c r="F83" s="803">
        <f>IF($C$1=$U$14,ROUNDUP(Teachers!$C$28/PED!F84,0)+ROUNDUP(Teachers!$C$29/PED!F84,0)+ROUNDUP(Teachers!$C$30/PED!F84,0)+ROUNDUP(Teachers!$C$31/PED!F84,0)+ROUNDUP(Teachers!$C$32/PED!F84,0)+ROUNDUP(Teachers!$C$33/PED!F84,0)+ROUNDUP(Teachers!$C$34/PED!F84,0)+ROUNDUP(Teachers!$C$35/PED!F84,0)+ROUNDUP(Teachers!$C$36/PED!F84,0),DISTRICT!F58/PED!F84)</f>
        <v>17</v>
      </c>
      <c r="G83" s="803">
        <f>IF($C$1=$U$14,ROUNDUP(Teachers!$C$28/PED!G84,0)+ROUNDUP(Teachers!$C$29/PED!G84,0)+ROUNDUP(Teachers!$C$30/PED!G84,0)+ROUNDUP(Teachers!$C$31/PED!G84,0)+ROUNDUP(Teachers!$C$32/PED!G84,0)+ROUNDUP(Teachers!$C$33/PED!G84,0)+ROUNDUP(Teachers!$C$34/PED!G84,0)+ROUNDUP(Teachers!$C$35/PED!G84,0)+ROUNDUP(Teachers!$C$36/PED!G84,0),DISTRICT!G58/PED!G84)</f>
        <v>17</v>
      </c>
      <c r="H83" s="803">
        <f>IF($C$1=$U$14,ROUNDUP(Teachers!$C$28/PED!H84,0)+ROUNDUP(Teachers!$C$29/PED!H84,0)+ROUNDUP(Teachers!$C$30/PED!H84,0)+ROUNDUP(Teachers!$C$31/PED!H84,0)+ROUNDUP(Teachers!$C$32/PED!H84,0)+ROUNDUP(Teachers!$C$33/PED!H84,0)+ROUNDUP(Teachers!$C$34/PED!H84,0)+ROUNDUP(Teachers!$C$35/PED!H84,0)+ROUNDUP(Teachers!$C$36/PED!H84,0),DISTRICT!H58/PED!H84)</f>
        <v>17</v>
      </c>
      <c r="I83" s="803">
        <f>IF($C$1=$U$14,ROUNDUP(Teachers!$C$28/PED!I84,0)+ROUNDUP(Teachers!$C$29/PED!I84,0)+ROUNDUP(Teachers!$C$30/PED!I84,0)+ROUNDUP(Teachers!$C$31/PED!I84,0)+ROUNDUP(Teachers!$C$32/PED!I84,0)+ROUNDUP(Teachers!$C$33/PED!I84,0)+ROUNDUP(Teachers!$C$34/PED!I84,0)+ROUNDUP(Teachers!$C$35/PED!I84,0)+ROUNDUP(Teachers!$C$36/PED!I84,0),DISTRICT!I58/PED!I84)</f>
        <v>17</v>
      </c>
    </row>
    <row r="84" spans="1:10" x14ac:dyDescent="0.2">
      <c r="A84" s="586"/>
      <c r="B84" s="802" t="s">
        <v>654</v>
      </c>
      <c r="C84" s="801"/>
      <c r="D84" s="581">
        <v>4</v>
      </c>
      <c r="E84" s="641">
        <v>4</v>
      </c>
      <c r="F84" s="641">
        <v>4</v>
      </c>
      <c r="G84" s="641">
        <v>4</v>
      </c>
      <c r="H84" s="641">
        <v>4</v>
      </c>
      <c r="I84" s="641">
        <v>4</v>
      </c>
    </row>
    <row r="85" spans="1:10" x14ac:dyDescent="0.2">
      <c r="A85" s="586"/>
      <c r="B85" s="802" t="s">
        <v>659</v>
      </c>
      <c r="C85" s="801"/>
      <c r="D85" s="581">
        <v>1</v>
      </c>
      <c r="E85" s="641">
        <v>1</v>
      </c>
      <c r="F85" s="641">
        <v>1</v>
      </c>
      <c r="G85" s="641">
        <v>1</v>
      </c>
      <c r="H85" s="641">
        <v>1</v>
      </c>
      <c r="I85" s="641">
        <v>1</v>
      </c>
    </row>
    <row r="86" spans="1:10" x14ac:dyDescent="0.2">
      <c r="A86" s="586"/>
      <c r="B86" s="802" t="s">
        <v>660</v>
      </c>
      <c r="C86" s="801"/>
      <c r="D86" s="581">
        <v>2</v>
      </c>
      <c r="E86" s="641">
        <v>2</v>
      </c>
      <c r="F86" s="641">
        <v>2</v>
      </c>
      <c r="G86" s="641">
        <v>2</v>
      </c>
      <c r="H86" s="641">
        <v>2</v>
      </c>
      <c r="I86" s="641">
        <v>2</v>
      </c>
    </row>
    <row r="87" spans="1:10" x14ac:dyDescent="0.2">
      <c r="A87" s="586"/>
      <c r="B87" s="804" t="s">
        <v>416</v>
      </c>
      <c r="C87" s="801"/>
      <c r="D87" s="805">
        <f t="shared" ref="D87:I87" si="25">IF($C$1=$U$14,(D82*9)+D83,D82+D83)</f>
        <v>26</v>
      </c>
      <c r="E87" s="805">
        <f t="shared" si="25"/>
        <v>26</v>
      </c>
      <c r="F87" s="805">
        <f t="shared" si="25"/>
        <v>26</v>
      </c>
      <c r="G87" s="805">
        <f t="shared" si="25"/>
        <v>26</v>
      </c>
      <c r="H87" s="805">
        <f t="shared" si="25"/>
        <v>26</v>
      </c>
      <c r="I87" s="805">
        <f t="shared" si="25"/>
        <v>26</v>
      </c>
    </row>
    <row r="88" spans="1:10" x14ac:dyDescent="0.2">
      <c r="A88" s="586"/>
      <c r="B88" s="806"/>
      <c r="C88" s="807"/>
      <c r="D88" s="586"/>
      <c r="E88" s="586"/>
      <c r="F88" s="586"/>
      <c r="G88" s="586"/>
      <c r="H88" s="586"/>
      <c r="I88" s="586"/>
    </row>
    <row r="89" spans="1:10" s="579" customFormat="1" x14ac:dyDescent="0.2">
      <c r="A89" s="558"/>
      <c r="B89" s="742" t="s">
        <v>621</v>
      </c>
      <c r="C89" s="807"/>
      <c r="D89" s="558"/>
      <c r="E89" s="558"/>
      <c r="F89" s="558"/>
      <c r="G89" s="558"/>
      <c r="H89" s="558"/>
      <c r="I89" s="558"/>
    </row>
    <row r="90" spans="1:10" s="579" customFormat="1" x14ac:dyDescent="0.2">
      <c r="A90" s="558"/>
      <c r="B90" s="802" t="s">
        <v>667</v>
      </c>
      <c r="C90" s="807"/>
      <c r="D90" s="581">
        <v>1</v>
      </c>
      <c r="E90" s="641">
        <v>1</v>
      </c>
      <c r="F90" s="641">
        <v>1</v>
      </c>
      <c r="G90" s="641">
        <v>1</v>
      </c>
      <c r="H90" s="641">
        <v>1</v>
      </c>
      <c r="I90" s="641">
        <v>1</v>
      </c>
    </row>
    <row r="91" spans="1:10" s="579" customFormat="1" x14ac:dyDescent="0.2">
      <c r="A91" s="558"/>
      <c r="B91" s="808" t="s">
        <v>612</v>
      </c>
      <c r="C91" s="807"/>
      <c r="D91" s="558"/>
      <c r="E91" s="558"/>
      <c r="F91" s="558"/>
      <c r="G91" s="558"/>
      <c r="H91" s="558"/>
      <c r="I91" s="558"/>
    </row>
    <row r="92" spans="1:10" x14ac:dyDescent="0.2">
      <c r="A92" s="586"/>
      <c r="B92" s="809" t="s">
        <v>668</v>
      </c>
      <c r="C92" s="801"/>
      <c r="D92" s="730">
        <f>D93*D94+D93*D95</f>
        <v>1750000</v>
      </c>
      <c r="E92" s="730">
        <f>E93*E94+E93*E95</f>
        <v>1750000</v>
      </c>
      <c r="F92" s="730">
        <f t="shared" ref="F92:I92" si="26">F93*F94+F93*F95</f>
        <v>1848000</v>
      </c>
      <c r="G92" s="730">
        <f t="shared" si="26"/>
        <v>1947792</v>
      </c>
      <c r="H92" s="730">
        <f t="shared" si="26"/>
        <v>1750000</v>
      </c>
      <c r="I92" s="730">
        <f t="shared" si="26"/>
        <v>1750000</v>
      </c>
      <c r="J92" s="579"/>
    </row>
    <row r="93" spans="1:10" x14ac:dyDescent="0.2">
      <c r="A93" s="586"/>
      <c r="B93" s="810" t="s">
        <v>613</v>
      </c>
      <c r="C93" s="801"/>
      <c r="D93" s="581">
        <v>5</v>
      </c>
      <c r="E93" s="641">
        <v>5</v>
      </c>
      <c r="F93" s="641">
        <v>5</v>
      </c>
      <c r="G93" s="641">
        <v>5</v>
      </c>
      <c r="H93" s="641">
        <v>5</v>
      </c>
      <c r="I93" s="641">
        <v>5</v>
      </c>
      <c r="J93" s="847"/>
    </row>
    <row r="94" spans="1:10" x14ac:dyDescent="0.2">
      <c r="A94" s="586"/>
      <c r="B94" s="810" t="s">
        <v>614</v>
      </c>
      <c r="C94" s="801"/>
      <c r="D94" s="731">
        <v>100000</v>
      </c>
      <c r="E94" s="711">
        <v>100000</v>
      </c>
      <c r="F94" s="730">
        <f>E94*(1+GenAssumptions!F6)</f>
        <v>105600</v>
      </c>
      <c r="G94" s="730">
        <f>F94*(1+GenAssumptions!G6)</f>
        <v>111302.40000000001</v>
      </c>
      <c r="H94" s="711">
        <v>100000</v>
      </c>
      <c r="I94" s="711">
        <v>100000</v>
      </c>
      <c r="J94" s="579"/>
    </row>
    <row r="95" spans="1:10" x14ac:dyDescent="0.2">
      <c r="A95" s="586"/>
      <c r="B95" s="810" t="s">
        <v>617</v>
      </c>
      <c r="C95" s="801"/>
      <c r="D95" s="731">
        <f>250000</f>
        <v>250000</v>
      </c>
      <c r="E95" s="711">
        <f>250000</f>
        <v>250000</v>
      </c>
      <c r="F95" s="730">
        <f>E95*(1+GenAssumptions!F6)</f>
        <v>264000</v>
      </c>
      <c r="G95" s="730">
        <f>F95*(1+GenAssumptions!G6)</f>
        <v>278256</v>
      </c>
      <c r="H95" s="711">
        <f>250000</f>
        <v>250000</v>
      </c>
      <c r="I95" s="711">
        <f>250000</f>
        <v>250000</v>
      </c>
      <c r="J95" s="579"/>
    </row>
    <row r="96" spans="1:10" x14ac:dyDescent="0.2">
      <c r="A96" s="586"/>
      <c r="B96" s="806"/>
      <c r="C96" s="807"/>
      <c r="D96" s="586"/>
      <c r="E96" s="586"/>
      <c r="F96" s="586"/>
      <c r="G96" s="586"/>
      <c r="H96" s="586"/>
      <c r="I96" s="586"/>
    </row>
    <row r="97" spans="1:9" x14ac:dyDescent="0.2">
      <c r="A97" s="586"/>
      <c r="B97" s="742" t="s">
        <v>669</v>
      </c>
      <c r="C97" s="586"/>
      <c r="D97" s="586"/>
      <c r="E97" s="586"/>
      <c r="F97" s="586"/>
      <c r="G97" s="586"/>
      <c r="H97" s="586"/>
      <c r="I97" s="586"/>
    </row>
    <row r="98" spans="1:9" x14ac:dyDescent="0.2">
      <c r="A98" s="586"/>
      <c r="B98" s="802" t="s">
        <v>650</v>
      </c>
      <c r="C98" s="586"/>
      <c r="D98" s="803">
        <f>IF($C$1=$U$14,D99/D102,0)</f>
        <v>3.390625</v>
      </c>
      <c r="E98" s="803">
        <f t="shared" ref="E98:I98" si="27">IF($C$1=$U$14,E99/E102,0)</f>
        <v>3.390625</v>
      </c>
      <c r="F98" s="803">
        <f t="shared" si="27"/>
        <v>3.40625</v>
      </c>
      <c r="G98" s="803">
        <f t="shared" si="27"/>
        <v>3.4375</v>
      </c>
      <c r="H98" s="803">
        <f t="shared" si="27"/>
        <v>3.390625</v>
      </c>
      <c r="I98" s="803">
        <f t="shared" si="27"/>
        <v>3.390625</v>
      </c>
    </row>
    <row r="99" spans="1:9" x14ac:dyDescent="0.2">
      <c r="A99" s="586"/>
      <c r="B99" s="804" t="s">
        <v>651</v>
      </c>
      <c r="C99" s="586"/>
      <c r="D99" s="811">
        <f>D100/D105</f>
        <v>27.125</v>
      </c>
      <c r="E99" s="811">
        <f t="shared" ref="E99:I99" si="28">E100/E105</f>
        <v>27.125</v>
      </c>
      <c r="F99" s="811">
        <f t="shared" si="28"/>
        <v>27.25</v>
      </c>
      <c r="G99" s="811">
        <f t="shared" si="28"/>
        <v>27.5</v>
      </c>
      <c r="H99" s="811">
        <f t="shared" si="28"/>
        <v>27.125</v>
      </c>
      <c r="I99" s="811">
        <f t="shared" si="28"/>
        <v>27.125</v>
      </c>
    </row>
    <row r="100" spans="1:9" x14ac:dyDescent="0.2">
      <c r="A100" s="586"/>
      <c r="B100" s="804" t="s">
        <v>415</v>
      </c>
      <c r="C100" s="586"/>
      <c r="D100" s="803">
        <f>IF($C$1=$U$14,(ROUND(Demand!D117/D103,0)+ROUND(Demand!D118/D103,0)+ROUND(Demand!D119/D103,0)+ROUND(Demand!D120/D103,0)+ROUND(Demand!D121/D103,0)+ROUND(Demand!D122/D103,0)+ROUND(Demand!D123/D103,0)+ROUND(Demand!D124/D103,0)+ROUND(Demand!D125/D103,0))+ROUND(Demand!D129/D104,0)+ROUND(Demand!D130/D104,0)+ROUND(Demand!D131/D104,0)+ROUND(Demand!D132/D104,0)+ROUND(Demand!D133/D104,0)+ROUND(Demand!D134/D104,0)+ROUND(Demand!D135/D104,0)+ROUND(Demand!D136/D104,0)+ROUND(Demand!D137/D104,0),ROUND(D70/D103,0)+ROUND(D71/D104,0))</f>
        <v>217</v>
      </c>
      <c r="E100" s="803">
        <f>IF($C$1=$U$14,(ROUND(Demand!E117/E103,0)+ROUND(Demand!E118/E103,0)+ROUND(Demand!E119/E103,0)+ROUND(Demand!E120/E103,0)+ROUND(Demand!E121/E103,0)+ROUND(Demand!E122/E103,0)+ROUND(Demand!E123/E103,0)+ROUND(Demand!E124/E103,0)+ROUND(Demand!E125/E103,0))+ROUND(Demand!E129/E104,0)+ROUND(Demand!E130/E104,0)+ROUND(Demand!E131/E104,0)+ROUND(Demand!E132/E104,0)+ROUND(Demand!E133/E104,0)+ROUND(Demand!E134/E104,0)+ROUND(Demand!E135/E104,0)+ROUND(Demand!E136/E104,0)+ROUND(Demand!E137/E104,0),ROUND(E70/E103,0)+ROUND(E71/E104,0))</f>
        <v>217</v>
      </c>
      <c r="F100" s="803">
        <f>IF($C$1=$U$14,(ROUND(Demand!F117/F103,0)+ROUND(Demand!F118/F103,0)+ROUND(Demand!F119/F103,0)+ROUND(Demand!F120/F103,0)+ROUND(Demand!F121/F103,0)+ROUND(Demand!F122/F103,0)+ROUND(Demand!F123/F103,0)+ROUND(Demand!F124/F103,0)+ROUND(Demand!F125/F103,0))+ROUND(Demand!F129/F104,0)+ROUND(Demand!F130/F104,0)+ROUND(Demand!F131/F104,0)+ROUND(Demand!F132/F104,0)+ROUND(Demand!F133/F104,0)+ROUND(Demand!F134/F104,0)+ROUND(Demand!F135/F104,0)+ROUND(Demand!F136/F104,0)+ROUND(Demand!F137/F104,0),ROUND(F70/F103,0)+ROUND(F71/F104,0))</f>
        <v>218</v>
      </c>
      <c r="G100" s="803">
        <f>IF($C$1=$U$14,(ROUND(Demand!G117/G103,0)+ROUND(Demand!G118/G103,0)+ROUND(Demand!G119/G103,0)+ROUND(Demand!G120/G103,0)+ROUND(Demand!G121/G103,0)+ROUND(Demand!G122/G103,0)+ROUND(Demand!G123/G103,0)+ROUND(Demand!G124/G103,0)+ROUND(Demand!G125/G103,0))+ROUND(Demand!G129/G104,0)+ROUND(Demand!G130/G104,0)+ROUND(Demand!G131/G104,0)+ROUND(Demand!G132/G104,0)+ROUND(Demand!G133/G104,0)+ROUND(Demand!G134/G104,0)+ROUND(Demand!G135/G104,0)+ROUND(Demand!G136/G104,0)+ROUND(Demand!G137/G104,0),ROUND(G70/G103,0)+ROUND(G71/G104,0))</f>
        <v>220</v>
      </c>
      <c r="H100" s="803">
        <f>IF($C$1=$U$14,(ROUND(Demand!H117/H103,0)+ROUND(Demand!H118/H103,0)+ROUND(Demand!H119/H103,0)+ROUND(Demand!H120/H103,0)+ROUND(Demand!H121/H103,0)+ROUND(Demand!H122/H103,0)+ROUND(Demand!H123/H103,0)+ROUND(Demand!H124/H103,0)+ROUND(Demand!H125/H103,0))+ROUND(Demand!H129/H104,0)+ROUND(Demand!H130/H104,0)+ROUND(Demand!H131/H104,0)+ROUND(Demand!H132/H104,0)+ROUND(Demand!H133/H104,0)+ROUND(Demand!H134/H104,0)+ROUND(Demand!H135/H104,0)+ROUND(Demand!H136/H104,0)+ROUND(Demand!H137/H104,0),ROUND(H70/H103,0)+ROUND(H71/H104,0))</f>
        <v>217</v>
      </c>
      <c r="I100" s="803">
        <f>IF($C$1=$U$14,(ROUND(Demand!I117/I103,0)+ROUND(Demand!I118/I103,0)+ROUND(Demand!I119/I103,0)+ROUND(Demand!I120/I103,0)+ROUND(Demand!I121/I103,0)+ROUND(Demand!I122/I103,0)+ROUND(Demand!I123/I103,0)+ROUND(Demand!I124/I103,0)+ROUND(Demand!I125/I103,0))+ROUND(Demand!I129/I104,0)+ROUND(Demand!I130/I104,0)+ROUND(Demand!I131/I104,0)+ROUND(Demand!I132/I104,0)+ROUND(Demand!I133/I104,0)+ROUND(Demand!I134/I104,0)+ROUND(Demand!I135/I104,0)+ROUND(Demand!I136/I104,0)+ROUND(Demand!I137/I104,0),ROUND(I70/I103,0)+ROUND(I71/I104,0))</f>
        <v>217</v>
      </c>
    </row>
    <row r="101" spans="1:9" x14ac:dyDescent="0.2">
      <c r="A101" s="586"/>
      <c r="B101" s="804" t="s">
        <v>416</v>
      </c>
      <c r="C101" s="586"/>
      <c r="D101" s="805">
        <f>D98+D99</f>
        <v>30.515625</v>
      </c>
      <c r="E101" s="805">
        <f t="shared" ref="E101:I101" si="29">E98+E99</f>
        <v>30.515625</v>
      </c>
      <c r="F101" s="805">
        <f t="shared" si="29"/>
        <v>30.65625</v>
      </c>
      <c r="G101" s="805">
        <f t="shared" si="29"/>
        <v>30.9375</v>
      </c>
      <c r="H101" s="805">
        <f t="shared" si="29"/>
        <v>30.515625</v>
      </c>
      <c r="I101" s="805">
        <f t="shared" si="29"/>
        <v>30.515625</v>
      </c>
    </row>
    <row r="102" spans="1:9" x14ac:dyDescent="0.2">
      <c r="A102" s="586"/>
      <c r="B102" s="804" t="s">
        <v>791</v>
      </c>
      <c r="C102" s="801"/>
      <c r="D102" s="581">
        <v>8</v>
      </c>
      <c r="E102" s="641">
        <v>8</v>
      </c>
      <c r="F102" s="641">
        <v>8</v>
      </c>
      <c r="G102" s="641">
        <v>8</v>
      </c>
      <c r="H102" s="641">
        <v>8</v>
      </c>
      <c r="I102" s="641">
        <v>8</v>
      </c>
    </row>
    <row r="103" spans="1:9" x14ac:dyDescent="0.2">
      <c r="A103" s="586"/>
      <c r="B103" s="804" t="s">
        <v>655</v>
      </c>
      <c r="C103" s="801"/>
      <c r="D103" s="581">
        <v>25</v>
      </c>
      <c r="E103" s="641">
        <v>25</v>
      </c>
      <c r="F103" s="641">
        <v>25</v>
      </c>
      <c r="G103" s="641">
        <v>25</v>
      </c>
      <c r="H103" s="641">
        <v>25</v>
      </c>
      <c r="I103" s="641">
        <v>25</v>
      </c>
    </row>
    <row r="104" spans="1:9" x14ac:dyDescent="0.2">
      <c r="A104" s="586"/>
      <c r="B104" s="804" t="s">
        <v>656</v>
      </c>
      <c r="C104" s="801"/>
      <c r="D104" s="581">
        <v>10</v>
      </c>
      <c r="E104" s="641">
        <v>10</v>
      </c>
      <c r="F104" s="641">
        <v>10</v>
      </c>
      <c r="G104" s="641">
        <v>10</v>
      </c>
      <c r="H104" s="641">
        <v>10</v>
      </c>
      <c r="I104" s="641">
        <v>10</v>
      </c>
    </row>
    <row r="105" spans="1:9" x14ac:dyDescent="0.2">
      <c r="A105" s="586"/>
      <c r="B105" s="804" t="s">
        <v>790</v>
      </c>
      <c r="C105" s="801"/>
      <c r="D105" s="581">
        <v>8</v>
      </c>
      <c r="E105" s="641">
        <v>8</v>
      </c>
      <c r="F105" s="641">
        <v>8</v>
      </c>
      <c r="G105" s="641">
        <v>8</v>
      </c>
      <c r="H105" s="641">
        <v>8</v>
      </c>
      <c r="I105" s="641">
        <v>8</v>
      </c>
    </row>
    <row r="106" spans="1:9" x14ac:dyDescent="0.2">
      <c r="A106" s="586"/>
      <c r="B106" s="812" t="s">
        <v>538</v>
      </c>
      <c r="C106" s="586"/>
      <c r="D106" s="813">
        <f>SUM(D108:D112)</f>
        <v>254166669.65777999</v>
      </c>
      <c r="E106" s="813">
        <f>SUM(E108:E112)</f>
        <v>254166669.65777999</v>
      </c>
      <c r="F106" s="813">
        <f t="shared" ref="F106:I106" si="30">SUM(F108:F112)</f>
        <v>267056487.56792775</v>
      </c>
      <c r="G106" s="813">
        <f t="shared" si="30"/>
        <v>280526470.02855408</v>
      </c>
      <c r="H106" s="813">
        <f t="shared" si="30"/>
        <v>254166669.65777999</v>
      </c>
      <c r="I106" s="813">
        <f t="shared" si="30"/>
        <v>254166669.65777999</v>
      </c>
    </row>
    <row r="107" spans="1:9" x14ac:dyDescent="0.2">
      <c r="A107" s="586"/>
      <c r="B107" s="814" t="s">
        <v>652</v>
      </c>
      <c r="C107" s="586"/>
      <c r="D107" s="815">
        <f>IF($C$1=$U$14,GenAssumptions!D115,ROUNDUP(D70/GenAssumptions!D60,0))</f>
        <v>63.448330749354007</v>
      </c>
      <c r="E107" s="815">
        <f>IF($C$1=$U$14,GenAssumptions!E115,ROUNDUP(E70/GenAssumptions!E60,0))</f>
        <v>63.448330749354007</v>
      </c>
      <c r="F107" s="815">
        <f>IF($C$1=$U$14,GenAssumptions!F115,ROUNDUP(F70/GenAssumptions!F60,0))</f>
        <v>64.082811369509045</v>
      </c>
      <c r="G107" s="815">
        <f>IF($C$1=$U$14,GenAssumptions!G115,ROUNDUP(G70/GenAssumptions!G60,0))</f>
        <v>64.723652024117143</v>
      </c>
      <c r="H107" s="815">
        <f>IF($C$1=$U$14,GenAssumptions!H115,ROUNDUP(H70/GenAssumptions!H60,0))</f>
        <v>63.448330749354007</v>
      </c>
      <c r="I107" s="815">
        <f>IF($C$1=$U$14,GenAssumptions!I115,ROUNDUP(I70/GenAssumptions!I60,0))</f>
        <v>63.448330749354007</v>
      </c>
    </row>
    <row r="108" spans="1:9" x14ac:dyDescent="0.2">
      <c r="A108" s="586"/>
      <c r="B108" s="814" t="s">
        <v>604</v>
      </c>
      <c r="C108" s="586"/>
      <c r="D108" s="816">
        <f>GenAssumptions!D52*D70</f>
        <v>85940500.645999998</v>
      </c>
      <c r="E108" s="816">
        <f>GenAssumptions!E52*E70</f>
        <v>85940500.645999998</v>
      </c>
      <c r="F108" s="816">
        <f>GenAssumptions!F52*F70</f>
        <v>91660700.368997782</v>
      </c>
      <c r="G108" s="816">
        <f>GenAssumptions!G52*G70</f>
        <v>97576481.970812902</v>
      </c>
      <c r="H108" s="816">
        <f>GenAssumptions!H52*H70</f>
        <v>85940500.645999998</v>
      </c>
      <c r="I108" s="816">
        <f>GenAssumptions!I52*I70</f>
        <v>85940500.645999998</v>
      </c>
    </row>
    <row r="109" spans="1:9" x14ac:dyDescent="0.2">
      <c r="A109" s="586"/>
      <c r="B109" s="814" t="s">
        <v>737</v>
      </c>
      <c r="C109" s="586"/>
      <c r="D109" s="816">
        <f>D70*D76*GenAssumptions!D41*GenAssumptions!D45*GenAssumptions!D49</f>
        <v>67996879.631999999</v>
      </c>
      <c r="E109" s="816">
        <f>E70*E76*GenAssumptions!E41*GenAssumptions!E45*GenAssumptions!E49</f>
        <v>67996879.631999999</v>
      </c>
      <c r="F109" s="816">
        <f>F70*F76*GenAssumptions!F41*GenAssumptions!F45*GenAssumptions!F49</f>
        <v>68676848.42832002</v>
      </c>
      <c r="G109" s="816">
        <f>G70*G76*GenAssumptions!G41*GenAssumptions!G45*GenAssumptions!G49</f>
        <v>69363616.912603229</v>
      </c>
      <c r="H109" s="816">
        <f>H70*H76*GenAssumptions!H41*GenAssumptions!H45*GenAssumptions!H49</f>
        <v>67996879.631999999</v>
      </c>
      <c r="I109" s="816">
        <f>I70*I76*GenAssumptions!I41*GenAssumptions!I45*GenAssumptions!I49</f>
        <v>67996879.631999999</v>
      </c>
    </row>
    <row r="110" spans="1:9" x14ac:dyDescent="0.2">
      <c r="A110" s="586"/>
      <c r="B110" s="814" t="s">
        <v>605</v>
      </c>
      <c r="C110" s="586"/>
      <c r="D110" s="816">
        <f>GenAssumptions!D69*PED!D70</f>
        <v>3210963.7603999996</v>
      </c>
      <c r="E110" s="816">
        <f>GenAssumptions!E69*PED!E70</f>
        <v>3210963.7603999996</v>
      </c>
      <c r="F110" s="816">
        <f>GenAssumptions!F69*PED!F70</f>
        <v>3243073.398004001</v>
      </c>
      <c r="G110" s="816">
        <f>GenAssumptions!G69*PED!G70</f>
        <v>3275504.1319840406</v>
      </c>
      <c r="H110" s="816">
        <f>GenAssumptions!H69*PED!H70</f>
        <v>3210963.7603999996</v>
      </c>
      <c r="I110" s="816">
        <f>GenAssumptions!I69*PED!I70</f>
        <v>3210963.7603999996</v>
      </c>
    </row>
    <row r="111" spans="1:9" x14ac:dyDescent="0.2">
      <c r="A111" s="586"/>
      <c r="B111" s="814" t="s">
        <v>375</v>
      </c>
      <c r="C111" s="586"/>
      <c r="D111" s="816">
        <f>D70*D73*GenAssumptions!D89</f>
        <v>8782930.2858000007</v>
      </c>
      <c r="E111" s="816">
        <f>E70*E73*GenAssumptions!E89</f>
        <v>8782930.2858000007</v>
      </c>
      <c r="F111" s="816">
        <f>F70*F73*GenAssumptions!F89</f>
        <v>9367522.1256228499</v>
      </c>
      <c r="G111" s="816">
        <f>G70*G73*GenAssumptions!G89</f>
        <v>9972102.0036105514</v>
      </c>
      <c r="H111" s="816">
        <f>H70*H73*GenAssumptions!H89</f>
        <v>8782930.2858000007</v>
      </c>
      <c r="I111" s="816">
        <f>I70*I73*GenAssumptions!I89</f>
        <v>8782930.2858000007</v>
      </c>
    </row>
    <row r="112" spans="1:9" x14ac:dyDescent="0.2">
      <c r="A112" s="586"/>
      <c r="B112" s="814" t="s">
        <v>603</v>
      </c>
      <c r="C112" s="586"/>
      <c r="D112" s="816">
        <f>GenAssumptions!D94*D70</f>
        <v>88235395.333579987</v>
      </c>
      <c r="E112" s="816">
        <f>GenAssumptions!E94*E70</f>
        <v>88235395.333579987</v>
      </c>
      <c r="F112" s="816">
        <f>GenAssumptions!F94*F70</f>
        <v>94108343.246983111</v>
      </c>
      <c r="G112" s="816">
        <f>GenAssumptions!G94*G70</f>
        <v>100338765.00954334</v>
      </c>
      <c r="H112" s="816">
        <f>GenAssumptions!H94*H70</f>
        <v>88235395.333579987</v>
      </c>
      <c r="I112" s="816">
        <f>GenAssumptions!I94*I70</f>
        <v>88235395.333579987</v>
      </c>
    </row>
    <row r="113" spans="1:10" x14ac:dyDescent="0.2">
      <c r="A113" s="586"/>
      <c r="B113" s="812" t="s">
        <v>544</v>
      </c>
      <c r="C113" s="586"/>
      <c r="D113" s="813">
        <f>SUM(D115:D119)</f>
        <v>1078210937.7063749</v>
      </c>
      <c r="E113" s="813">
        <f>SUM(E115:E119)</f>
        <v>1078210937.7063749</v>
      </c>
      <c r="F113" s="813">
        <f t="shared" ref="F113:I113" si="31">SUM(F115:F119)</f>
        <v>1138212599.7378755</v>
      </c>
      <c r="G113" s="813">
        <f t="shared" si="31"/>
        <v>1200561890.6429772</v>
      </c>
      <c r="H113" s="813">
        <f t="shared" si="31"/>
        <v>1078210937.7063749</v>
      </c>
      <c r="I113" s="813">
        <f t="shared" si="31"/>
        <v>1078210937.7063749</v>
      </c>
    </row>
    <row r="114" spans="1:10" x14ac:dyDescent="0.2">
      <c r="A114" s="586"/>
      <c r="B114" s="814" t="s">
        <v>652</v>
      </c>
      <c r="C114" s="586"/>
      <c r="D114" s="815">
        <f>IF($C$1=$U$14,GenAssumptions!D128,ROUNDUP(D71/GenAssumptions!D61,0))</f>
        <v>157.40066666666667</v>
      </c>
      <c r="E114" s="815">
        <f>IF($C$1=$U$14,GenAssumptions!E128,ROUNDUP(E71/GenAssumptions!E61,0))</f>
        <v>157.40066666666667</v>
      </c>
      <c r="F114" s="815">
        <f>IF($C$1=$U$14,GenAssumptions!F128,ROUNDUP(F71/GenAssumptions!F61,0))</f>
        <v>158.97466666666668</v>
      </c>
      <c r="G114" s="815">
        <f>IF($C$1=$U$14,GenAssumptions!G128,ROUNDUP(G71/GenAssumptions!G61,0))</f>
        <v>160.56444444444443</v>
      </c>
      <c r="H114" s="815">
        <f>IF($C$1=$U$14,GenAssumptions!H128,ROUNDUP(H71/GenAssumptions!H61,0))</f>
        <v>157.40066666666667</v>
      </c>
      <c r="I114" s="815">
        <f>IF($C$1=$U$14,GenAssumptions!I128,ROUNDUP(I71/GenAssumptions!I61,0))</f>
        <v>157.40066666666667</v>
      </c>
    </row>
    <row r="115" spans="1:10" x14ac:dyDescent="0.2">
      <c r="A115" s="586"/>
      <c r="B115" s="814" t="s">
        <v>604</v>
      </c>
      <c r="C115" s="586"/>
      <c r="D115" s="816">
        <f>GenAssumptions!D53*PED!D71</f>
        <v>213198549.67949998</v>
      </c>
      <c r="E115" s="816">
        <f>GenAssumptions!E53*PED!E71</f>
        <v>213198549.67949998</v>
      </c>
      <c r="F115" s="816">
        <f>GenAssumptions!F53*PED!F71</f>
        <v>227389045.14616758</v>
      </c>
      <c r="G115" s="816">
        <f>GenAssumptions!G53*PED!G71</f>
        <v>242064734.11990121</v>
      </c>
      <c r="H115" s="816">
        <f>GenAssumptions!H53*PED!H71</f>
        <v>213198549.67949998</v>
      </c>
      <c r="I115" s="816">
        <f>GenAssumptions!I53*PED!I71</f>
        <v>213198549.67949998</v>
      </c>
    </row>
    <row r="116" spans="1:10" x14ac:dyDescent="0.2">
      <c r="A116" s="586"/>
      <c r="B116" s="814" t="s">
        <v>737</v>
      </c>
      <c r="C116" s="586"/>
      <c r="D116" s="816">
        <f>D71*D77*GenAssumptions!D42*GenAssumptions!D46*GenAssumptions!D49</f>
        <v>203990638.89600003</v>
      </c>
      <c r="E116" s="816">
        <f>E71*E77*GenAssumptions!E42*GenAssumptions!E46*GenAssumptions!E49</f>
        <v>203990638.89600003</v>
      </c>
      <c r="F116" s="816">
        <f>F71*F77*GenAssumptions!F42*GenAssumptions!F46*GenAssumptions!F49</f>
        <v>206030545.28496006</v>
      </c>
      <c r="G116" s="816">
        <f>G71*G77*GenAssumptions!G42*GenAssumptions!G46*GenAssumptions!G49</f>
        <v>208090850.7378096</v>
      </c>
      <c r="H116" s="816">
        <f>H71*H77*GenAssumptions!H42*GenAssumptions!H46*GenAssumptions!H49</f>
        <v>203990638.89600003</v>
      </c>
      <c r="I116" s="816">
        <f>I71*I77*GenAssumptions!I42*GenAssumptions!I46*GenAssumptions!I49</f>
        <v>203990638.89600003</v>
      </c>
    </row>
    <row r="117" spans="1:10" x14ac:dyDescent="0.2">
      <c r="A117" s="586"/>
      <c r="B117" s="814" t="s">
        <v>605</v>
      </c>
      <c r="C117" s="586"/>
      <c r="D117" s="816">
        <f>GenAssumptions!D70*PED!D71</f>
        <v>4001899.686675</v>
      </c>
      <c r="E117" s="816">
        <f>GenAssumptions!E70*PED!E71</f>
        <v>4001899.686675</v>
      </c>
      <c r="F117" s="816">
        <f>GenAssumptions!F70*PED!F71</f>
        <v>4041918.683541751</v>
      </c>
      <c r="G117" s="816">
        <f>GenAssumptions!G70*PED!G71</f>
        <v>4082337.8703771676</v>
      </c>
      <c r="H117" s="816">
        <f>GenAssumptions!H70*PED!H71</f>
        <v>4001899.686675</v>
      </c>
      <c r="I117" s="816">
        <f>GenAssumptions!I70*PED!I71</f>
        <v>4001899.686675</v>
      </c>
    </row>
    <row r="118" spans="1:10" x14ac:dyDescent="0.2">
      <c r="A118" s="586"/>
      <c r="B118" s="814" t="s">
        <v>375</v>
      </c>
      <c r="C118" s="586"/>
      <c r="D118" s="816">
        <f>D71*D74*GenAssumptions!D97</f>
        <v>263487908.574</v>
      </c>
      <c r="E118" s="816">
        <f>E71*E74*GenAssumptions!E97</f>
        <v>263487908.574</v>
      </c>
      <c r="F118" s="816">
        <f>F71*F74*GenAssumptions!F97</f>
        <v>281025663.76868552</v>
      </c>
      <c r="G118" s="816">
        <f>G71*G74*GenAssumptions!G97</f>
        <v>299163060.10831642</v>
      </c>
      <c r="H118" s="816">
        <f>H71*H74*GenAssumptions!H97</f>
        <v>263487908.574</v>
      </c>
      <c r="I118" s="816">
        <f>I71*I74*GenAssumptions!I97</f>
        <v>263487908.574</v>
      </c>
    </row>
    <row r="119" spans="1:10" x14ac:dyDescent="0.2">
      <c r="A119" s="586"/>
      <c r="B119" s="814" t="s">
        <v>603</v>
      </c>
      <c r="C119" s="586"/>
      <c r="D119" s="816">
        <f>GenAssumptions!D102*PED!D71</f>
        <v>393531940.87019998</v>
      </c>
      <c r="E119" s="816">
        <f>GenAssumptions!E102*PED!E71</f>
        <v>393531940.87019998</v>
      </c>
      <c r="F119" s="816">
        <f>GenAssumptions!F102*PED!F71</f>
        <v>419725426.85452068</v>
      </c>
      <c r="G119" s="816">
        <f>GenAssumptions!G102*PED!G71</f>
        <v>447160907.80657285</v>
      </c>
      <c r="H119" s="816">
        <f>GenAssumptions!H102*PED!H71</f>
        <v>393531940.87019998</v>
      </c>
      <c r="I119" s="816">
        <f>GenAssumptions!I102*PED!I71</f>
        <v>393531940.87019998</v>
      </c>
    </row>
    <row r="120" spans="1:10" x14ac:dyDescent="0.2">
      <c r="A120" s="586"/>
      <c r="B120" s="814"/>
      <c r="C120" s="586"/>
      <c r="D120" s="586"/>
      <c r="E120" s="586"/>
      <c r="F120" s="586"/>
      <c r="G120" s="586"/>
      <c r="H120" s="586"/>
      <c r="I120" s="586"/>
    </row>
    <row r="121" spans="1:10" x14ac:dyDescent="0.2">
      <c r="A121" s="586"/>
      <c r="B121" s="742" t="s">
        <v>670</v>
      </c>
      <c r="C121" s="586"/>
      <c r="D121" s="586"/>
      <c r="E121" s="586"/>
      <c r="F121" s="586"/>
      <c r="G121" s="586"/>
      <c r="H121" s="586"/>
      <c r="I121" s="586"/>
    </row>
    <row r="122" spans="1:10" x14ac:dyDescent="0.2">
      <c r="A122" s="586"/>
      <c r="B122" s="814" t="s">
        <v>661</v>
      </c>
      <c r="C122" s="586"/>
      <c r="D122" s="581">
        <v>1</v>
      </c>
      <c r="E122" s="641">
        <v>1</v>
      </c>
      <c r="F122" s="641">
        <v>1</v>
      </c>
      <c r="G122" s="641">
        <v>1</v>
      </c>
      <c r="H122" s="641">
        <v>1</v>
      </c>
      <c r="I122" s="641">
        <v>1</v>
      </c>
    </row>
    <row r="123" spans="1:10" x14ac:dyDescent="0.2">
      <c r="A123" s="586"/>
      <c r="B123" s="814" t="s">
        <v>662</v>
      </c>
      <c r="C123" s="586"/>
      <c r="D123" s="817">
        <f>SUM(D47:D49)/PED!D124</f>
        <v>21.463661500000001</v>
      </c>
      <c r="E123" s="817">
        <f>SUM(E47:E49)/PED!E124</f>
        <v>21.463661500000001</v>
      </c>
      <c r="F123" s="817">
        <f>SUM(F47:F49)/PED!F124</f>
        <v>21.678298115</v>
      </c>
      <c r="G123" s="817">
        <f>SUM(G47:G49)/PED!G124</f>
        <v>21.895081096149998</v>
      </c>
      <c r="H123" s="817">
        <f>SUM(H47:H49)/PED!H124</f>
        <v>21.463661500000001</v>
      </c>
      <c r="I123" s="817">
        <f>SUM(I47:I49)/PED!I124</f>
        <v>21.463661500000001</v>
      </c>
    </row>
    <row r="124" spans="1:10" x14ac:dyDescent="0.2">
      <c r="A124" s="586"/>
      <c r="B124" s="818" t="s">
        <v>666</v>
      </c>
      <c r="C124" s="586"/>
      <c r="D124" s="581">
        <v>20000</v>
      </c>
      <c r="E124" s="641">
        <v>20000</v>
      </c>
      <c r="F124" s="641">
        <v>20000</v>
      </c>
      <c r="G124" s="641">
        <v>20000</v>
      </c>
      <c r="H124" s="641">
        <v>20000</v>
      </c>
      <c r="I124" s="641">
        <v>20000</v>
      </c>
      <c r="J124" s="847"/>
    </row>
    <row r="125" spans="1:10" x14ac:dyDescent="0.2">
      <c r="A125" s="586"/>
      <c r="B125" s="814" t="s">
        <v>663</v>
      </c>
      <c r="C125" s="586"/>
      <c r="D125" s="819">
        <v>1000000</v>
      </c>
      <c r="E125" s="819">
        <v>1000000</v>
      </c>
      <c r="F125" s="819">
        <v>1000000</v>
      </c>
      <c r="G125" s="819">
        <v>1000000</v>
      </c>
      <c r="H125" s="819">
        <v>1000000</v>
      </c>
      <c r="I125" s="819">
        <v>1000000</v>
      </c>
      <c r="J125" s="847"/>
    </row>
    <row r="126" spans="1:10" x14ac:dyDescent="0.2">
      <c r="A126" s="586"/>
      <c r="B126" s="814" t="s">
        <v>664</v>
      </c>
      <c r="C126" s="586"/>
      <c r="D126" s="816">
        <f>DISTRICT!D58*D127</f>
        <v>280000</v>
      </c>
      <c r="E126" s="816">
        <f>DISTRICT!E58*E127</f>
        <v>280000</v>
      </c>
      <c r="F126" s="816">
        <f>DISTRICT!F58*F127</f>
        <v>295680</v>
      </c>
      <c r="G126" s="816">
        <f>DISTRICT!G58*G127</f>
        <v>311646.71999999997</v>
      </c>
      <c r="H126" s="816">
        <f>DISTRICT!H58*H127</f>
        <v>280000</v>
      </c>
      <c r="I126" s="816">
        <f>DISTRICT!I58*I127</f>
        <v>280000</v>
      </c>
    </row>
    <row r="127" spans="1:10" x14ac:dyDescent="0.2">
      <c r="A127" s="586"/>
      <c r="B127" s="818" t="s">
        <v>739</v>
      </c>
      <c r="C127" s="586"/>
      <c r="D127" s="819">
        <v>5000</v>
      </c>
      <c r="E127" s="819">
        <v>5000</v>
      </c>
      <c r="F127" s="816">
        <f>E127*(1+GenAssumptions!F6)</f>
        <v>5280</v>
      </c>
      <c r="G127" s="816">
        <f>F127*(1+GenAssumptions!G6)</f>
        <v>5565.12</v>
      </c>
      <c r="H127" s="711">
        <v>5000</v>
      </c>
      <c r="I127" s="711">
        <v>5000</v>
      </c>
      <c r="J127" s="847"/>
    </row>
    <row r="128" spans="1:10" x14ac:dyDescent="0.2">
      <c r="A128" s="586"/>
      <c r="B128" s="814"/>
      <c r="C128" s="586"/>
      <c r="D128" s="586"/>
      <c r="E128" s="586"/>
      <c r="F128" s="586"/>
      <c r="G128" s="586"/>
      <c r="H128" s="586"/>
      <c r="I128" s="586"/>
    </row>
    <row r="129" spans="1:11" s="579" customFormat="1" x14ac:dyDescent="0.2">
      <c r="A129" s="558"/>
      <c r="B129" s="820" t="s">
        <v>738</v>
      </c>
      <c r="D129" s="558"/>
      <c r="E129" s="558"/>
      <c r="F129" s="558"/>
      <c r="G129" s="558"/>
      <c r="H129" s="558"/>
      <c r="I129" s="558"/>
    </row>
    <row r="130" spans="1:11" x14ac:dyDescent="0.2">
      <c r="A130" s="586"/>
      <c r="B130" s="534" t="s">
        <v>628</v>
      </c>
      <c r="D130" s="581">
        <v>1</v>
      </c>
      <c r="E130" s="641">
        <v>1</v>
      </c>
      <c r="F130" s="641">
        <v>1</v>
      </c>
      <c r="G130" s="641">
        <v>1</v>
      </c>
      <c r="H130" s="641">
        <v>1</v>
      </c>
      <c r="I130" s="641">
        <v>1</v>
      </c>
    </row>
    <row r="131" spans="1:11" x14ac:dyDescent="0.2">
      <c r="A131" s="586"/>
      <c r="B131" s="534" t="s">
        <v>629</v>
      </c>
      <c r="D131" s="581">
        <v>3</v>
      </c>
      <c r="E131" s="641">
        <v>3</v>
      </c>
      <c r="F131" s="641">
        <v>3</v>
      </c>
      <c r="G131" s="641">
        <v>3</v>
      </c>
      <c r="H131" s="641">
        <v>3</v>
      </c>
      <c r="I131" s="641">
        <v>3</v>
      </c>
    </row>
    <row r="132" spans="1:11" x14ac:dyDescent="0.2">
      <c r="A132" s="586"/>
      <c r="B132" s="534" t="s">
        <v>644</v>
      </c>
      <c r="D132" s="581">
        <v>2</v>
      </c>
      <c r="E132" s="641">
        <v>2</v>
      </c>
      <c r="F132" s="641">
        <v>2</v>
      </c>
      <c r="G132" s="641">
        <v>2</v>
      </c>
      <c r="H132" s="641">
        <v>2</v>
      </c>
      <c r="I132" s="641">
        <v>2</v>
      </c>
    </row>
    <row r="133" spans="1:11" x14ac:dyDescent="0.2">
      <c r="A133" s="586"/>
      <c r="B133" s="534" t="s">
        <v>626</v>
      </c>
      <c r="D133" s="581">
        <v>2</v>
      </c>
      <c r="E133" s="641">
        <v>2</v>
      </c>
      <c r="F133" s="641">
        <v>2</v>
      </c>
      <c r="G133" s="641">
        <v>2</v>
      </c>
      <c r="H133" s="641">
        <v>2</v>
      </c>
      <c r="I133" s="641">
        <v>2</v>
      </c>
    </row>
    <row r="134" spans="1:11" x14ac:dyDescent="0.2">
      <c r="A134" s="586"/>
      <c r="B134" s="534" t="s">
        <v>631</v>
      </c>
      <c r="D134" s="732">
        <f t="shared" ref="D134:I134" si="32">D136*(D137+D138+D139)</f>
        <v>9600000</v>
      </c>
      <c r="E134" s="732">
        <f t="shared" si="32"/>
        <v>9600000</v>
      </c>
      <c r="F134" s="732">
        <f t="shared" si="32"/>
        <v>9600000</v>
      </c>
      <c r="G134" s="732">
        <f t="shared" si="32"/>
        <v>9600000</v>
      </c>
      <c r="H134" s="732">
        <f t="shared" si="32"/>
        <v>9600000</v>
      </c>
      <c r="I134" s="732">
        <f t="shared" si="32"/>
        <v>9600000</v>
      </c>
    </row>
    <row r="135" spans="1:11" x14ac:dyDescent="0.2">
      <c r="A135" s="586"/>
      <c r="B135" s="534"/>
      <c r="D135" s="733"/>
      <c r="E135" s="558" t="s">
        <v>767</v>
      </c>
      <c r="F135" s="586"/>
      <c r="G135" s="586"/>
      <c r="H135" s="586"/>
      <c r="I135" s="586"/>
    </row>
    <row r="136" spans="1:11" x14ac:dyDescent="0.2">
      <c r="A136" s="586"/>
      <c r="B136" s="821" t="s">
        <v>632</v>
      </c>
      <c r="D136" s="734">
        <v>12</v>
      </c>
      <c r="E136" s="822">
        <f>'Totals and Scenarios'!E65</f>
        <v>12</v>
      </c>
      <c r="F136" s="822">
        <f>'Totals and Scenarios'!F65</f>
        <v>12</v>
      </c>
      <c r="G136" s="822">
        <f>'Totals and Scenarios'!G65</f>
        <v>12</v>
      </c>
      <c r="H136" s="822">
        <f>'Totals and Scenarios'!H65</f>
        <v>12</v>
      </c>
      <c r="I136" s="822">
        <f>'Totals and Scenarios'!I65</f>
        <v>12</v>
      </c>
      <c r="K136" s="525">
        <v>0</v>
      </c>
    </row>
    <row r="137" spans="1:11" x14ac:dyDescent="0.2">
      <c r="A137" s="586"/>
      <c r="B137" s="821" t="s">
        <v>635</v>
      </c>
      <c r="D137" s="735">
        <v>250000</v>
      </c>
      <c r="E137" s="711">
        <v>250000</v>
      </c>
      <c r="F137" s="711">
        <v>250000</v>
      </c>
      <c r="G137" s="711">
        <v>250000</v>
      </c>
      <c r="H137" s="711">
        <v>250000</v>
      </c>
      <c r="I137" s="711">
        <v>250000</v>
      </c>
    </row>
    <row r="138" spans="1:11" x14ac:dyDescent="0.2">
      <c r="A138" s="586"/>
      <c r="B138" s="821" t="s">
        <v>634</v>
      </c>
      <c r="D138" s="735">
        <v>500000</v>
      </c>
      <c r="E138" s="711">
        <v>500000</v>
      </c>
      <c r="F138" s="711">
        <v>500000</v>
      </c>
      <c r="G138" s="711">
        <v>500000</v>
      </c>
      <c r="H138" s="711">
        <v>500000</v>
      </c>
      <c r="I138" s="711">
        <v>500000</v>
      </c>
    </row>
    <row r="139" spans="1:11" x14ac:dyDescent="0.2">
      <c r="A139" s="586"/>
      <c r="B139" s="821" t="s">
        <v>633</v>
      </c>
      <c r="D139" s="736">
        <v>50000</v>
      </c>
      <c r="E139" s="711">
        <v>50000</v>
      </c>
      <c r="F139" s="711">
        <v>50000</v>
      </c>
      <c r="G139" s="711">
        <v>50000</v>
      </c>
      <c r="H139" s="711">
        <v>50000</v>
      </c>
      <c r="I139" s="711">
        <v>50000</v>
      </c>
    </row>
    <row r="140" spans="1:11" x14ac:dyDescent="0.2">
      <c r="A140" s="586"/>
      <c r="B140" s="821"/>
      <c r="D140" s="586"/>
      <c r="E140" s="586"/>
      <c r="F140" s="586"/>
      <c r="G140" s="586"/>
      <c r="H140" s="586"/>
      <c r="I140" s="586"/>
    </row>
    <row r="141" spans="1:11" x14ac:dyDescent="0.2">
      <c r="A141" s="586"/>
      <c r="B141" s="742" t="s">
        <v>774</v>
      </c>
      <c r="C141" s="586"/>
      <c r="D141" s="586"/>
      <c r="E141" s="586"/>
      <c r="F141" s="586"/>
      <c r="G141" s="586"/>
      <c r="H141" s="586"/>
      <c r="I141" s="586"/>
    </row>
    <row r="142" spans="1:11" x14ac:dyDescent="0.2">
      <c r="A142" s="586"/>
      <c r="B142" s="823" t="s">
        <v>770</v>
      </c>
      <c r="C142" s="586"/>
      <c r="D142" s="824">
        <f xml:space="preserve"> ROUNDUP(240/GenAssumptions!D45,0)</f>
        <v>48</v>
      </c>
      <c r="E142" s="824">
        <f xml:space="preserve"> ROUNDUP(240/GenAssumptions!E45,0)</f>
        <v>48</v>
      </c>
      <c r="F142" s="824">
        <f xml:space="preserve"> ROUNDUP(240/GenAssumptions!F45,0)</f>
        <v>48</v>
      </c>
      <c r="G142" s="824">
        <f xml:space="preserve"> ROUNDUP(240/GenAssumptions!G45,0)</f>
        <v>48</v>
      </c>
      <c r="H142" s="824">
        <f xml:space="preserve"> ROUNDUP(240/GenAssumptions!H45,0)</f>
        <v>48</v>
      </c>
      <c r="I142" s="824">
        <f xml:space="preserve"> ROUNDUP(240/GenAssumptions!I45,0)</f>
        <v>48</v>
      </c>
    </row>
    <row r="143" spans="1:11" x14ac:dyDescent="0.2">
      <c r="B143" s="823" t="s">
        <v>771</v>
      </c>
      <c r="D143" s="824">
        <f xml:space="preserve"> ROUNDUP(240/GenAssumptions!D46,0)</f>
        <v>12</v>
      </c>
      <c r="E143" s="824">
        <f xml:space="preserve"> ROUNDUP(240/GenAssumptions!E46,0)</f>
        <v>12</v>
      </c>
      <c r="F143" s="824">
        <f xml:space="preserve"> ROUNDUP(240/GenAssumptions!F46,0)</f>
        <v>12</v>
      </c>
      <c r="G143" s="824">
        <f xml:space="preserve"> ROUNDUP(240/GenAssumptions!G46,0)</f>
        <v>12</v>
      </c>
      <c r="H143" s="824">
        <f xml:space="preserve"> ROUNDUP(240/GenAssumptions!H46,0)</f>
        <v>12</v>
      </c>
      <c r="I143" s="824">
        <f xml:space="preserve"> ROUNDUP(240/GenAssumptions!I46,0)</f>
        <v>12</v>
      </c>
    </row>
    <row r="144" spans="1:11" x14ac:dyDescent="0.2">
      <c r="A144" s="586"/>
      <c r="B144" s="823" t="s">
        <v>783</v>
      </c>
      <c r="C144" s="586"/>
      <c r="D144" s="581">
        <v>12</v>
      </c>
      <c r="E144" s="641">
        <v>12</v>
      </c>
      <c r="F144" s="641">
        <v>12</v>
      </c>
      <c r="G144" s="641">
        <v>12</v>
      </c>
      <c r="H144" s="641">
        <v>12</v>
      </c>
      <c r="I144" s="641">
        <v>12</v>
      </c>
    </row>
    <row r="145" spans="1:9" x14ac:dyDescent="0.2">
      <c r="A145" s="586"/>
      <c r="B145" s="823" t="s">
        <v>782</v>
      </c>
      <c r="C145" s="586"/>
      <c r="D145" s="581">
        <v>6</v>
      </c>
      <c r="E145" s="641">
        <v>6</v>
      </c>
      <c r="F145" s="641">
        <v>6</v>
      </c>
      <c r="G145" s="641">
        <v>6</v>
      </c>
      <c r="H145" s="641">
        <v>6</v>
      </c>
      <c r="I145" s="641">
        <v>6</v>
      </c>
    </row>
    <row r="146" spans="1:9" x14ac:dyDescent="0.2">
      <c r="A146" s="586"/>
      <c r="B146" s="825" t="s">
        <v>780</v>
      </c>
      <c r="C146" s="586"/>
      <c r="D146" s="826">
        <f>ROUND((D70*(1-D73))/D142/D144,0)+ROUND((D71*(1-D74))/D143/D144,0)</f>
        <v>3</v>
      </c>
      <c r="E146" s="826">
        <f t="shared" ref="E146:I146" si="33">ROUND((E70*(1-E73))/E142/E144,0)+ROUND((E71*(1-E74))/E143/E144,0)</f>
        <v>3</v>
      </c>
      <c r="F146" s="826">
        <f t="shared" si="33"/>
        <v>3</v>
      </c>
      <c r="G146" s="826">
        <f t="shared" si="33"/>
        <v>3</v>
      </c>
      <c r="H146" s="826">
        <f t="shared" si="33"/>
        <v>3</v>
      </c>
      <c r="I146" s="826">
        <f t="shared" si="33"/>
        <v>3</v>
      </c>
    </row>
    <row r="147" spans="1:9" x14ac:dyDescent="0.2">
      <c r="A147" s="586"/>
      <c r="B147" s="825" t="s">
        <v>781</v>
      </c>
      <c r="C147" s="586"/>
      <c r="D147" s="827">
        <f>ROUND((D70*D73)/D142/D145,0)+ROUND((D71*D74)/D143/D145,0)</f>
        <v>21</v>
      </c>
      <c r="E147" s="827">
        <f t="shared" ref="E147:I147" si="34">ROUND((E70*E73)/E142/E145,0)+ROUND((E71*E74)/E143/E145,0)</f>
        <v>21</v>
      </c>
      <c r="F147" s="827">
        <f t="shared" si="34"/>
        <v>21</v>
      </c>
      <c r="G147" s="827">
        <f t="shared" si="34"/>
        <v>21</v>
      </c>
      <c r="H147" s="827">
        <f t="shared" si="34"/>
        <v>21</v>
      </c>
      <c r="I147" s="827">
        <f t="shared" si="34"/>
        <v>21</v>
      </c>
    </row>
    <row r="148" spans="1:9" x14ac:dyDescent="0.2">
      <c r="B148" s="825" t="s">
        <v>773</v>
      </c>
      <c r="D148" s="542">
        <v>24000000</v>
      </c>
      <c r="E148" s="711">
        <v>24000000</v>
      </c>
      <c r="F148" s="828">
        <f>E148*(1+GenAssumptions!F6)</f>
        <v>25344000</v>
      </c>
      <c r="G148" s="828">
        <f>F148*(1+GenAssumptions!G6)</f>
        <v>26712576</v>
      </c>
      <c r="H148" s="711">
        <v>24000000</v>
      </c>
      <c r="I148" s="711">
        <v>24000000</v>
      </c>
    </row>
    <row r="149" spans="1:9" x14ac:dyDescent="0.2">
      <c r="B149" s="825" t="s">
        <v>772</v>
      </c>
      <c r="D149" s="542">
        <v>30000000</v>
      </c>
      <c r="E149" s="711">
        <v>30000000</v>
      </c>
      <c r="F149" s="828">
        <f>E149*(1+GenAssumptions!F7)</f>
        <v>31980000</v>
      </c>
      <c r="G149" s="828">
        <f>F149*(1+GenAssumptions!G7)</f>
        <v>34026720</v>
      </c>
      <c r="H149" s="711">
        <v>30000000</v>
      </c>
      <c r="I149" s="711">
        <v>30000000</v>
      </c>
    </row>
    <row r="155" spans="1:9" ht="15" hidden="1" x14ac:dyDescent="0.25">
      <c r="A155" s="683" t="s">
        <v>280</v>
      </c>
      <c r="B155" s="829"/>
      <c r="C155" s="829"/>
      <c r="D155" s="829"/>
    </row>
    <row r="156" spans="1:9" hidden="1" x14ac:dyDescent="0.2">
      <c r="A156" s="829"/>
    </row>
    <row r="157" spans="1:9" hidden="1" x14ac:dyDescent="0.2">
      <c r="A157" s="829"/>
    </row>
    <row r="158" spans="1:9" hidden="1" x14ac:dyDescent="0.2">
      <c r="A158" s="829"/>
    </row>
    <row r="159" spans="1:9" hidden="1" x14ac:dyDescent="0.2">
      <c r="A159" s="829"/>
    </row>
    <row r="160" spans="1:9" hidden="1" x14ac:dyDescent="0.2">
      <c r="A160" s="829"/>
    </row>
    <row r="161" spans="1:9" hidden="1" x14ac:dyDescent="0.2">
      <c r="A161" s="829"/>
    </row>
    <row r="162" spans="1:9" hidden="1" x14ac:dyDescent="0.2">
      <c r="A162" s="829"/>
    </row>
    <row r="163" spans="1:9" hidden="1" x14ac:dyDescent="0.2">
      <c r="A163" s="829"/>
      <c r="B163" s="829"/>
      <c r="C163" s="829"/>
      <c r="D163" s="829"/>
    </row>
    <row r="164" spans="1:9" ht="25.5" hidden="1" x14ac:dyDescent="0.2">
      <c r="B164" s="830" t="s">
        <v>296</v>
      </c>
      <c r="C164" s="830"/>
      <c r="D164" s="830"/>
    </row>
    <row r="165" spans="1:9" hidden="1" x14ac:dyDescent="0.2">
      <c r="B165" s="704" t="s">
        <v>297</v>
      </c>
      <c r="C165" s="704"/>
      <c r="D165" s="704"/>
      <c r="E165" s="706" t="e">
        <f>#REF!*#REF!</f>
        <v>#REF!</v>
      </c>
      <c r="F165" s="706"/>
      <c r="G165" s="706"/>
      <c r="H165" s="706" t="e">
        <f>#REF!*#REF!</f>
        <v>#REF!</v>
      </c>
      <c r="I165" s="706" t="e">
        <f>#REF!*#REF!</f>
        <v>#REF!</v>
      </c>
    </row>
    <row r="166" spans="1:9" hidden="1" x14ac:dyDescent="0.2">
      <c r="B166" s="704" t="s">
        <v>298</v>
      </c>
      <c r="C166" s="704"/>
      <c r="D166" s="704"/>
      <c r="E166" s="706" t="e">
        <f>#REF!+E165</f>
        <v>#REF!</v>
      </c>
      <c r="F166" s="706"/>
      <c r="G166" s="706"/>
      <c r="H166" s="706" t="e">
        <f>#REF!+H165</f>
        <v>#REF!</v>
      </c>
      <c r="I166" s="706" t="e">
        <f>#REF!+I165</f>
        <v>#REF!</v>
      </c>
    </row>
    <row r="167" spans="1:9" hidden="1" x14ac:dyDescent="0.2"/>
    <row r="168" spans="1:9" hidden="1" x14ac:dyDescent="0.2">
      <c r="B168" s="704"/>
      <c r="C168" s="704"/>
      <c r="D168" s="704"/>
      <c r="E168" s="706"/>
      <c r="F168" s="706"/>
      <c r="G168" s="706"/>
      <c r="H168" s="706"/>
      <c r="I168" s="706"/>
    </row>
    <row r="169" spans="1:9" ht="15" hidden="1" x14ac:dyDescent="0.25">
      <c r="B169" s="683" t="s">
        <v>1</v>
      </c>
      <c r="C169" s="683"/>
      <c r="D169" s="683"/>
    </row>
    <row r="170" spans="1:9" ht="25.5" hidden="1" x14ac:dyDescent="0.2">
      <c r="B170" s="829" t="s">
        <v>299</v>
      </c>
      <c r="C170" s="829"/>
      <c r="D170" s="829"/>
      <c r="E170" s="706" t="e">
        <f>#REF!+#REF!*#REF!+#REF!*#REF!</f>
        <v>#REF!</v>
      </c>
      <c r="F170" s="706"/>
      <c r="G170" s="706"/>
      <c r="H170" s="706" t="e">
        <f>#REF!+#REF!*#REF!+#REF!*#REF!</f>
        <v>#REF!</v>
      </c>
      <c r="I170" s="706" t="e">
        <f>#REF!+#REF!*#REF!+#REF!*#REF!</f>
        <v>#REF!</v>
      </c>
    </row>
    <row r="171" spans="1:9" hidden="1" x14ac:dyDescent="0.2"/>
    <row r="172" spans="1:9" hidden="1" x14ac:dyDescent="0.2"/>
    <row r="173" spans="1:9" hidden="1" x14ac:dyDescent="0.2">
      <c r="B173" s="525" t="s">
        <v>300</v>
      </c>
      <c r="E173" s="706">
        <f>E51/E83</f>
        <v>1.7647058823529411</v>
      </c>
      <c r="F173" s="706"/>
      <c r="G173" s="706"/>
      <c r="H173" s="706">
        <f>H51/H83</f>
        <v>1.7647058823529411</v>
      </c>
      <c r="I173" s="706">
        <f>I51/I83</f>
        <v>1.7647058823529411</v>
      </c>
    </row>
    <row r="174" spans="1:9" hidden="1" x14ac:dyDescent="0.2">
      <c r="B174" s="650" t="s">
        <v>301</v>
      </c>
      <c r="C174" s="650"/>
      <c r="D174" s="650"/>
      <c r="E174" s="707">
        <f>E173*E81</f>
        <v>0</v>
      </c>
      <c r="F174" s="707"/>
      <c r="G174" s="707"/>
      <c r="H174" s="707">
        <f>H173*H81</f>
        <v>0</v>
      </c>
      <c r="I174" s="707">
        <f>I173*I81</f>
        <v>0</v>
      </c>
    </row>
    <row r="175" spans="1:9" hidden="1" x14ac:dyDescent="0.2"/>
  </sheetData>
  <mergeCells count="5">
    <mergeCell ref="E1:G1"/>
    <mergeCell ref="B73:C73"/>
    <mergeCell ref="B74:C74"/>
    <mergeCell ref="B76:C76"/>
    <mergeCell ref="B77:C77"/>
  </mergeCells>
  <conditionalFormatting sqref="E43">
    <cfRule type="expression" dxfId="197" priority="121">
      <formula>E43&lt;$D43</formula>
    </cfRule>
    <cfRule type="expression" dxfId="196" priority="122">
      <formula>E43&gt;$D43</formula>
    </cfRule>
  </conditionalFormatting>
  <conditionalFormatting sqref="F43:I43">
    <cfRule type="expression" dxfId="195" priority="119">
      <formula>F43&lt;$D43</formula>
    </cfRule>
    <cfRule type="expression" dxfId="194" priority="120">
      <formula>F43&gt;$D43</formula>
    </cfRule>
  </conditionalFormatting>
  <conditionalFormatting sqref="E44">
    <cfRule type="expression" dxfId="193" priority="117">
      <formula>E44&lt;$D44</formula>
    </cfRule>
    <cfRule type="expression" dxfId="192" priority="118">
      <formula>E44&gt;$D44</formula>
    </cfRule>
  </conditionalFormatting>
  <conditionalFormatting sqref="F44:I44">
    <cfRule type="expression" dxfId="191" priority="115">
      <formula>F44&lt;$D44</formula>
    </cfRule>
    <cfRule type="expression" dxfId="190" priority="116">
      <formula>F44&gt;$D44</formula>
    </cfRule>
  </conditionalFormatting>
  <conditionalFormatting sqref="E45">
    <cfRule type="expression" dxfId="189" priority="113">
      <formula>E45&lt;$D45</formula>
    </cfRule>
    <cfRule type="expression" dxfId="188" priority="114">
      <formula>E45&gt;$D45</formula>
    </cfRule>
  </conditionalFormatting>
  <conditionalFormatting sqref="F45:I45">
    <cfRule type="expression" dxfId="187" priority="111">
      <formula>F45&lt;$D45</formula>
    </cfRule>
    <cfRule type="expression" dxfId="186" priority="112">
      <formula>F45&gt;$D45</formula>
    </cfRule>
  </conditionalFormatting>
  <conditionalFormatting sqref="E68">
    <cfRule type="expression" dxfId="185" priority="109">
      <formula>E68&lt;$D68</formula>
    </cfRule>
    <cfRule type="expression" dxfId="184" priority="110">
      <formula>E68&gt;$D68</formula>
    </cfRule>
  </conditionalFormatting>
  <conditionalFormatting sqref="F68:I68">
    <cfRule type="expression" dxfId="183" priority="107">
      <formula>F68&lt;$D68</formula>
    </cfRule>
    <cfRule type="expression" dxfId="182" priority="108">
      <formula>F68&gt;$D68</formula>
    </cfRule>
  </conditionalFormatting>
  <conditionalFormatting sqref="E69">
    <cfRule type="expression" dxfId="181" priority="105">
      <formula>E69&lt;$D69</formula>
    </cfRule>
    <cfRule type="expression" dxfId="180" priority="106">
      <formula>E69&gt;$D69</formula>
    </cfRule>
  </conditionalFormatting>
  <conditionalFormatting sqref="F69:I69">
    <cfRule type="expression" dxfId="179" priority="103">
      <formula>F69&lt;$D69</formula>
    </cfRule>
    <cfRule type="expression" dxfId="178" priority="104">
      <formula>F69&gt;$D69</formula>
    </cfRule>
  </conditionalFormatting>
  <conditionalFormatting sqref="E74">
    <cfRule type="expression" dxfId="177" priority="101">
      <formula>E74&lt;$D74</formula>
    </cfRule>
    <cfRule type="expression" dxfId="176" priority="102">
      <formula>E74&gt;$D74</formula>
    </cfRule>
  </conditionalFormatting>
  <conditionalFormatting sqref="F74:I74">
    <cfRule type="expression" dxfId="175" priority="99">
      <formula>F74&lt;$D74</formula>
    </cfRule>
    <cfRule type="expression" dxfId="174" priority="100">
      <formula>F74&gt;$D74</formula>
    </cfRule>
  </conditionalFormatting>
  <conditionalFormatting sqref="E82">
    <cfRule type="expression" dxfId="173" priority="97">
      <formula>E82&lt;$D82</formula>
    </cfRule>
    <cfRule type="expression" dxfId="172" priority="98">
      <formula>E82&gt;$D82</formula>
    </cfRule>
  </conditionalFormatting>
  <conditionalFormatting sqref="F82:I82">
    <cfRule type="expression" dxfId="171" priority="95">
      <formula>F82&lt;$D82</formula>
    </cfRule>
    <cfRule type="expression" dxfId="170" priority="96">
      <formula>F82&gt;$D82</formula>
    </cfRule>
  </conditionalFormatting>
  <conditionalFormatting sqref="E84">
    <cfRule type="expression" dxfId="169" priority="93">
      <formula>E84&lt;$D84</formula>
    </cfRule>
    <cfRule type="expression" dxfId="168" priority="94">
      <formula>E84&gt;$D84</formula>
    </cfRule>
  </conditionalFormatting>
  <conditionalFormatting sqref="F84:I84">
    <cfRule type="expression" dxfId="167" priority="91">
      <formula>F84&lt;$D84</formula>
    </cfRule>
    <cfRule type="expression" dxfId="166" priority="92">
      <formula>F84&gt;$D84</formula>
    </cfRule>
  </conditionalFormatting>
  <conditionalFormatting sqref="E85">
    <cfRule type="expression" dxfId="165" priority="89">
      <formula>E85&lt;$D85</formula>
    </cfRule>
    <cfRule type="expression" dxfId="164" priority="90">
      <formula>E85&gt;$D85</formula>
    </cfRule>
  </conditionalFormatting>
  <conditionalFormatting sqref="F85:I85">
    <cfRule type="expression" dxfId="163" priority="87">
      <formula>F85&lt;$D85</formula>
    </cfRule>
    <cfRule type="expression" dxfId="162" priority="88">
      <formula>F85&gt;$D85</formula>
    </cfRule>
  </conditionalFormatting>
  <conditionalFormatting sqref="E86">
    <cfRule type="expression" dxfId="161" priority="85">
      <formula>E86&lt;$D86</formula>
    </cfRule>
    <cfRule type="expression" dxfId="160" priority="86">
      <formula>E86&gt;$D86</formula>
    </cfRule>
  </conditionalFormatting>
  <conditionalFormatting sqref="F86:I86">
    <cfRule type="expression" dxfId="159" priority="83">
      <formula>F86&lt;$D86</formula>
    </cfRule>
    <cfRule type="expression" dxfId="158" priority="84">
      <formula>F86&gt;$D86</formula>
    </cfRule>
  </conditionalFormatting>
  <conditionalFormatting sqref="E90">
    <cfRule type="expression" dxfId="157" priority="81">
      <formula>E90&lt;$D90</formula>
    </cfRule>
    <cfRule type="expression" dxfId="156" priority="82">
      <formula>E90&gt;$D90</formula>
    </cfRule>
  </conditionalFormatting>
  <conditionalFormatting sqref="F90:I90">
    <cfRule type="expression" dxfId="155" priority="79">
      <formula>F90&lt;$D90</formula>
    </cfRule>
    <cfRule type="expression" dxfId="154" priority="80">
      <formula>F90&gt;$D90</formula>
    </cfRule>
  </conditionalFormatting>
  <conditionalFormatting sqref="E93">
    <cfRule type="expression" dxfId="153" priority="77">
      <formula>E93&lt;$D93</formula>
    </cfRule>
    <cfRule type="expression" dxfId="152" priority="78">
      <formula>E93&gt;$D93</formula>
    </cfRule>
  </conditionalFormatting>
  <conditionalFormatting sqref="F93:I93">
    <cfRule type="expression" dxfId="151" priority="75">
      <formula>F93&lt;$D93</formula>
    </cfRule>
    <cfRule type="expression" dxfId="150" priority="76">
      <formula>F93&gt;$D93</formula>
    </cfRule>
  </conditionalFormatting>
  <conditionalFormatting sqref="E94">
    <cfRule type="expression" dxfId="149" priority="73">
      <formula>E94&lt;$D94</formula>
    </cfRule>
    <cfRule type="expression" dxfId="148" priority="74">
      <formula>E94&gt;$D94</formula>
    </cfRule>
  </conditionalFormatting>
  <conditionalFormatting sqref="E95">
    <cfRule type="expression" dxfId="147" priority="71">
      <formula>E95&lt;$D95</formula>
    </cfRule>
    <cfRule type="expression" dxfId="146" priority="72">
      <formula>E95&gt;$D95</formula>
    </cfRule>
  </conditionalFormatting>
  <conditionalFormatting sqref="H94:I94">
    <cfRule type="expression" dxfId="145" priority="69">
      <formula>H94&lt;$D94</formula>
    </cfRule>
    <cfRule type="expression" dxfId="144" priority="70">
      <formula>H94&gt;$D94</formula>
    </cfRule>
  </conditionalFormatting>
  <conditionalFormatting sqref="H95:I95">
    <cfRule type="expression" dxfId="143" priority="67">
      <formula>H95&lt;$D95</formula>
    </cfRule>
    <cfRule type="expression" dxfId="142" priority="68">
      <formula>H95&gt;$D95</formula>
    </cfRule>
  </conditionalFormatting>
  <conditionalFormatting sqref="E102">
    <cfRule type="expression" dxfId="141" priority="65">
      <formula>E102&lt;$D102</formula>
    </cfRule>
    <cfRule type="expression" dxfId="140" priority="66">
      <formula>E102&gt;$D102</formula>
    </cfRule>
  </conditionalFormatting>
  <conditionalFormatting sqref="F102:I102">
    <cfRule type="expression" dxfId="139" priority="63">
      <formula>F102&lt;$D102</formula>
    </cfRule>
    <cfRule type="expression" dxfId="138" priority="64">
      <formula>F102&gt;$D102</formula>
    </cfRule>
  </conditionalFormatting>
  <conditionalFormatting sqref="E103">
    <cfRule type="expression" dxfId="137" priority="61">
      <formula>E103&lt;$D103</formula>
    </cfRule>
    <cfRule type="expression" dxfId="136" priority="62">
      <formula>E103&gt;$D103</formula>
    </cfRule>
  </conditionalFormatting>
  <conditionalFormatting sqref="F103:I103">
    <cfRule type="expression" dxfId="135" priority="59">
      <formula>F103&lt;$D103</formula>
    </cfRule>
    <cfRule type="expression" dxfId="134" priority="60">
      <formula>F103&gt;$D103</formula>
    </cfRule>
  </conditionalFormatting>
  <conditionalFormatting sqref="E104">
    <cfRule type="expression" dxfId="133" priority="57">
      <formula>E104&lt;$D104</formula>
    </cfRule>
    <cfRule type="expression" dxfId="132" priority="58">
      <formula>E104&gt;$D104</formula>
    </cfRule>
  </conditionalFormatting>
  <conditionalFormatting sqref="F104:I104">
    <cfRule type="expression" dxfId="131" priority="55">
      <formula>F104&lt;$D104</formula>
    </cfRule>
    <cfRule type="expression" dxfId="130" priority="56">
      <formula>F104&gt;$D104</formula>
    </cfRule>
  </conditionalFormatting>
  <conditionalFormatting sqref="E105">
    <cfRule type="expression" dxfId="129" priority="53">
      <formula>E105&lt;$D105</formula>
    </cfRule>
    <cfRule type="expression" dxfId="128" priority="54">
      <formula>E105&gt;$D105</formula>
    </cfRule>
  </conditionalFormatting>
  <conditionalFormatting sqref="F105:I105">
    <cfRule type="expression" dxfId="127" priority="51">
      <formula>F105&lt;$D105</formula>
    </cfRule>
    <cfRule type="expression" dxfId="126" priority="52">
      <formula>F105&gt;$D105</formula>
    </cfRule>
  </conditionalFormatting>
  <conditionalFormatting sqref="E122">
    <cfRule type="expression" dxfId="125" priority="49">
      <formula>E122&lt;$D122</formula>
    </cfRule>
    <cfRule type="expression" dxfId="124" priority="50">
      <formula>E122&gt;$D122</formula>
    </cfRule>
  </conditionalFormatting>
  <conditionalFormatting sqref="F122:I122">
    <cfRule type="expression" dxfId="123" priority="47">
      <formula>F122&lt;$D122</formula>
    </cfRule>
    <cfRule type="expression" dxfId="122" priority="48">
      <formula>F122&gt;$D122</formula>
    </cfRule>
  </conditionalFormatting>
  <conditionalFormatting sqref="E124:I124">
    <cfRule type="expression" dxfId="121" priority="45">
      <formula>E124&lt;$D124</formula>
    </cfRule>
    <cfRule type="expression" dxfId="120" priority="46">
      <formula>E124&gt;$D124</formula>
    </cfRule>
  </conditionalFormatting>
  <conditionalFormatting sqref="H127:I127">
    <cfRule type="expression" dxfId="115" priority="37">
      <formula>H127&lt;$D127</formula>
    </cfRule>
    <cfRule type="expression" dxfId="114" priority="38">
      <formula>H127&gt;$D127</formula>
    </cfRule>
  </conditionalFormatting>
  <conditionalFormatting sqref="E130">
    <cfRule type="expression" dxfId="113" priority="35">
      <formula>E130&lt;$D130</formula>
    </cfRule>
    <cfRule type="expression" dxfId="112" priority="36">
      <formula>E130&gt;$D130</formula>
    </cfRule>
  </conditionalFormatting>
  <conditionalFormatting sqref="F130:I130">
    <cfRule type="expression" dxfId="111" priority="33">
      <formula>F130&lt;$D130</formula>
    </cfRule>
    <cfRule type="expression" dxfId="110" priority="34">
      <formula>F130&gt;$D130</formula>
    </cfRule>
  </conditionalFormatting>
  <conditionalFormatting sqref="E131">
    <cfRule type="expression" dxfId="109" priority="31">
      <formula>E131&lt;$D131</formula>
    </cfRule>
    <cfRule type="expression" dxfId="108" priority="32">
      <formula>E131&gt;$D131</formula>
    </cfRule>
  </conditionalFormatting>
  <conditionalFormatting sqref="F131:I131">
    <cfRule type="expression" dxfId="107" priority="29">
      <formula>F131&lt;$D131</formula>
    </cfRule>
    <cfRule type="expression" dxfId="106" priority="30">
      <formula>F131&gt;$D131</formula>
    </cfRule>
  </conditionalFormatting>
  <conditionalFormatting sqref="E132">
    <cfRule type="expression" dxfId="105" priority="27">
      <formula>E132&lt;$D132</formula>
    </cfRule>
    <cfRule type="expression" dxfId="104" priority="28">
      <formula>E132&gt;$D132</formula>
    </cfRule>
  </conditionalFormatting>
  <conditionalFormatting sqref="F132:I132">
    <cfRule type="expression" dxfId="103" priority="25">
      <formula>F132&lt;$D132</formula>
    </cfRule>
    <cfRule type="expression" dxfId="102" priority="26">
      <formula>F132&gt;$D132</formula>
    </cfRule>
  </conditionalFormatting>
  <conditionalFormatting sqref="E133">
    <cfRule type="expression" dxfId="101" priority="23">
      <formula>E133&lt;$D133</formula>
    </cfRule>
    <cfRule type="expression" dxfId="100" priority="24">
      <formula>E133&gt;$D133</formula>
    </cfRule>
  </conditionalFormatting>
  <conditionalFormatting sqref="F133:I133">
    <cfRule type="expression" dxfId="99" priority="21">
      <formula>F133&lt;$D133</formula>
    </cfRule>
    <cfRule type="expression" dxfId="98" priority="22">
      <formula>F133&gt;$D133</formula>
    </cfRule>
  </conditionalFormatting>
  <conditionalFormatting sqref="E137:I137">
    <cfRule type="expression" dxfId="97" priority="19">
      <formula>E137&lt;$D137</formula>
    </cfRule>
    <cfRule type="expression" dxfId="96" priority="20">
      <formula>E137&gt;$D137</formula>
    </cfRule>
  </conditionalFormatting>
  <conditionalFormatting sqref="E138:I138">
    <cfRule type="expression" dxfId="95" priority="17">
      <formula>E138&lt;$D138</formula>
    </cfRule>
    <cfRule type="expression" dxfId="94" priority="18">
      <formula>E138&gt;$D138</formula>
    </cfRule>
  </conditionalFormatting>
  <conditionalFormatting sqref="E139:I139">
    <cfRule type="expression" dxfId="93" priority="15">
      <formula>E139&lt;$D139</formula>
    </cfRule>
    <cfRule type="expression" dxfId="92" priority="16">
      <formula>E139&gt;$D139</formula>
    </cfRule>
  </conditionalFormatting>
  <conditionalFormatting sqref="E144">
    <cfRule type="expression" dxfId="91" priority="13">
      <formula>E144&lt;$D144</formula>
    </cfRule>
    <cfRule type="expression" dxfId="90" priority="14">
      <formula>E144&gt;$D144</formula>
    </cfRule>
  </conditionalFormatting>
  <conditionalFormatting sqref="F144:I144">
    <cfRule type="expression" dxfId="89" priority="11">
      <formula>F144&lt;$D144</formula>
    </cfRule>
    <cfRule type="expression" dxfId="88" priority="12">
      <formula>F144&gt;$D144</formula>
    </cfRule>
  </conditionalFormatting>
  <conditionalFormatting sqref="E145">
    <cfRule type="expression" dxfId="87" priority="9">
      <formula>E145&lt;$D145</formula>
    </cfRule>
    <cfRule type="expression" dxfId="86" priority="10">
      <formula>E145&gt;$D145</formula>
    </cfRule>
  </conditionalFormatting>
  <conditionalFormatting sqref="F145:I145">
    <cfRule type="expression" dxfId="85" priority="7">
      <formula>F145&lt;$D145</formula>
    </cfRule>
    <cfRule type="expression" dxfId="84" priority="8">
      <formula>F145&gt;$D145</formula>
    </cfRule>
  </conditionalFormatting>
  <conditionalFormatting sqref="E148">
    <cfRule type="expression" dxfId="83" priority="5">
      <formula>E148&lt;$D148</formula>
    </cfRule>
    <cfRule type="expression" dxfId="82" priority="6">
      <formula>E148&gt;$D148</formula>
    </cfRule>
  </conditionalFormatting>
  <conditionalFormatting sqref="E149">
    <cfRule type="expression" dxfId="81" priority="3">
      <formula>E149&lt;$D149</formula>
    </cfRule>
    <cfRule type="expression" dxfId="80" priority="4">
      <formula>E149&gt;$D149</formula>
    </cfRule>
  </conditionalFormatting>
  <conditionalFormatting sqref="H148:I149">
    <cfRule type="expression" dxfId="79" priority="1">
      <formula>H148&lt;$D148</formula>
    </cfRule>
    <cfRule type="expression" dxfId="78" priority="2">
      <formula>H148&gt;$D148</formula>
    </cfRule>
  </conditionalFormatting>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U112"/>
  <sheetViews>
    <sheetView showGridLines="0" zoomScale="90" zoomScaleNormal="90" workbookViewId="0">
      <pane ySplit="8" topLeftCell="A42" activePane="bottomLeft" state="frozen"/>
      <selection activeCell="I64" sqref="I64"/>
      <selection pane="bottomLeft" activeCell="I56" sqref="I56"/>
    </sheetView>
  </sheetViews>
  <sheetFormatPr defaultRowHeight="14.25" x14ac:dyDescent="0.2"/>
  <cols>
    <col min="1" max="1" width="2.140625" style="3" customWidth="1"/>
    <col min="2" max="2" width="41.28515625" style="3" customWidth="1"/>
    <col min="3" max="3" width="20.5703125" style="3" customWidth="1"/>
    <col min="4" max="4" width="22.140625" style="525" customWidth="1"/>
    <col min="5" max="9" width="18" style="3" customWidth="1"/>
    <col min="10" max="10" width="7" style="3" customWidth="1"/>
    <col min="11" max="11" width="14.28515625" style="3" customWidth="1"/>
    <col min="12" max="16384" width="9.140625" style="3"/>
  </cols>
  <sheetData>
    <row r="1" spans="1:21" ht="15.75" x14ac:dyDescent="0.25">
      <c r="A1" s="350"/>
      <c r="B1" s="351" t="s">
        <v>487</v>
      </c>
      <c r="C1" s="392" t="str">
        <f>'Totals and Scenarios'!F35</f>
        <v>Total Provinces</v>
      </c>
      <c r="D1" s="647" t="s">
        <v>834</v>
      </c>
      <c r="E1" s="941" t="s">
        <v>704</v>
      </c>
      <c r="F1" s="941"/>
      <c r="G1" s="941"/>
      <c r="H1" s="355" t="s">
        <v>278</v>
      </c>
      <c r="I1" s="356" t="s">
        <v>835</v>
      </c>
    </row>
    <row r="2" spans="1:21" ht="15.75" x14ac:dyDescent="0.25">
      <c r="A2" s="352"/>
      <c r="B2" s="353" t="s">
        <v>488</v>
      </c>
      <c r="C2" s="354"/>
      <c r="D2" s="740" t="s">
        <v>371</v>
      </c>
      <c r="E2" s="397" t="s">
        <v>371</v>
      </c>
      <c r="F2" s="397" t="s">
        <v>372</v>
      </c>
      <c r="G2" s="397" t="s">
        <v>373</v>
      </c>
      <c r="H2" s="355" t="s">
        <v>371</v>
      </c>
      <c r="I2" s="356" t="s">
        <v>371</v>
      </c>
    </row>
    <row r="3" spans="1:21" x14ac:dyDescent="0.2">
      <c r="A3" s="28"/>
      <c r="B3" s="489" t="s">
        <v>481</v>
      </c>
      <c r="C3" s="489"/>
      <c r="D3" s="714">
        <f>D12+D16+D21+D26</f>
        <v>146688539.41479528</v>
      </c>
      <c r="E3" s="406">
        <f t="shared" ref="E3:I3" si="0">E12+E16+E21+E26</f>
        <v>146688539.41479528</v>
      </c>
      <c r="F3" s="406">
        <f t="shared" si="0"/>
        <v>157397023.62011352</v>
      </c>
      <c r="G3" s="406">
        <f t="shared" si="0"/>
        <v>168574132.04642072</v>
      </c>
      <c r="H3" s="406">
        <f t="shared" si="0"/>
        <v>287763820.53892028</v>
      </c>
      <c r="I3" s="406">
        <f t="shared" si="0"/>
        <v>287763820.53892028</v>
      </c>
    </row>
    <row r="4" spans="1:21" x14ac:dyDescent="0.2">
      <c r="A4" s="28"/>
      <c r="B4" s="470" t="s">
        <v>479</v>
      </c>
      <c r="C4" s="470"/>
      <c r="D4" s="667">
        <f>D13+D17+D18+D22+D23+D27+D28</f>
        <v>368302466.01147884</v>
      </c>
      <c r="E4" s="193">
        <f t="shared" ref="E4:I4" si="1">E13+E17+E18+E22+E23+E27+E28</f>
        <v>368302466.01147884</v>
      </c>
      <c r="F4" s="193">
        <f t="shared" si="1"/>
        <v>385298026.28239614</v>
      </c>
      <c r="G4" s="193">
        <f t="shared" si="1"/>
        <v>403039753.78212047</v>
      </c>
      <c r="H4" s="193">
        <f t="shared" si="1"/>
        <v>890080946.95917678</v>
      </c>
      <c r="I4" s="193">
        <f t="shared" si="1"/>
        <v>1104717561.9591768</v>
      </c>
    </row>
    <row r="5" spans="1:21" x14ac:dyDescent="0.2">
      <c r="A5" s="28"/>
      <c r="B5" s="484" t="s">
        <v>386</v>
      </c>
      <c r="C5" s="65"/>
      <c r="D5" s="682">
        <f>D14+D19+D24+D29</f>
        <v>7334426.9707397651</v>
      </c>
      <c r="E5" s="407">
        <f t="shared" ref="E5:I5" si="2">E14+E19+E24+E29</f>
        <v>7334426.9707397651</v>
      </c>
      <c r="F5" s="407">
        <f t="shared" si="2"/>
        <v>7869851.1810056772</v>
      </c>
      <c r="G5" s="407">
        <f t="shared" si="2"/>
        <v>8428706.6023210362</v>
      </c>
      <c r="H5" s="407">
        <f t="shared" si="2"/>
        <v>14388191.026946016</v>
      </c>
      <c r="I5" s="407">
        <f t="shared" si="2"/>
        <v>14388191.026946016</v>
      </c>
    </row>
    <row r="6" spans="1:21" x14ac:dyDescent="0.2">
      <c r="A6" s="28"/>
      <c r="B6" s="485" t="s">
        <v>777</v>
      </c>
      <c r="C6" s="486"/>
      <c r="D6" s="672">
        <f t="shared" ref="D6:I6" si="3">SUM(D3:D5)</f>
        <v>522325432.3970139</v>
      </c>
      <c r="E6" s="408">
        <f t="shared" si="3"/>
        <v>522325432.3970139</v>
      </c>
      <c r="F6" s="408">
        <f t="shared" si="3"/>
        <v>550564901.08351541</v>
      </c>
      <c r="G6" s="408">
        <f t="shared" si="3"/>
        <v>580042592.43086219</v>
      </c>
      <c r="H6" s="408">
        <f t="shared" si="3"/>
        <v>1192232958.525043</v>
      </c>
      <c r="I6" s="408">
        <f t="shared" si="3"/>
        <v>1406869573.525043</v>
      </c>
    </row>
    <row r="7" spans="1:21" ht="9.75" customHeight="1" x14ac:dyDescent="0.2">
      <c r="A7" s="28"/>
      <c r="B7" s="409"/>
      <c r="C7" s="399"/>
      <c r="D7" s="679"/>
      <c r="E7" s="34"/>
      <c r="F7" s="34"/>
      <c r="G7" s="34"/>
      <c r="H7" s="34"/>
      <c r="I7" s="34"/>
    </row>
    <row r="8" spans="1:21" x14ac:dyDescent="0.2">
      <c r="A8" s="28"/>
      <c r="B8" s="485" t="s">
        <v>779</v>
      </c>
      <c r="C8" s="486"/>
      <c r="D8" s="672">
        <f>D35</f>
        <v>102000000</v>
      </c>
      <c r="E8" s="408">
        <f t="shared" ref="E8:I8" si="4">E35</f>
        <v>102000000</v>
      </c>
      <c r="F8" s="408">
        <f t="shared" si="4"/>
        <v>108012000</v>
      </c>
      <c r="G8" s="408">
        <f t="shared" si="4"/>
        <v>114164448</v>
      </c>
      <c r="H8" s="408">
        <f t="shared" si="4"/>
        <v>102000000</v>
      </c>
      <c r="I8" s="408">
        <f t="shared" si="4"/>
        <v>102000000</v>
      </c>
    </row>
    <row r="9" spans="1:21" ht="9.75" customHeight="1" x14ac:dyDescent="0.2">
      <c r="A9" s="28"/>
      <c r="B9" s="409"/>
      <c r="C9" s="409"/>
      <c r="D9" s="675"/>
      <c r="E9" s="409"/>
      <c r="F9" s="409"/>
      <c r="G9" s="409"/>
      <c r="H9" s="409"/>
      <c r="I9" s="409"/>
    </row>
    <row r="10" spans="1:21" x14ac:dyDescent="0.2">
      <c r="A10" s="28"/>
      <c r="B10" s="488" t="s">
        <v>691</v>
      </c>
      <c r="C10" s="488"/>
      <c r="D10" s="679"/>
      <c r="E10" s="34"/>
      <c r="F10" s="34"/>
      <c r="G10" s="34"/>
      <c r="H10" s="34"/>
      <c r="I10" s="34"/>
      <c r="U10" s="3" t="s">
        <v>258</v>
      </c>
    </row>
    <row r="11" spans="1:21" x14ac:dyDescent="0.2">
      <c r="A11" s="28"/>
      <c r="B11" s="490" t="s">
        <v>675</v>
      </c>
      <c r="C11" s="38"/>
      <c r="D11" s="743">
        <f>SUM(D12:D14)</f>
        <v>113997760.8749525</v>
      </c>
      <c r="E11" s="442">
        <f>SUM(E12:E14)</f>
        <v>113997760.8749525</v>
      </c>
      <c r="F11" s="442">
        <f t="shared" ref="F11:I11" si="5">SUM(F12:F14)</f>
        <v>122396379.32188638</v>
      </c>
      <c r="G11" s="442">
        <f t="shared" si="5"/>
        <v>131169806.3790206</v>
      </c>
      <c r="H11" s="442">
        <f t="shared" si="5"/>
        <v>113997760.8749525</v>
      </c>
      <c r="I11" s="442">
        <f t="shared" si="5"/>
        <v>113997760.8749525</v>
      </c>
      <c r="U11" s="3" t="s">
        <v>259</v>
      </c>
    </row>
    <row r="12" spans="1:21" x14ac:dyDescent="0.2">
      <c r="A12" s="28"/>
      <c r="B12" s="470" t="s">
        <v>481</v>
      </c>
      <c r="C12" s="470"/>
      <c r="D12" s="717">
        <f>IF($C$1=$U$13,((D62*GenAssumptions!D16+D63*GenAssumptions!D17)*9)+D64*GenAssumptions!D18+D65*GenAssumptions!D19,D62*GenAssumptions!D16+D63*GenAssumptions!D17+D64*GenAssumptions!D18+D65*GenAssumptions!D19)</f>
        <v>87690585.288424999</v>
      </c>
      <c r="E12" s="413">
        <f>IF($C$1=$U$13,((E62*GenAssumptions!E16+E63*GenAssumptions!E17)*9)+E64*GenAssumptions!E18+E65*GenAssumptions!E19,E62*GenAssumptions!E16+E63*GenAssumptions!E17+E64*GenAssumptions!E18+E65*GenAssumptions!E19)</f>
        <v>87690585.288424999</v>
      </c>
      <c r="F12" s="413">
        <f>IF($C$1=$U$13,((F62*GenAssumptions!F16+F63*GenAssumptions!F17)*9)+F64*GenAssumptions!F18+F65*GenAssumptions!F19,F62*GenAssumptions!F16+F63*GenAssumptions!F17+F64*GenAssumptions!F18+F65*GenAssumptions!F19)</f>
        <v>94151061.016835675</v>
      </c>
      <c r="G12" s="413">
        <f>IF($C$1=$U$13,((G62*GenAssumptions!G16+G63*GenAssumptions!G17)*9)+G64*GenAssumptions!G18+G65*GenAssumptions!G19,G62*GenAssumptions!G16+G63*GenAssumptions!G17+G64*GenAssumptions!G18+G65*GenAssumptions!G19)</f>
        <v>100899851.06078508</v>
      </c>
      <c r="H12" s="413">
        <f>IF($C$1=$U$13,((H62*GenAssumptions!H16+H63*GenAssumptions!H17)*9)+H64*GenAssumptions!H18+H65*GenAssumptions!H19,H62*GenAssumptions!H16+H63*GenAssumptions!H17+H64*GenAssumptions!H18+H65*GenAssumptions!H19)</f>
        <v>87690585.288424999</v>
      </c>
      <c r="I12" s="414">
        <f>IF($C$1=$U$13,((I62*GenAssumptions!I16+I63*GenAssumptions!I17)*9)+I64*GenAssumptions!I18+I65*GenAssumptions!I19,I62*GenAssumptions!I16+I63*GenAssumptions!I17+I64*GenAssumptions!I18+I65*GenAssumptions!I19)</f>
        <v>87690585.288424999</v>
      </c>
      <c r="U12" s="3" t="s">
        <v>260</v>
      </c>
    </row>
    <row r="13" spans="1:21" x14ac:dyDescent="0.2">
      <c r="A13" s="28"/>
      <c r="B13" s="470" t="s">
        <v>479</v>
      </c>
      <c r="C13" s="470"/>
      <c r="D13" s="718">
        <f>D12*GenAssumptions!D10</f>
        <v>21922646.32210625</v>
      </c>
      <c r="E13" s="415">
        <f>E12*GenAssumptions!E10</f>
        <v>21922646.32210625</v>
      </c>
      <c r="F13" s="415">
        <f>F12*GenAssumptions!F10</f>
        <v>23537765.254208919</v>
      </c>
      <c r="G13" s="415">
        <f>G12*GenAssumptions!G10</f>
        <v>25224962.765196271</v>
      </c>
      <c r="H13" s="415">
        <f>H12*GenAssumptions!H10</f>
        <v>21922646.32210625</v>
      </c>
      <c r="I13" s="416">
        <f>I12*GenAssumptions!I10</f>
        <v>21922646.32210625</v>
      </c>
      <c r="U13" s="3" t="s">
        <v>700</v>
      </c>
    </row>
    <row r="14" spans="1:21" x14ac:dyDescent="0.2">
      <c r="A14" s="28"/>
      <c r="B14" s="470" t="s">
        <v>386</v>
      </c>
      <c r="C14" s="51"/>
      <c r="D14" s="721">
        <f>D12*GenAssumptions!D11</f>
        <v>4384529.2644212497</v>
      </c>
      <c r="E14" s="421">
        <f>E12*GenAssumptions!E11</f>
        <v>4384529.2644212497</v>
      </c>
      <c r="F14" s="421">
        <f>F12*GenAssumptions!F11</f>
        <v>4707553.0508417841</v>
      </c>
      <c r="G14" s="421">
        <f>G12*GenAssumptions!G11</f>
        <v>5044992.5530392546</v>
      </c>
      <c r="H14" s="421">
        <f>H12*GenAssumptions!H11</f>
        <v>4384529.2644212497</v>
      </c>
      <c r="I14" s="422">
        <f>I12*GenAssumptions!I11</f>
        <v>4384529.2644212497</v>
      </c>
    </row>
    <row r="15" spans="1:21" x14ac:dyDescent="0.2">
      <c r="A15" s="28"/>
      <c r="B15" s="490" t="s">
        <v>678</v>
      </c>
      <c r="C15" s="38"/>
      <c r="D15" s="743">
        <f>SUM(D16:D19)</f>
        <v>297354901.92206138</v>
      </c>
      <c r="E15" s="442">
        <f>SUM(E16:E19)</f>
        <v>297354901.92206138</v>
      </c>
      <c r="F15" s="442">
        <f t="shared" ref="F15:I15" si="6">SUM(F16:F19)</f>
        <v>313555529.71758896</v>
      </c>
      <c r="G15" s="442">
        <f t="shared" si="6"/>
        <v>330496200.68426603</v>
      </c>
      <c r="H15" s="442">
        <f t="shared" si="6"/>
        <v>297354901.92206138</v>
      </c>
      <c r="I15" s="442">
        <f t="shared" si="6"/>
        <v>297354901.92206138</v>
      </c>
    </row>
    <row r="16" spans="1:21" x14ac:dyDescent="0.2">
      <c r="A16" s="28"/>
      <c r="B16" s="470" t="s">
        <v>481</v>
      </c>
      <c r="C16" s="506"/>
      <c r="D16" s="717">
        <f>D69*GenAssumptions!D17+D70*GenAssumptions!D18+D71*GenAssumptions!D19</f>
        <v>33221717.126370296</v>
      </c>
      <c r="E16" s="413">
        <f>E69*GenAssumptions!E17+E70*GenAssumptions!E18+E71*GenAssumptions!E19</f>
        <v>33221717.126370296</v>
      </c>
      <c r="F16" s="413">
        <f>F69*GenAssumptions!F17+F70*GenAssumptions!F18+F71*GenAssumptions!F19</f>
        <v>35768493.961277857</v>
      </c>
      <c r="G16" s="413">
        <f>G69*GenAssumptions!G17+G70*GenAssumptions!G18+G71*GenAssumptions!G19</f>
        <v>38438254.350547634</v>
      </c>
      <c r="H16" s="413">
        <f>H69*GenAssumptions!H17+H70*GenAssumptions!H18+H71*GenAssumptions!H19</f>
        <v>33221717.126370296</v>
      </c>
      <c r="I16" s="414">
        <f>I69*GenAssumptions!I17+I70*GenAssumptions!I18+I71*GenAssumptions!I19</f>
        <v>33221717.126370296</v>
      </c>
    </row>
    <row r="17" spans="1:9" x14ac:dyDescent="0.2">
      <c r="A17" s="28"/>
      <c r="B17" s="470" t="s">
        <v>671</v>
      </c>
      <c r="C17" s="506"/>
      <c r="D17" s="720">
        <f>D16*GenAssumptions!D10</f>
        <v>8305429.281592574</v>
      </c>
      <c r="E17" s="419">
        <f>E16*GenAssumptions!E10</f>
        <v>8305429.281592574</v>
      </c>
      <c r="F17" s="419">
        <f>F16*GenAssumptions!F10</f>
        <v>8942123.4903194644</v>
      </c>
      <c r="G17" s="419">
        <f>G16*GenAssumptions!G10</f>
        <v>9609563.5876369085</v>
      </c>
      <c r="H17" s="419">
        <f>H16*GenAssumptions!H10</f>
        <v>8305429.281592574</v>
      </c>
      <c r="I17" s="420">
        <f>I16*GenAssumptions!I10</f>
        <v>8305429.281592574</v>
      </c>
    </row>
    <row r="18" spans="1:9" x14ac:dyDescent="0.2">
      <c r="A18" s="28"/>
      <c r="B18" s="470" t="s">
        <v>672</v>
      </c>
      <c r="C18" s="506"/>
      <c r="D18" s="720">
        <f t="shared" ref="D18:I18" si="7">D75+D82</f>
        <v>254166669.65777999</v>
      </c>
      <c r="E18" s="419">
        <f t="shared" si="7"/>
        <v>254166669.65777999</v>
      </c>
      <c r="F18" s="419">
        <f t="shared" si="7"/>
        <v>267056487.56792775</v>
      </c>
      <c r="G18" s="419">
        <f t="shared" si="7"/>
        <v>280526470.02855408</v>
      </c>
      <c r="H18" s="419">
        <f t="shared" si="7"/>
        <v>254166669.65777999</v>
      </c>
      <c r="I18" s="420">
        <f t="shared" si="7"/>
        <v>254166669.65777999</v>
      </c>
    </row>
    <row r="19" spans="1:9" x14ac:dyDescent="0.2">
      <c r="A19" s="28"/>
      <c r="B19" s="470" t="s">
        <v>386</v>
      </c>
      <c r="C19" s="516"/>
      <c r="D19" s="719">
        <f>D16*GenAssumptions!D11</f>
        <v>1661085.8563185148</v>
      </c>
      <c r="E19" s="417">
        <f>E16*GenAssumptions!E11</f>
        <v>1661085.8563185148</v>
      </c>
      <c r="F19" s="417">
        <f>F16*GenAssumptions!F11</f>
        <v>1788424.698063893</v>
      </c>
      <c r="G19" s="417">
        <f>G16*GenAssumptions!G11</f>
        <v>1921912.7175273818</v>
      </c>
      <c r="H19" s="417">
        <f>H16*GenAssumptions!H11</f>
        <v>1661085.8563185148</v>
      </c>
      <c r="I19" s="418">
        <f>I16*GenAssumptions!I11</f>
        <v>1661085.8563185148</v>
      </c>
    </row>
    <row r="20" spans="1:9" x14ac:dyDescent="0.2">
      <c r="A20" s="28"/>
      <c r="B20" s="490" t="s">
        <v>593</v>
      </c>
      <c r="C20" s="400"/>
      <c r="D20" s="743">
        <f>SUM(D21:D24)</f>
        <v>110972769.59999999</v>
      </c>
      <c r="E20" s="442">
        <f>SUM(E21:E24)</f>
        <v>110972769.59999999</v>
      </c>
      <c r="F20" s="442">
        <f t="shared" ref="F20:I20" si="8">SUM(F21:F24)</f>
        <v>114612992.04403999</v>
      </c>
      <c r="G20" s="442">
        <f t="shared" si="8"/>
        <v>118376585.36757568</v>
      </c>
      <c r="H20" s="442">
        <f t="shared" si="8"/>
        <v>110972769.59999999</v>
      </c>
      <c r="I20" s="442">
        <f t="shared" si="8"/>
        <v>110972769.59999999</v>
      </c>
    </row>
    <row r="21" spans="1:9" x14ac:dyDescent="0.2">
      <c r="A21" s="28"/>
      <c r="B21" s="470" t="s">
        <v>481</v>
      </c>
      <c r="C21" s="506"/>
      <c r="D21" s="717">
        <f>D90*GenAssumptions!D18*D58+D91*GenAssumptions!D19</f>
        <v>25776237</v>
      </c>
      <c r="E21" s="413">
        <f>E90*GenAssumptions!E18*E58+E91*GenAssumptions!E19</f>
        <v>25776237</v>
      </c>
      <c r="F21" s="413">
        <f>F90*GenAssumptions!F18*F58+F91*GenAssumptions!F19</f>
        <v>27477468.642000001</v>
      </c>
      <c r="G21" s="413">
        <f>G90*GenAssumptions!G18*G58+G91*GenAssumptions!G19</f>
        <v>29236026.635088</v>
      </c>
      <c r="H21" s="413">
        <f>H90*GenAssumptions!H18*H58+H91*GenAssumptions!H19</f>
        <v>25776237</v>
      </c>
      <c r="I21" s="414">
        <f>I90*GenAssumptions!I18*I58+I91*GenAssumptions!I19</f>
        <v>25776237</v>
      </c>
    </row>
    <row r="22" spans="1:9" x14ac:dyDescent="0.2">
      <c r="A22" s="28"/>
      <c r="B22" s="470" t="s">
        <v>671</v>
      </c>
      <c r="C22" s="506"/>
      <c r="D22" s="720">
        <f>D21*GenAssumptions!D10</f>
        <v>6444059.25</v>
      </c>
      <c r="E22" s="419">
        <f>E21*GenAssumptions!E10</f>
        <v>6444059.25</v>
      </c>
      <c r="F22" s="419">
        <f>F21*GenAssumptions!F10</f>
        <v>6869367.1605000002</v>
      </c>
      <c r="G22" s="419">
        <f>G21*GenAssumptions!G10</f>
        <v>7309006.6587720001</v>
      </c>
      <c r="H22" s="419">
        <f>H21*GenAssumptions!H10</f>
        <v>6444059.25</v>
      </c>
      <c r="I22" s="420">
        <f>I21*GenAssumptions!I10</f>
        <v>6444059.25</v>
      </c>
    </row>
    <row r="23" spans="1:9" x14ac:dyDescent="0.2">
      <c r="B23" s="470" t="s">
        <v>673</v>
      </c>
      <c r="D23" s="720">
        <f t="shared" ref="D23:I23" si="9">IF($C$1=$U$13,D93*D58+D94,D93*D58+D94)</f>
        <v>77463661.5</v>
      </c>
      <c r="E23" s="419">
        <f t="shared" si="9"/>
        <v>77463661.5</v>
      </c>
      <c r="F23" s="419">
        <f t="shared" si="9"/>
        <v>78892282.809440002</v>
      </c>
      <c r="G23" s="419">
        <f t="shared" si="9"/>
        <v>80369750.741961271</v>
      </c>
      <c r="H23" s="419">
        <f t="shared" si="9"/>
        <v>77463661.5</v>
      </c>
      <c r="I23" s="420">
        <f t="shared" si="9"/>
        <v>77463661.5</v>
      </c>
    </row>
    <row r="24" spans="1:9" x14ac:dyDescent="0.2">
      <c r="A24" s="28"/>
      <c r="B24" s="470" t="s">
        <v>386</v>
      </c>
      <c r="C24" s="51"/>
      <c r="D24" s="719">
        <f>D21*GenAssumptions!D11</f>
        <v>1288811.8500000001</v>
      </c>
      <c r="E24" s="417">
        <f>E21*GenAssumptions!E11</f>
        <v>1288811.8500000001</v>
      </c>
      <c r="F24" s="417">
        <f>F21*GenAssumptions!F11</f>
        <v>1373873.4321000001</v>
      </c>
      <c r="G24" s="417">
        <f>G21*GenAssumptions!G11</f>
        <v>1461801.3317544002</v>
      </c>
      <c r="H24" s="417">
        <f>H21*GenAssumptions!H11</f>
        <v>1288811.8500000001</v>
      </c>
      <c r="I24" s="418">
        <f>I21*GenAssumptions!I11</f>
        <v>1288811.8500000001</v>
      </c>
    </row>
    <row r="25" spans="1:9" x14ac:dyDescent="0.2">
      <c r="A25" s="28"/>
      <c r="B25" s="490" t="s">
        <v>679</v>
      </c>
      <c r="C25" s="38"/>
      <c r="D25" s="743">
        <f>SUM(D26:D29)</f>
        <v>0</v>
      </c>
      <c r="E25" s="442">
        <f>SUM(E26:E29)</f>
        <v>0</v>
      </c>
      <c r="F25" s="442">
        <f t="shared" ref="F25:I25" si="10">SUM(F26:F29)</f>
        <v>0</v>
      </c>
      <c r="G25" s="442">
        <f t="shared" si="10"/>
        <v>0</v>
      </c>
      <c r="H25" s="442">
        <f>SUM(H26:H29)</f>
        <v>669907526.12802911</v>
      </c>
      <c r="I25" s="442">
        <f t="shared" si="10"/>
        <v>884544141.12802911</v>
      </c>
    </row>
    <row r="26" spans="1:9" x14ac:dyDescent="0.2">
      <c r="A26" s="28"/>
      <c r="B26" s="470" t="s">
        <v>481</v>
      </c>
      <c r="C26" s="470"/>
      <c r="D26" s="850">
        <f>IF(D55=0,0,D97*GenAssumptions!D18+D98*GenAssumptions!D20)</f>
        <v>0</v>
      </c>
      <c r="E26" s="851">
        <f>IF(E55=0,0,E97*GenAssumptions!E18+E98*GenAssumptions!E20)</f>
        <v>0</v>
      </c>
      <c r="F26" s="851">
        <f>IF(F55=0,0,F97*GenAssumptions!F18+F98*GenAssumptions!F20)</f>
        <v>0</v>
      </c>
      <c r="G26" s="851">
        <f>IF(G55=0,0,G97*GenAssumptions!G18+G98*GenAssumptions!G20)</f>
        <v>0</v>
      </c>
      <c r="H26" s="851">
        <f>IF(H55=0,0,H97*GenAssumptions!H18+H98*GenAssumptions!H20)</f>
        <v>141075281.124125</v>
      </c>
      <c r="I26" s="852">
        <f>IF(I55=0,0,I97*GenAssumptions!I18+I98*GenAssumptions!I20)</f>
        <v>141075281.124125</v>
      </c>
    </row>
    <row r="27" spans="1:9" x14ac:dyDescent="0.2">
      <c r="A27" s="28"/>
      <c r="B27" s="470" t="s">
        <v>671</v>
      </c>
      <c r="C27" s="470"/>
      <c r="D27" s="718">
        <f>D26*GenAssumptions!D10</f>
        <v>0</v>
      </c>
      <c r="E27" s="848">
        <f>E26*GenAssumptions!E10</f>
        <v>0</v>
      </c>
      <c r="F27" s="848">
        <f>F26*GenAssumptions!F10</f>
        <v>0</v>
      </c>
      <c r="G27" s="848">
        <f>G26*GenAssumptions!G10</f>
        <v>0</v>
      </c>
      <c r="H27" s="848">
        <f>H26*GenAssumptions!H10</f>
        <v>35268820.281031251</v>
      </c>
      <c r="I27" s="853">
        <f>I26*GenAssumptions!I10</f>
        <v>35268820.281031251</v>
      </c>
    </row>
    <row r="28" spans="1:9" x14ac:dyDescent="0.2">
      <c r="A28" s="28"/>
      <c r="B28" s="470" t="s">
        <v>695</v>
      </c>
      <c r="C28" s="470"/>
      <c r="D28" s="718">
        <f>D101+D102</f>
        <v>0</v>
      </c>
      <c r="E28" s="848">
        <f>E101+E102</f>
        <v>0</v>
      </c>
      <c r="F28" s="848">
        <f t="shared" ref="F28:I28" si="11">F101+F102</f>
        <v>0</v>
      </c>
      <c r="G28" s="848">
        <f t="shared" si="11"/>
        <v>0</v>
      </c>
      <c r="H28" s="848">
        <f t="shared" si="11"/>
        <v>486509660.66666669</v>
      </c>
      <c r="I28" s="853">
        <f t="shared" si="11"/>
        <v>701146275.66666663</v>
      </c>
    </row>
    <row r="29" spans="1:9" x14ac:dyDescent="0.2">
      <c r="A29" s="28"/>
      <c r="B29" s="470" t="s">
        <v>386</v>
      </c>
      <c r="C29" s="51"/>
      <c r="D29" s="724">
        <f>D26*GenAssumptions!D11</f>
        <v>0</v>
      </c>
      <c r="E29" s="849">
        <f>E26*GenAssumptions!E11</f>
        <v>0</v>
      </c>
      <c r="F29" s="849">
        <f>F26*GenAssumptions!F11</f>
        <v>0</v>
      </c>
      <c r="G29" s="849">
        <f>G26*GenAssumptions!G11</f>
        <v>0</v>
      </c>
      <c r="H29" s="849">
        <f>H26*GenAssumptions!H11</f>
        <v>7053764.0562062506</v>
      </c>
      <c r="I29" s="854">
        <f>I26*GenAssumptions!I11</f>
        <v>7053764.0562062506</v>
      </c>
    </row>
    <row r="30" spans="1:9" x14ac:dyDescent="0.2">
      <c r="A30" s="28"/>
      <c r="B30" s="485" t="s">
        <v>777</v>
      </c>
      <c r="C30" s="486"/>
      <c r="D30" s="672">
        <f t="shared" ref="D30:I30" si="12">D11+D15+D20+D25</f>
        <v>522325432.3970139</v>
      </c>
      <c r="E30" s="408">
        <f t="shared" si="12"/>
        <v>522325432.3970139</v>
      </c>
      <c r="F30" s="408">
        <f t="shared" si="12"/>
        <v>550564901.08351529</v>
      </c>
      <c r="G30" s="408">
        <f t="shared" si="12"/>
        <v>580042592.43086231</v>
      </c>
      <c r="H30" s="408">
        <f t="shared" si="12"/>
        <v>1192232958.525043</v>
      </c>
      <c r="I30" s="408">
        <f t="shared" si="12"/>
        <v>1406869573.525043</v>
      </c>
    </row>
    <row r="31" spans="1:9" ht="7.5" customHeight="1" x14ac:dyDescent="0.2">
      <c r="A31" s="28"/>
      <c r="B31" s="470"/>
      <c r="D31" s="586"/>
      <c r="E31" s="28"/>
      <c r="F31" s="28"/>
      <c r="G31" s="28"/>
      <c r="H31" s="28"/>
      <c r="I31" s="28"/>
    </row>
    <row r="32" spans="1:9" x14ac:dyDescent="0.2">
      <c r="A32" s="28"/>
      <c r="B32" s="490" t="s">
        <v>774</v>
      </c>
      <c r="D32" s="586"/>
      <c r="E32" s="28"/>
      <c r="F32" s="28"/>
      <c r="G32" s="28"/>
      <c r="H32" s="28"/>
      <c r="I32" s="28"/>
    </row>
    <row r="33" spans="1:9" x14ac:dyDescent="0.2">
      <c r="A33" s="28"/>
      <c r="B33" s="470" t="s">
        <v>775</v>
      </c>
      <c r="C33" s="38"/>
      <c r="D33" s="762">
        <f>D109*D111</f>
        <v>72000000</v>
      </c>
      <c r="E33" s="443">
        <f t="shared" ref="E33:I33" si="13">E109*E111</f>
        <v>72000000</v>
      </c>
      <c r="F33" s="443">
        <f t="shared" si="13"/>
        <v>76032000</v>
      </c>
      <c r="G33" s="443">
        <f t="shared" si="13"/>
        <v>80137728</v>
      </c>
      <c r="H33" s="443">
        <f t="shared" si="13"/>
        <v>72000000</v>
      </c>
      <c r="I33" s="444">
        <f t="shared" si="13"/>
        <v>72000000</v>
      </c>
    </row>
    <row r="34" spans="1:9" x14ac:dyDescent="0.2">
      <c r="A34" s="28"/>
      <c r="B34" s="470" t="s">
        <v>776</v>
      </c>
      <c r="C34" s="38"/>
      <c r="D34" s="832">
        <f>D110*D112</f>
        <v>30000000</v>
      </c>
      <c r="E34" s="403">
        <f t="shared" ref="E34:I34" si="14">E110*E112</f>
        <v>30000000</v>
      </c>
      <c r="F34" s="403">
        <f t="shared" si="14"/>
        <v>31980000</v>
      </c>
      <c r="G34" s="403">
        <f t="shared" si="14"/>
        <v>34026720</v>
      </c>
      <c r="H34" s="403">
        <f t="shared" si="14"/>
        <v>30000000</v>
      </c>
      <c r="I34" s="459">
        <f t="shared" si="14"/>
        <v>30000000</v>
      </c>
    </row>
    <row r="35" spans="1:9" x14ac:dyDescent="0.2">
      <c r="A35" s="28"/>
      <c r="B35" s="485" t="s">
        <v>778</v>
      </c>
      <c r="C35" s="486"/>
      <c r="D35" s="672">
        <f>SUM(D33:D34)</f>
        <v>102000000</v>
      </c>
      <c r="E35" s="408">
        <f t="shared" ref="E35:I35" si="15">SUM(E33:E34)</f>
        <v>102000000</v>
      </c>
      <c r="F35" s="408">
        <f t="shared" si="15"/>
        <v>108012000</v>
      </c>
      <c r="G35" s="408">
        <f t="shared" si="15"/>
        <v>114164448</v>
      </c>
      <c r="H35" s="408">
        <f t="shared" si="15"/>
        <v>102000000</v>
      </c>
      <c r="I35" s="408">
        <f t="shared" si="15"/>
        <v>102000000</v>
      </c>
    </row>
    <row r="36" spans="1:9" x14ac:dyDescent="0.2">
      <c r="D36" s="586"/>
      <c r="E36" s="28"/>
      <c r="F36" s="28"/>
      <c r="G36" s="28"/>
      <c r="H36" s="28"/>
      <c r="I36" s="28"/>
    </row>
    <row r="37" spans="1:9" x14ac:dyDescent="0.2">
      <c r="A37" s="28"/>
      <c r="B37" s="507" t="s">
        <v>591</v>
      </c>
      <c r="C37" s="507"/>
      <c r="D37" s="769"/>
      <c r="E37" s="445"/>
      <c r="F37" s="445"/>
      <c r="G37" s="445"/>
      <c r="H37" s="445"/>
      <c r="I37" s="445"/>
    </row>
    <row r="38" spans="1:9" x14ac:dyDescent="0.2">
      <c r="A38" s="28"/>
      <c r="B38" s="508" t="s">
        <v>600</v>
      </c>
      <c r="C38" s="28"/>
      <c r="D38" s="586"/>
      <c r="E38" s="28"/>
      <c r="F38" s="28"/>
      <c r="G38" s="28"/>
      <c r="H38" s="28"/>
      <c r="I38" s="28"/>
    </row>
    <row r="39" spans="1:9" x14ac:dyDescent="0.2">
      <c r="A39" s="28"/>
      <c r="B39" s="471" t="s">
        <v>586</v>
      </c>
      <c r="C39" s="28"/>
      <c r="D39" s="773">
        <f>PED!D65</f>
        <v>3777.6044239999997</v>
      </c>
      <c r="E39" s="52">
        <f>PED!E65</f>
        <v>3777.6044239999997</v>
      </c>
      <c r="F39" s="52">
        <f>PED!F65</f>
        <v>3815.3804682400009</v>
      </c>
      <c r="G39" s="52">
        <f>PED!G65</f>
        <v>3853.5342729224008</v>
      </c>
      <c r="H39" s="52">
        <f>PED!H65</f>
        <v>3777.6044239999997</v>
      </c>
      <c r="I39" s="52">
        <f>PED!I65</f>
        <v>3777.6044239999997</v>
      </c>
    </row>
    <row r="40" spans="1:9" x14ac:dyDescent="0.2">
      <c r="A40" s="28"/>
      <c r="B40" s="471" t="s">
        <v>587</v>
      </c>
      <c r="C40" s="28"/>
      <c r="D40" s="773">
        <f>PED!D66</f>
        <v>1416.6016589999999</v>
      </c>
      <c r="E40" s="52">
        <f>PED!E66</f>
        <v>1416.6016589999999</v>
      </c>
      <c r="F40" s="52">
        <f>PED!F66</f>
        <v>1430.7676755900004</v>
      </c>
      <c r="G40" s="52">
        <f>PED!G66</f>
        <v>1445.0753523459</v>
      </c>
      <c r="H40" s="52">
        <f>PED!H66</f>
        <v>1416.6016589999999</v>
      </c>
      <c r="I40" s="52">
        <f>PED!I66</f>
        <v>1416.6016589999999</v>
      </c>
    </row>
    <row r="41" spans="1:9" x14ac:dyDescent="0.2">
      <c r="A41" s="28"/>
      <c r="B41" s="508" t="s">
        <v>595</v>
      </c>
      <c r="C41" s="28"/>
      <c r="D41" s="586"/>
      <c r="E41" s="28"/>
      <c r="F41" s="28"/>
      <c r="G41" s="28"/>
      <c r="H41" s="28"/>
      <c r="I41" s="28"/>
    </row>
    <row r="42" spans="1:9" x14ac:dyDescent="0.2">
      <c r="A42" s="28"/>
      <c r="B42" s="44" t="s">
        <v>601</v>
      </c>
      <c r="C42" s="509"/>
      <c r="D42" s="786">
        <f>D39-PED!D70</f>
        <v>1888.8022119999998</v>
      </c>
      <c r="E42" s="446">
        <f>E39-PED!E70</f>
        <v>1888.8022119999998</v>
      </c>
      <c r="F42" s="446">
        <f>F39-PED!F70</f>
        <v>1907.6902341200005</v>
      </c>
      <c r="G42" s="446">
        <f>G39-PED!G70</f>
        <v>1926.7671364612004</v>
      </c>
      <c r="H42" s="446">
        <f>H39-PED!H70</f>
        <v>1888.8022119999998</v>
      </c>
      <c r="I42" s="446">
        <f>I39-PED!I70</f>
        <v>1888.8022119999998</v>
      </c>
    </row>
    <row r="43" spans="1:9" x14ac:dyDescent="0.2">
      <c r="A43" s="28"/>
      <c r="B43" s="44" t="s">
        <v>602</v>
      </c>
      <c r="C43" s="509"/>
      <c r="D43" s="786">
        <f>D40-PED!D71</f>
        <v>0</v>
      </c>
      <c r="E43" s="447">
        <f>E40-PED!E71</f>
        <v>0</v>
      </c>
      <c r="F43" s="447">
        <f>F40-PED!F71</f>
        <v>0</v>
      </c>
      <c r="G43" s="447">
        <f>G40-PED!G71</f>
        <v>0</v>
      </c>
      <c r="H43" s="447">
        <f>H40-PED!H71</f>
        <v>0</v>
      </c>
      <c r="I43" s="447">
        <f>I40-PED!I71</f>
        <v>0</v>
      </c>
    </row>
    <row r="44" spans="1:9" x14ac:dyDescent="0.2">
      <c r="A44" s="28"/>
      <c r="B44" s="510" t="s">
        <v>723</v>
      </c>
      <c r="C44" s="511"/>
      <c r="D44" s="679"/>
      <c r="E44" s="231" t="s">
        <v>748</v>
      </c>
      <c r="F44" s="28"/>
      <c r="G44" s="28"/>
      <c r="H44" s="28"/>
      <c r="I44" s="28"/>
    </row>
    <row r="45" spans="1:9" ht="14.85" customHeight="1" x14ac:dyDescent="0.2">
      <c r="A45" s="28"/>
      <c r="B45" s="942" t="s">
        <v>724</v>
      </c>
      <c r="C45" s="942"/>
      <c r="D45" s="540">
        <v>0.1</v>
      </c>
      <c r="E45" s="448">
        <f>'Totals and Scenarios'!E57</f>
        <v>0.1</v>
      </c>
      <c r="F45" s="448">
        <f>'Totals and Scenarios'!F57</f>
        <v>0.1</v>
      </c>
      <c r="G45" s="448">
        <f>'Totals and Scenarios'!G57</f>
        <v>0.1</v>
      </c>
      <c r="H45" s="448">
        <f>'Totals and Scenarios'!H57</f>
        <v>0.1</v>
      </c>
      <c r="I45" s="448">
        <f>'Totals and Scenarios'!I57</f>
        <v>0.1</v>
      </c>
    </row>
    <row r="46" spans="1:9" x14ac:dyDescent="0.2">
      <c r="A46" s="28"/>
      <c r="B46" s="943" t="s">
        <v>725</v>
      </c>
      <c r="C46" s="943"/>
      <c r="D46" s="540">
        <v>1</v>
      </c>
      <c r="E46" s="831">
        <v>1</v>
      </c>
      <c r="F46" s="831">
        <v>1</v>
      </c>
      <c r="G46" s="831">
        <v>1</v>
      </c>
      <c r="H46" s="831">
        <v>1</v>
      </c>
      <c r="I46" s="831">
        <v>1</v>
      </c>
    </row>
    <row r="47" spans="1:9" x14ac:dyDescent="0.2">
      <c r="A47" s="28"/>
      <c r="B47" s="510" t="s">
        <v>734</v>
      </c>
      <c r="C47" s="511"/>
      <c r="D47" s="679"/>
      <c r="E47" s="231" t="s">
        <v>749</v>
      </c>
      <c r="F47" s="28"/>
      <c r="G47" s="28"/>
      <c r="H47" s="28"/>
      <c r="I47" s="28"/>
    </row>
    <row r="48" spans="1:9" ht="14.85" customHeight="1" x14ac:dyDescent="0.2">
      <c r="A48" s="28"/>
      <c r="B48" s="942" t="s">
        <v>735</v>
      </c>
      <c r="C48" s="942"/>
      <c r="D48" s="792">
        <v>0.8</v>
      </c>
      <c r="E48" s="448">
        <f>1-'Totals and Scenarios'!E60</f>
        <v>0.8</v>
      </c>
      <c r="F48" s="448">
        <f>1-'Totals and Scenarios'!F60</f>
        <v>0.8</v>
      </c>
      <c r="G48" s="448">
        <f>1-'Totals and Scenarios'!G60</f>
        <v>0.8</v>
      </c>
      <c r="H48" s="448">
        <f>1-'Totals and Scenarios'!H60</f>
        <v>0.8</v>
      </c>
      <c r="I48" s="448">
        <f>1-'Totals and Scenarios'!I60</f>
        <v>0.8</v>
      </c>
    </row>
    <row r="49" spans="1:11" x14ac:dyDescent="0.2">
      <c r="A49" s="28"/>
      <c r="B49" s="942" t="s">
        <v>736</v>
      </c>
      <c r="C49" s="942"/>
      <c r="D49" s="792">
        <v>0.8</v>
      </c>
      <c r="E49" s="448">
        <f>1-'Totals and Scenarios'!E61</f>
        <v>0.8</v>
      </c>
      <c r="F49" s="448">
        <f>1-'Totals and Scenarios'!F61</f>
        <v>0.8</v>
      </c>
      <c r="G49" s="448">
        <f>1-'Totals and Scenarios'!G61</f>
        <v>0.8</v>
      </c>
      <c r="H49" s="448">
        <f>1-'Totals and Scenarios'!H61</f>
        <v>0.8</v>
      </c>
      <c r="I49" s="448">
        <f>1-'Totals and Scenarios'!I61</f>
        <v>0.8</v>
      </c>
    </row>
    <row r="50" spans="1:11" x14ac:dyDescent="0.2">
      <c r="A50" s="28"/>
      <c r="B50" s="44"/>
      <c r="C50" s="509"/>
      <c r="D50" s="586"/>
      <c r="E50" s="28"/>
      <c r="F50" s="28"/>
      <c r="G50" s="28"/>
      <c r="H50" s="28"/>
      <c r="I50" s="28"/>
    </row>
    <row r="51" spans="1:11" x14ac:dyDescent="0.2">
      <c r="B51" s="507" t="s">
        <v>590</v>
      </c>
      <c r="C51" s="507"/>
      <c r="D51" s="769"/>
      <c r="E51" s="445"/>
      <c r="F51" s="445"/>
      <c r="G51" s="445"/>
      <c r="H51" s="445"/>
      <c r="I51" s="445"/>
      <c r="K51" s="435"/>
    </row>
    <row r="52" spans="1:11" x14ac:dyDescent="0.2">
      <c r="A52" s="28"/>
      <c r="B52" s="496" t="s">
        <v>592</v>
      </c>
      <c r="C52" s="509"/>
      <c r="D52" s="833">
        <f>VLOOKUP($C$1,Teachers!$B$3:$K$13,5,FALSE)</f>
        <v>429273.23</v>
      </c>
      <c r="E52" s="52">
        <f>VLOOKUP($C$1,Teachers!$B$3:$K$13,6,FALSE)</f>
        <v>429273.23</v>
      </c>
      <c r="F52" s="52">
        <f>VLOOKUP($C$1,Teachers!$B$3:$K$13,7,FALSE)</f>
        <v>433565.96230000001</v>
      </c>
      <c r="G52" s="52">
        <f>VLOOKUP($C$1,Teachers!$B$3:$K$13,8,FALSE)</f>
        <v>437901.62192300003</v>
      </c>
      <c r="H52" s="52">
        <f>VLOOKUP($C$1,Teachers!$B$3:$K$13,9,FALSE)</f>
        <v>429273.23</v>
      </c>
      <c r="I52" s="52">
        <f>VLOOKUP($C$1,Teachers!$B$3:$K$13,10,FALSE)</f>
        <v>429273.23</v>
      </c>
    </row>
    <row r="53" spans="1:11" x14ac:dyDescent="0.2">
      <c r="A53" s="28"/>
      <c r="B53" s="496" t="s">
        <v>683</v>
      </c>
      <c r="C53" s="509"/>
      <c r="D53" s="581">
        <v>15</v>
      </c>
      <c r="E53" s="641">
        <v>15</v>
      </c>
      <c r="F53" s="641">
        <v>15</v>
      </c>
      <c r="G53" s="641">
        <v>15</v>
      </c>
      <c r="H53" s="641">
        <v>15</v>
      </c>
      <c r="I53" s="641">
        <v>15</v>
      </c>
      <c r="K53" s="435"/>
    </row>
    <row r="54" spans="1:11" x14ac:dyDescent="0.2">
      <c r="A54" s="28"/>
      <c r="B54" s="496" t="s">
        <v>684</v>
      </c>
      <c r="C54" s="509"/>
      <c r="D54" s="786">
        <f>D52/D53</f>
        <v>28618.215333333334</v>
      </c>
      <c r="E54" s="446">
        <f>E52/E53</f>
        <v>28618.215333333334</v>
      </c>
      <c r="F54" s="446">
        <f t="shared" ref="F54:I54" si="16">F52/F53</f>
        <v>28904.397486666669</v>
      </c>
      <c r="G54" s="446">
        <f t="shared" si="16"/>
        <v>29193.441461533333</v>
      </c>
      <c r="H54" s="446">
        <f t="shared" si="16"/>
        <v>28618.215333333334</v>
      </c>
      <c r="I54" s="446">
        <f t="shared" si="16"/>
        <v>28618.215333333334</v>
      </c>
      <c r="K54" s="435"/>
    </row>
    <row r="55" spans="1:11" ht="14.85" customHeight="1" x14ac:dyDescent="0.2">
      <c r="A55" s="28"/>
      <c r="B55" s="517" t="s">
        <v>682</v>
      </c>
      <c r="C55" s="509"/>
      <c r="D55" s="581">
        <v>0</v>
      </c>
      <c r="E55" s="641">
        <v>0</v>
      </c>
      <c r="F55" s="641">
        <v>0</v>
      </c>
      <c r="G55" s="641">
        <v>0</v>
      </c>
      <c r="H55" s="641">
        <v>10</v>
      </c>
      <c r="I55" s="641">
        <v>10</v>
      </c>
      <c r="K55" s="435"/>
    </row>
    <row r="56" spans="1:11" x14ac:dyDescent="0.2">
      <c r="A56" s="28"/>
      <c r="B56" s="496" t="s">
        <v>685</v>
      </c>
      <c r="C56" s="509"/>
      <c r="D56" s="786">
        <f t="shared" ref="D56:I56" si="17">(D52/D53)*D55</f>
        <v>0</v>
      </c>
      <c r="E56" s="446">
        <f t="shared" si="17"/>
        <v>0</v>
      </c>
      <c r="F56" s="446">
        <f t="shared" si="17"/>
        <v>0</v>
      </c>
      <c r="G56" s="446">
        <f t="shared" si="17"/>
        <v>0</v>
      </c>
      <c r="H56" s="446">
        <f t="shared" si="17"/>
        <v>286182.15333333332</v>
      </c>
      <c r="I56" s="446">
        <f t="shared" si="17"/>
        <v>286182.15333333332</v>
      </c>
      <c r="K56" s="435"/>
    </row>
    <row r="57" spans="1:11" x14ac:dyDescent="0.2">
      <c r="A57" s="28"/>
      <c r="B57" s="71"/>
      <c r="C57" s="518"/>
      <c r="D57" s="834"/>
      <c r="E57" s="460"/>
      <c r="F57" s="460"/>
      <c r="G57" s="460"/>
      <c r="H57" s="460"/>
      <c r="I57" s="460"/>
    </row>
    <row r="58" spans="1:11" x14ac:dyDescent="0.2">
      <c r="A58" s="28"/>
      <c r="B58" s="29" t="s">
        <v>588</v>
      </c>
      <c r="C58" s="509"/>
      <c r="D58" s="786">
        <f>VLOOKUP($C$1,Teachers!$B$27:$C$37,2,FALSE)</f>
        <v>56</v>
      </c>
      <c r="E58" s="446">
        <f>VLOOKUP($C$1,Teachers!$B$27:$C$37,2,FALSE)</f>
        <v>56</v>
      </c>
      <c r="F58" s="446">
        <f>VLOOKUP($C$1,Teachers!$B$27:$C$37,2,FALSE)</f>
        <v>56</v>
      </c>
      <c r="G58" s="446">
        <f>VLOOKUP($C$1,Teachers!$B$27:$C$37,2,FALSE)</f>
        <v>56</v>
      </c>
      <c r="H58" s="446">
        <f>VLOOKUP($C$1,Teachers!$B$27:$C$37,2,FALSE)</f>
        <v>56</v>
      </c>
      <c r="I58" s="446">
        <f>VLOOKUP($C$1,Teachers!$B$27:$C$37,2,FALSE)</f>
        <v>56</v>
      </c>
    </row>
    <row r="59" spans="1:11" x14ac:dyDescent="0.2">
      <c r="A59" s="28"/>
      <c r="B59" s="491" t="s">
        <v>483</v>
      </c>
      <c r="C59" s="491"/>
      <c r="D59" s="727"/>
      <c r="E59" s="429"/>
      <c r="F59" s="429"/>
      <c r="G59" s="429"/>
      <c r="H59" s="429"/>
      <c r="I59" s="429"/>
    </row>
    <row r="60" spans="1:11" x14ac:dyDescent="0.2">
      <c r="A60" s="28"/>
      <c r="B60" s="494" t="str">
        <f>B10</f>
        <v>B.DTDC</v>
      </c>
      <c r="C60" s="495"/>
      <c r="D60" s="728"/>
      <c r="E60" s="430"/>
      <c r="F60" s="430"/>
      <c r="G60" s="430"/>
      <c r="H60" s="431"/>
      <c r="I60" s="431"/>
    </row>
    <row r="61" spans="1:11" x14ac:dyDescent="0.2">
      <c r="A61" s="28"/>
      <c r="B61" s="490" t="s">
        <v>675</v>
      </c>
      <c r="C61" s="496" t="s">
        <v>697</v>
      </c>
      <c r="D61" s="586"/>
      <c r="E61" s="28"/>
      <c r="F61" s="28"/>
      <c r="G61" s="28"/>
      <c r="H61" s="28"/>
      <c r="I61" s="28"/>
    </row>
    <row r="62" spans="1:11" x14ac:dyDescent="0.2">
      <c r="A62" s="28"/>
      <c r="B62" s="497" t="s">
        <v>398</v>
      </c>
      <c r="D62" s="581">
        <v>2</v>
      </c>
      <c r="E62" s="641">
        <v>2</v>
      </c>
      <c r="F62" s="641">
        <v>2</v>
      </c>
      <c r="G62" s="641">
        <v>2</v>
      </c>
      <c r="H62" s="641">
        <v>2</v>
      </c>
      <c r="I62" s="641">
        <v>2</v>
      </c>
    </row>
    <row r="63" spans="1:11" x14ac:dyDescent="0.2">
      <c r="A63" s="28"/>
      <c r="B63" s="498" t="s">
        <v>676</v>
      </c>
      <c r="D63" s="581">
        <v>2</v>
      </c>
      <c r="E63" s="641">
        <v>2</v>
      </c>
      <c r="F63" s="641">
        <v>2</v>
      </c>
      <c r="G63" s="641">
        <v>2</v>
      </c>
      <c r="H63" s="641">
        <v>2</v>
      </c>
      <c r="I63" s="641">
        <v>2</v>
      </c>
    </row>
    <row r="64" spans="1:11" x14ac:dyDescent="0.2">
      <c r="A64" s="28"/>
      <c r="B64" s="498" t="s">
        <v>677</v>
      </c>
      <c r="D64" s="610">
        <f>D52/D66</f>
        <v>71.545538333333326</v>
      </c>
      <c r="E64" s="401">
        <f t="shared" ref="E64:I64" si="18">E52/E66</f>
        <v>71.545538333333326</v>
      </c>
      <c r="F64" s="401">
        <f t="shared" si="18"/>
        <v>72.260993716666675</v>
      </c>
      <c r="G64" s="401">
        <f t="shared" si="18"/>
        <v>72.983603653833342</v>
      </c>
      <c r="H64" s="401">
        <f t="shared" si="18"/>
        <v>71.545538333333326</v>
      </c>
      <c r="I64" s="401">
        <f t="shared" si="18"/>
        <v>71.545538333333326</v>
      </c>
    </row>
    <row r="65" spans="1:9" x14ac:dyDescent="0.2">
      <c r="A65" s="28"/>
      <c r="B65" s="498" t="s">
        <v>416</v>
      </c>
      <c r="D65" s="610">
        <f>D52/D67</f>
        <v>143.09107666666665</v>
      </c>
      <c r="E65" s="401">
        <f t="shared" ref="E65:I65" si="19">E52/E67</f>
        <v>143.09107666666665</v>
      </c>
      <c r="F65" s="401">
        <f t="shared" si="19"/>
        <v>144.52198743333335</v>
      </c>
      <c r="G65" s="401">
        <f t="shared" si="19"/>
        <v>145.96720730766668</v>
      </c>
      <c r="H65" s="401">
        <f>H52/H67</f>
        <v>143.09107666666665</v>
      </c>
      <c r="I65" s="401">
        <f t="shared" si="19"/>
        <v>143.09107666666665</v>
      </c>
    </row>
    <row r="66" spans="1:9" x14ac:dyDescent="0.2">
      <c r="A66" s="28"/>
      <c r="B66" s="514" t="s">
        <v>693</v>
      </c>
      <c r="D66" s="581">
        <v>6000</v>
      </c>
      <c r="E66" s="641">
        <v>6000</v>
      </c>
      <c r="F66" s="641">
        <v>6000</v>
      </c>
      <c r="G66" s="641">
        <v>6000</v>
      </c>
      <c r="H66" s="641">
        <v>6000</v>
      </c>
      <c r="I66" s="641">
        <v>6000</v>
      </c>
    </row>
    <row r="67" spans="1:9" x14ac:dyDescent="0.2">
      <c r="A67" s="28"/>
      <c r="B67" s="514" t="s">
        <v>666</v>
      </c>
      <c r="D67" s="581">
        <v>3000</v>
      </c>
      <c r="E67" s="641">
        <v>3000</v>
      </c>
      <c r="F67" s="641">
        <v>3000</v>
      </c>
      <c r="G67" s="641">
        <v>3000</v>
      </c>
      <c r="H67" s="641">
        <v>3000</v>
      </c>
      <c r="I67" s="641">
        <v>3000</v>
      </c>
    </row>
    <row r="68" spans="1:9" x14ac:dyDescent="0.2">
      <c r="A68" s="28"/>
      <c r="B68" s="490" t="s">
        <v>678</v>
      </c>
      <c r="C68" s="496" t="s">
        <v>697</v>
      </c>
      <c r="D68" s="586"/>
      <c r="E68" s="28"/>
      <c r="F68" s="28"/>
      <c r="G68" s="28"/>
      <c r="H68" s="28"/>
      <c r="I68" s="28"/>
    </row>
    <row r="69" spans="1:9" x14ac:dyDescent="0.2">
      <c r="A69" s="28"/>
      <c r="B69" s="498" t="s">
        <v>651</v>
      </c>
      <c r="C69" s="496"/>
      <c r="D69" s="811">
        <f t="shared" ref="D69:I69" si="20">D70/D74</f>
        <v>9.4440110599999993</v>
      </c>
      <c r="E69" s="451">
        <f t="shared" si="20"/>
        <v>9.4440110599999993</v>
      </c>
      <c r="F69" s="451">
        <f t="shared" si="20"/>
        <v>9.5384511706000019</v>
      </c>
      <c r="G69" s="451">
        <f t="shared" si="20"/>
        <v>9.6338356823060014</v>
      </c>
      <c r="H69" s="451">
        <f t="shared" si="20"/>
        <v>9.4440110599999993</v>
      </c>
      <c r="I69" s="451">
        <f t="shared" si="20"/>
        <v>9.4440110599999993</v>
      </c>
    </row>
    <row r="70" spans="1:9" x14ac:dyDescent="0.2">
      <c r="A70" s="28"/>
      <c r="B70" s="498" t="s">
        <v>415</v>
      </c>
      <c r="C70" s="496"/>
      <c r="D70" s="803">
        <f t="shared" ref="D70:I70" si="21">D42/D72+D43/D73</f>
        <v>75.552088479999995</v>
      </c>
      <c r="E70" s="449">
        <f t="shared" si="21"/>
        <v>75.552088479999995</v>
      </c>
      <c r="F70" s="449">
        <f t="shared" si="21"/>
        <v>76.307609364800015</v>
      </c>
      <c r="G70" s="449">
        <f t="shared" si="21"/>
        <v>77.070685458448011</v>
      </c>
      <c r="H70" s="449">
        <f t="shared" si="21"/>
        <v>75.552088479999995</v>
      </c>
      <c r="I70" s="449">
        <f t="shared" si="21"/>
        <v>75.552088479999995</v>
      </c>
    </row>
    <row r="71" spans="1:9" x14ac:dyDescent="0.2">
      <c r="A71" s="28"/>
      <c r="B71" s="498" t="s">
        <v>416</v>
      </c>
      <c r="C71" s="496"/>
      <c r="D71" s="805">
        <f>D69</f>
        <v>9.4440110599999993</v>
      </c>
      <c r="E71" s="450">
        <f t="shared" ref="E71:I71" si="22">E69</f>
        <v>9.4440110599999993</v>
      </c>
      <c r="F71" s="450">
        <f t="shared" si="22"/>
        <v>9.5384511706000019</v>
      </c>
      <c r="G71" s="450">
        <f t="shared" si="22"/>
        <v>9.6338356823060014</v>
      </c>
      <c r="H71" s="450">
        <f t="shared" si="22"/>
        <v>9.4440110599999993</v>
      </c>
      <c r="I71" s="450">
        <f t="shared" si="22"/>
        <v>9.4440110599999993</v>
      </c>
    </row>
    <row r="72" spans="1:9" x14ac:dyDescent="0.2">
      <c r="A72" s="28"/>
      <c r="B72" s="498" t="s">
        <v>655</v>
      </c>
      <c r="C72" s="496"/>
      <c r="D72" s="581">
        <v>25</v>
      </c>
      <c r="E72" s="641">
        <v>25</v>
      </c>
      <c r="F72" s="641">
        <v>25</v>
      </c>
      <c r="G72" s="641">
        <v>25</v>
      </c>
      <c r="H72" s="641">
        <v>25</v>
      </c>
      <c r="I72" s="641">
        <v>25</v>
      </c>
    </row>
    <row r="73" spans="1:9" x14ac:dyDescent="0.2">
      <c r="A73" s="28"/>
      <c r="B73" s="498" t="s">
        <v>656</v>
      </c>
      <c r="C73" s="496"/>
      <c r="D73" s="581">
        <v>10</v>
      </c>
      <c r="E73" s="641">
        <v>10</v>
      </c>
      <c r="F73" s="641">
        <v>10</v>
      </c>
      <c r="G73" s="641">
        <v>10</v>
      </c>
      <c r="H73" s="641">
        <v>10</v>
      </c>
      <c r="I73" s="641">
        <v>10</v>
      </c>
    </row>
    <row r="74" spans="1:9" x14ac:dyDescent="0.2">
      <c r="A74" s="28"/>
      <c r="B74" s="498" t="s">
        <v>657</v>
      </c>
      <c r="C74" s="496"/>
      <c r="D74" s="581">
        <v>8</v>
      </c>
      <c r="E74" s="641">
        <v>8</v>
      </c>
      <c r="F74" s="641">
        <v>8</v>
      </c>
      <c r="G74" s="641">
        <v>8</v>
      </c>
      <c r="H74" s="641">
        <v>8</v>
      </c>
      <c r="I74" s="641">
        <v>8</v>
      </c>
    </row>
    <row r="75" spans="1:9" x14ac:dyDescent="0.2">
      <c r="A75" s="28"/>
      <c r="B75" s="512" t="s">
        <v>538</v>
      </c>
      <c r="C75" s="28"/>
      <c r="D75" s="813">
        <f>SUM(D77:D81)</f>
        <v>254166669.65777999</v>
      </c>
      <c r="E75" s="452">
        <f t="shared" ref="E75:I75" si="23">SUM(E77:E81)</f>
        <v>254166669.65777999</v>
      </c>
      <c r="F75" s="452">
        <f t="shared" si="23"/>
        <v>267056487.56792775</v>
      </c>
      <c r="G75" s="452">
        <f t="shared" si="23"/>
        <v>280526470.02855408</v>
      </c>
      <c r="H75" s="452">
        <f t="shared" si="23"/>
        <v>254166669.65777999</v>
      </c>
      <c r="I75" s="452">
        <f t="shared" si="23"/>
        <v>254166669.65777999</v>
      </c>
    </row>
    <row r="76" spans="1:9" x14ac:dyDescent="0.2">
      <c r="A76" s="28"/>
      <c r="B76" s="513" t="s">
        <v>652</v>
      </c>
      <c r="C76" s="28"/>
      <c r="D76" s="815">
        <f>ROUNDUP(D42/GenAssumptions!D60,0)</f>
        <v>64</v>
      </c>
      <c r="E76" s="453">
        <f>ROUNDUP(E42/GenAssumptions!E60,0)</f>
        <v>64</v>
      </c>
      <c r="F76" s="453">
        <f>ROUNDUP(F42/GenAssumptions!F60,0)</f>
        <v>65</v>
      </c>
      <c r="G76" s="453">
        <f>ROUNDUP(G42/GenAssumptions!G60,0)</f>
        <v>65</v>
      </c>
      <c r="H76" s="453">
        <f>ROUNDUP(H42/GenAssumptions!H60,0)</f>
        <v>64</v>
      </c>
      <c r="I76" s="453">
        <f>ROUNDUP(I42/GenAssumptions!I60,0)</f>
        <v>64</v>
      </c>
    </row>
    <row r="77" spans="1:9" x14ac:dyDescent="0.2">
      <c r="A77" s="28"/>
      <c r="B77" s="513" t="s">
        <v>604</v>
      </c>
      <c r="C77" s="28"/>
      <c r="D77" s="816">
        <f>D42*GenAssumptions!D52</f>
        <v>85940500.645999998</v>
      </c>
      <c r="E77" s="454">
        <f>E42*GenAssumptions!E52</f>
        <v>85940500.645999998</v>
      </c>
      <c r="F77" s="454">
        <f>F42*GenAssumptions!F52</f>
        <v>91660700.368997782</v>
      </c>
      <c r="G77" s="454">
        <f>G42*GenAssumptions!G52</f>
        <v>97576481.970812902</v>
      </c>
      <c r="H77" s="454">
        <f>H42*GenAssumptions!H52</f>
        <v>85940500.645999998</v>
      </c>
      <c r="I77" s="454">
        <f>I42*GenAssumptions!I52</f>
        <v>85940500.645999998</v>
      </c>
    </row>
    <row r="78" spans="1:9" x14ac:dyDescent="0.2">
      <c r="A78" s="28"/>
      <c r="B78" s="513" t="s">
        <v>737</v>
      </c>
      <c r="C78" s="28"/>
      <c r="D78" s="816">
        <f>D42*D48*GenAssumptions!D41*GenAssumptions!D45*GenAssumptions!D49</f>
        <v>67996879.631999999</v>
      </c>
      <c r="E78" s="454">
        <f>E42*E48*GenAssumptions!E41*GenAssumptions!E45*GenAssumptions!E49</f>
        <v>67996879.631999999</v>
      </c>
      <c r="F78" s="454">
        <f>F42*F48*GenAssumptions!F41*GenAssumptions!F45*GenAssumptions!F49</f>
        <v>68676848.42832002</v>
      </c>
      <c r="G78" s="454">
        <f>G42*G48*GenAssumptions!G41*GenAssumptions!G45*GenAssumptions!G49</f>
        <v>69363616.912603229</v>
      </c>
      <c r="H78" s="454">
        <f>H42*H48*GenAssumptions!H41*GenAssumptions!H45*GenAssumptions!H49</f>
        <v>67996879.631999999</v>
      </c>
      <c r="I78" s="454">
        <f>I42*I48*GenAssumptions!I41*GenAssumptions!I45*GenAssumptions!I49</f>
        <v>67996879.631999999</v>
      </c>
    </row>
    <row r="79" spans="1:9" x14ac:dyDescent="0.2">
      <c r="A79" s="28"/>
      <c r="B79" s="513" t="s">
        <v>605</v>
      </c>
      <c r="C79" s="28"/>
      <c r="D79" s="816">
        <f>D42*GenAssumptions!D69</f>
        <v>3210963.7603999996</v>
      </c>
      <c r="E79" s="454">
        <f>E42*GenAssumptions!E69</f>
        <v>3210963.7603999996</v>
      </c>
      <c r="F79" s="454">
        <f>F42*GenAssumptions!F69</f>
        <v>3243073.398004001</v>
      </c>
      <c r="G79" s="454">
        <f>G42*GenAssumptions!G69</f>
        <v>3275504.1319840406</v>
      </c>
      <c r="H79" s="454">
        <f>H42*GenAssumptions!H69</f>
        <v>3210963.7603999996</v>
      </c>
      <c r="I79" s="454">
        <f>I42*GenAssumptions!I69</f>
        <v>3210963.7603999996</v>
      </c>
    </row>
    <row r="80" spans="1:9" x14ac:dyDescent="0.2">
      <c r="A80" s="28"/>
      <c r="B80" s="513" t="s">
        <v>375</v>
      </c>
      <c r="C80" s="28"/>
      <c r="D80" s="816">
        <f>D42*D45*GenAssumptions!D89</f>
        <v>8782930.2858000007</v>
      </c>
      <c r="E80" s="454">
        <f>E42*E45*GenAssumptions!E89</f>
        <v>8782930.2858000007</v>
      </c>
      <c r="F80" s="454">
        <f>F42*F45*GenAssumptions!F89</f>
        <v>9367522.1256228499</v>
      </c>
      <c r="G80" s="454">
        <f>G42*G45*GenAssumptions!G89</f>
        <v>9972102.0036105514</v>
      </c>
      <c r="H80" s="454">
        <f>H42*H45*GenAssumptions!H89</f>
        <v>8782930.2858000007</v>
      </c>
      <c r="I80" s="454">
        <f>I42*I45*GenAssumptions!I89</f>
        <v>8782930.2858000007</v>
      </c>
    </row>
    <row r="81" spans="1:9" x14ac:dyDescent="0.2">
      <c r="A81" s="28"/>
      <c r="B81" s="513" t="s">
        <v>603</v>
      </c>
      <c r="C81" s="28"/>
      <c r="D81" s="816">
        <f>D42*GenAssumptions!D94</f>
        <v>88235395.333579987</v>
      </c>
      <c r="E81" s="454">
        <f>E42*GenAssumptions!E94</f>
        <v>88235395.333579987</v>
      </c>
      <c r="F81" s="454">
        <f>F42*GenAssumptions!F94</f>
        <v>94108343.246983111</v>
      </c>
      <c r="G81" s="454">
        <f>G42*GenAssumptions!G94</f>
        <v>100338765.00954334</v>
      </c>
      <c r="H81" s="454">
        <f>H42*GenAssumptions!H94</f>
        <v>88235395.333579987</v>
      </c>
      <c r="I81" s="454">
        <f>I42*GenAssumptions!I94</f>
        <v>88235395.333579987</v>
      </c>
    </row>
    <row r="82" spans="1:9" x14ac:dyDescent="0.2">
      <c r="A82" s="28"/>
      <c r="B82" s="512" t="s">
        <v>544</v>
      </c>
      <c r="C82" s="28"/>
      <c r="D82" s="813">
        <f>SUM(D85:D88)</f>
        <v>0</v>
      </c>
      <c r="E82" s="452">
        <f t="shared" ref="E82:I82" si="24">SUM(E85:E88)</f>
        <v>0</v>
      </c>
      <c r="F82" s="452">
        <f t="shared" si="24"/>
        <v>0</v>
      </c>
      <c r="G82" s="452">
        <f t="shared" si="24"/>
        <v>0</v>
      </c>
      <c r="H82" s="452">
        <f t="shared" si="24"/>
        <v>0</v>
      </c>
      <c r="I82" s="452">
        <f t="shared" si="24"/>
        <v>0</v>
      </c>
    </row>
    <row r="83" spans="1:9" x14ac:dyDescent="0.2">
      <c r="A83" s="28"/>
      <c r="B83" s="513" t="s">
        <v>652</v>
      </c>
      <c r="C83" s="28"/>
      <c r="D83" s="815">
        <f>ROUNDUP(D43/GenAssumptions!D61,0)</f>
        <v>0</v>
      </c>
      <c r="E83" s="453">
        <f>ROUNDUP(E43/GenAssumptions!E61,0)</f>
        <v>0</v>
      </c>
      <c r="F83" s="453">
        <f>ROUNDUP(F43/GenAssumptions!F61,0)</f>
        <v>0</v>
      </c>
      <c r="G83" s="453">
        <f>ROUNDUP(G43/GenAssumptions!G61,0)</f>
        <v>0</v>
      </c>
      <c r="H83" s="453">
        <f>ROUNDUP(H43/GenAssumptions!H61,0)</f>
        <v>0</v>
      </c>
      <c r="I83" s="453">
        <f>ROUNDUP(I43/GenAssumptions!I61,0)</f>
        <v>0</v>
      </c>
    </row>
    <row r="84" spans="1:9" x14ac:dyDescent="0.2">
      <c r="A84" s="28"/>
      <c r="B84" s="513" t="s">
        <v>737</v>
      </c>
      <c r="C84" s="28"/>
      <c r="D84" s="815">
        <f>D43*D49*GenAssumptions!D42*GenAssumptions!D46*GenAssumptions!D49</f>
        <v>0</v>
      </c>
      <c r="E84" s="453">
        <f>E43*E49*GenAssumptions!E42*GenAssumptions!E46*GenAssumptions!E49</f>
        <v>0</v>
      </c>
      <c r="F84" s="453">
        <f>F43*F49*GenAssumptions!F42*GenAssumptions!F46*GenAssumptions!F49</f>
        <v>0</v>
      </c>
      <c r="G84" s="453">
        <f>G43*G49*GenAssumptions!G42*GenAssumptions!G46*GenAssumptions!G49</f>
        <v>0</v>
      </c>
      <c r="H84" s="453">
        <f>H43*H49*GenAssumptions!H42*GenAssumptions!H46*GenAssumptions!H49</f>
        <v>0</v>
      </c>
      <c r="I84" s="453">
        <f>I43*I49*GenAssumptions!I42*GenAssumptions!I46*GenAssumptions!I49</f>
        <v>0</v>
      </c>
    </row>
    <row r="85" spans="1:9" x14ac:dyDescent="0.2">
      <c r="A85" s="28"/>
      <c r="B85" s="513" t="s">
        <v>604</v>
      </c>
      <c r="C85" s="28"/>
      <c r="D85" s="816">
        <f>D43*GenAssumptions!D53</f>
        <v>0</v>
      </c>
      <c r="E85" s="454">
        <f>E43*GenAssumptions!E53</f>
        <v>0</v>
      </c>
      <c r="F85" s="454">
        <f>F43*GenAssumptions!F53</f>
        <v>0</v>
      </c>
      <c r="G85" s="454">
        <f>G43*GenAssumptions!G53</f>
        <v>0</v>
      </c>
      <c r="H85" s="454">
        <f>H43*GenAssumptions!H53</f>
        <v>0</v>
      </c>
      <c r="I85" s="454">
        <f>I43*GenAssumptions!I53</f>
        <v>0</v>
      </c>
    </row>
    <row r="86" spans="1:9" x14ac:dyDescent="0.2">
      <c r="A86" s="28"/>
      <c r="B86" s="513" t="s">
        <v>605</v>
      </c>
      <c r="C86" s="28"/>
      <c r="D86" s="816">
        <f>D43*GenAssumptions!D70</f>
        <v>0</v>
      </c>
      <c r="E86" s="454">
        <f>E43*GenAssumptions!E70</f>
        <v>0</v>
      </c>
      <c r="F86" s="454">
        <f>F43*GenAssumptions!F70</f>
        <v>0</v>
      </c>
      <c r="G86" s="454">
        <f>G43*GenAssumptions!G70</f>
        <v>0</v>
      </c>
      <c r="H86" s="454">
        <f>H43*GenAssumptions!H70</f>
        <v>0</v>
      </c>
      <c r="I86" s="454">
        <f>I43*GenAssumptions!I70</f>
        <v>0</v>
      </c>
    </row>
    <row r="87" spans="1:9" x14ac:dyDescent="0.2">
      <c r="A87" s="28"/>
      <c r="B87" s="513" t="s">
        <v>375</v>
      </c>
      <c r="C87" s="28"/>
      <c r="D87" s="816">
        <f>D43*D46*GenAssumptions!D97</f>
        <v>0</v>
      </c>
      <c r="E87" s="454">
        <f>E43*E46*GenAssumptions!E97</f>
        <v>0</v>
      </c>
      <c r="F87" s="454">
        <f>F43*F46*GenAssumptions!F97</f>
        <v>0</v>
      </c>
      <c r="G87" s="454">
        <f>G43*G46*GenAssumptions!G97</f>
        <v>0</v>
      </c>
      <c r="H87" s="454">
        <f>H43*H46*GenAssumptions!H97</f>
        <v>0</v>
      </c>
      <c r="I87" s="454">
        <f>I43*I46*GenAssumptions!I97</f>
        <v>0</v>
      </c>
    </row>
    <row r="88" spans="1:9" x14ac:dyDescent="0.2">
      <c r="A88" s="28"/>
      <c r="B88" s="513" t="s">
        <v>603</v>
      </c>
      <c r="C88" s="28"/>
      <c r="D88" s="816">
        <f>D43*GenAssumptions!D102</f>
        <v>0</v>
      </c>
      <c r="E88" s="454">
        <f>E43*GenAssumptions!E102</f>
        <v>0</v>
      </c>
      <c r="F88" s="454">
        <f>F43*GenAssumptions!F102</f>
        <v>0</v>
      </c>
      <c r="G88" s="454">
        <f>G43*GenAssumptions!G102</f>
        <v>0</v>
      </c>
      <c r="H88" s="454">
        <f>H43*GenAssumptions!H102</f>
        <v>0</v>
      </c>
      <c r="I88" s="454">
        <f>I43*GenAssumptions!I102</f>
        <v>0</v>
      </c>
    </row>
    <row r="89" spans="1:9" x14ac:dyDescent="0.2">
      <c r="A89" s="28"/>
      <c r="B89" s="490" t="s">
        <v>593</v>
      </c>
      <c r="C89" s="28"/>
      <c r="D89" s="816"/>
      <c r="E89" s="454"/>
      <c r="F89" s="454"/>
      <c r="G89" s="454"/>
      <c r="H89" s="454"/>
      <c r="I89" s="454"/>
    </row>
    <row r="90" spans="1:9" x14ac:dyDescent="0.2">
      <c r="A90" s="28"/>
      <c r="B90" s="512" t="s">
        <v>661</v>
      </c>
      <c r="C90" s="496" t="s">
        <v>696</v>
      </c>
      <c r="D90" s="581">
        <v>1</v>
      </c>
      <c r="E90" s="641">
        <v>1</v>
      </c>
      <c r="F90" s="641">
        <v>1</v>
      </c>
      <c r="G90" s="641">
        <v>1</v>
      </c>
      <c r="H90" s="641">
        <v>1</v>
      </c>
      <c r="I90" s="641">
        <v>1</v>
      </c>
    </row>
    <row r="91" spans="1:9" x14ac:dyDescent="0.2">
      <c r="A91" s="28"/>
      <c r="B91" s="512" t="s">
        <v>662</v>
      </c>
      <c r="C91" s="496" t="s">
        <v>697</v>
      </c>
      <c r="D91" s="817">
        <f>IF($C$1=$U$13,ROUNDUP(Teachers!F4/D92,0)+ROUNDUP(Teachers!F5/D92,0)+ROUNDUP(Teachers!F6/D92,0)+ROUNDUP(Teachers!F7/D92,0)+ROUNDUP(Teachers!F8/D92,0)+ROUNDUP(Teachers!F9/D92,0)+ROUNDUP(Teachers!F10/D92,0)+ROUNDUP(Teachers!F11/D92,0)+ROUNDUP(Teachers!F12/D92,0),ROUNDUP(D52/D92,0))</f>
        <v>25</v>
      </c>
      <c r="E91" s="455">
        <f>IF($C$1=$U$13,ROUNDUP(Teachers!G4/E92,0)+ROUNDUP(Teachers!G5/E92,0)+ROUNDUP(Teachers!G6/E92,0)+ROUNDUP(Teachers!G7/E92,0)+ROUNDUP(Teachers!G8/E92,0)+ROUNDUP(Teachers!G9/E92,0)+ROUNDUP(Teachers!G10/E92,0)+ROUNDUP(Teachers!G11/E92,0)+ROUNDUP(Teachers!G12/E92,0),ROUNDUP(E52/E92,0))</f>
        <v>25</v>
      </c>
      <c r="F91" s="455">
        <f>IF($C$1=$U$13,ROUNDUP(Teachers!H4/F92,0)+ROUNDUP(Teachers!H5/F92,0)+ROUNDUP(Teachers!H6/F92,0)+ROUNDUP(Teachers!H7/F92,0)+ROUNDUP(Teachers!H8/F92,0)+ROUNDUP(Teachers!H9/F92,0)+ROUNDUP(Teachers!H10/F92,0)+ROUNDUP(Teachers!H11/F92,0)+ROUNDUP(Teachers!H12/F92,0),ROUNDUP(F52/F92,0))</f>
        <v>25</v>
      </c>
      <c r="G91" s="455">
        <f>IF($C$1=$U$13,ROUNDUP(Teachers!I4/G92,0)+ROUNDUP(Teachers!I5/G92,0)+ROUNDUP(Teachers!I6/G92,0)+ROUNDUP(Teachers!I7/G92,0)+ROUNDUP(Teachers!I8/G92,0)+ROUNDUP(Teachers!I9/G92,0)+ROUNDUP(Teachers!I10/G92,0)+ROUNDUP(Teachers!I11/G92,0)+ROUNDUP(Teachers!I12/G92,0),ROUNDUP(G52/G92,0))</f>
        <v>25</v>
      </c>
      <c r="H91" s="455">
        <f>IF($C$1=$U$13,ROUNDUP(Teachers!J4/H92,0)+ROUNDUP(Teachers!J5/H92,0)+ROUNDUP(Teachers!J6/H92,0)+ROUNDUP(Teachers!J7/H92,0)+ROUNDUP(Teachers!J8/H92,0)+ROUNDUP(Teachers!J9/H92,0)+ROUNDUP(Teachers!J10/H92,0)+ROUNDUP(Teachers!J11/H92,0)+ROUNDUP(Teachers!J12/H92,0),ROUNDUP(H52/H92,0))</f>
        <v>25</v>
      </c>
      <c r="I91" s="455">
        <f>IF($C$1=$U$13,ROUNDUP(Teachers!K4/I92,0)+ROUNDUP(Teachers!K5/I92,0)+ROUNDUP(Teachers!K6/I92,0)+ROUNDUP(Teachers!K7/I92,0)+ROUNDUP(Teachers!K8/I92,0)+ROUNDUP(Teachers!K9/I92,0)+ROUNDUP(Teachers!K10/I92,0)+ROUNDUP(Teachers!K11/I92,0)+ROUNDUP(Teachers!K12/I92,0),ROUNDUP(I52/I92,0))</f>
        <v>25</v>
      </c>
    </row>
    <row r="92" spans="1:9" x14ac:dyDescent="0.2">
      <c r="A92" s="28"/>
      <c r="B92" s="513" t="s">
        <v>666</v>
      </c>
      <c r="C92" s="28"/>
      <c r="D92" s="581">
        <v>20000</v>
      </c>
      <c r="E92" s="641">
        <v>20000</v>
      </c>
      <c r="F92" s="641">
        <v>20000</v>
      </c>
      <c r="G92" s="641">
        <v>20000</v>
      </c>
      <c r="H92" s="641">
        <v>20000</v>
      </c>
      <c r="I92" s="641">
        <v>20000</v>
      </c>
    </row>
    <row r="93" spans="1:9" x14ac:dyDescent="0.2">
      <c r="A93" s="28"/>
      <c r="B93" s="512" t="s">
        <v>663</v>
      </c>
      <c r="C93" s="496" t="s">
        <v>696</v>
      </c>
      <c r="D93" s="729">
        <v>1000000</v>
      </c>
      <c r="E93" s="711">
        <v>1000000</v>
      </c>
      <c r="F93" s="711">
        <v>1000000</v>
      </c>
      <c r="G93" s="711">
        <v>1000000</v>
      </c>
      <c r="H93" s="711">
        <v>1000000</v>
      </c>
      <c r="I93" s="711">
        <v>1000000</v>
      </c>
    </row>
    <row r="94" spans="1:9" x14ac:dyDescent="0.2">
      <c r="A94" s="28"/>
      <c r="B94" s="512" t="s">
        <v>664</v>
      </c>
      <c r="C94" s="496" t="s">
        <v>697</v>
      </c>
      <c r="D94" s="816">
        <f t="shared" ref="D94:I94" si="25">D52*D95</f>
        <v>21463661.5</v>
      </c>
      <c r="E94" s="454">
        <f t="shared" si="25"/>
        <v>21463661.5</v>
      </c>
      <c r="F94" s="454">
        <f t="shared" si="25"/>
        <v>22892282.809440002</v>
      </c>
      <c r="G94" s="454">
        <f t="shared" si="25"/>
        <v>24369750.741961263</v>
      </c>
      <c r="H94" s="454">
        <f t="shared" si="25"/>
        <v>21463661.5</v>
      </c>
      <c r="I94" s="454">
        <f t="shared" si="25"/>
        <v>21463661.5</v>
      </c>
    </row>
    <row r="95" spans="1:9" x14ac:dyDescent="0.2">
      <c r="A95" s="28"/>
      <c r="B95" s="513" t="s">
        <v>665</v>
      </c>
      <c r="C95" s="28"/>
      <c r="D95" s="819">
        <v>50</v>
      </c>
      <c r="E95" s="711">
        <v>50</v>
      </c>
      <c r="F95" s="461">
        <f>E95*(1+GenAssumptions!F6)</f>
        <v>52.800000000000004</v>
      </c>
      <c r="G95" s="461">
        <f>F95*(1+GenAssumptions!G6)</f>
        <v>55.65120000000001</v>
      </c>
      <c r="H95" s="711">
        <v>50</v>
      </c>
      <c r="I95" s="711">
        <v>50</v>
      </c>
    </row>
    <row r="96" spans="1:9" x14ac:dyDescent="0.2">
      <c r="A96" s="28"/>
      <c r="B96" s="490" t="s">
        <v>679</v>
      </c>
      <c r="C96" s="496" t="s">
        <v>697</v>
      </c>
      <c r="D96" s="728"/>
      <c r="E96" s="430"/>
      <c r="F96" s="430"/>
      <c r="G96" s="430"/>
      <c r="H96" s="431"/>
      <c r="I96" s="431"/>
    </row>
    <row r="97" spans="1:9" x14ac:dyDescent="0.2">
      <c r="B97" s="498" t="s">
        <v>680</v>
      </c>
      <c r="D97" s="610">
        <f t="shared" ref="D97:I97" si="26">D54/D99</f>
        <v>357.72769166666666</v>
      </c>
      <c r="E97" s="401">
        <f t="shared" si="26"/>
        <v>357.72769166666666</v>
      </c>
      <c r="F97" s="401">
        <f t="shared" si="26"/>
        <v>361.30496858333333</v>
      </c>
      <c r="G97" s="401">
        <f t="shared" si="26"/>
        <v>364.91801826916668</v>
      </c>
      <c r="H97" s="401">
        <f t="shared" si="26"/>
        <v>357.72769166666666</v>
      </c>
      <c r="I97" s="401">
        <f t="shared" si="26"/>
        <v>357.72769166666666</v>
      </c>
    </row>
    <row r="98" spans="1:9" x14ac:dyDescent="0.2">
      <c r="B98" s="498" t="s">
        <v>694</v>
      </c>
      <c r="D98" s="610">
        <f t="shared" ref="D98:I98" si="27">(D54/D100)*IF(D102=0,0.5,1)</f>
        <v>71.54553833333334</v>
      </c>
      <c r="E98" s="401">
        <f t="shared" si="27"/>
        <v>71.54553833333334</v>
      </c>
      <c r="F98" s="401">
        <f t="shared" si="27"/>
        <v>72.260993716666675</v>
      </c>
      <c r="G98" s="401">
        <f t="shared" si="27"/>
        <v>72.983603653833327</v>
      </c>
      <c r="H98" s="401">
        <f t="shared" si="27"/>
        <v>143.09107666666668</v>
      </c>
      <c r="I98" s="401">
        <f t="shared" si="27"/>
        <v>143.09107666666668</v>
      </c>
    </row>
    <row r="99" spans="1:9" x14ac:dyDescent="0.2">
      <c r="B99" s="513" t="s">
        <v>686</v>
      </c>
      <c r="D99" s="581">
        <v>80</v>
      </c>
      <c r="E99" s="641">
        <v>80</v>
      </c>
      <c r="F99" s="641">
        <v>80</v>
      </c>
      <c r="G99" s="641">
        <v>80</v>
      </c>
      <c r="H99" s="641">
        <v>80</v>
      </c>
      <c r="I99" s="641">
        <v>80</v>
      </c>
    </row>
    <row r="100" spans="1:9" x14ac:dyDescent="0.2">
      <c r="B100" s="513" t="s">
        <v>681</v>
      </c>
      <c r="D100" s="581">
        <v>200</v>
      </c>
      <c r="E100" s="641">
        <v>200</v>
      </c>
      <c r="F100" s="641">
        <v>200</v>
      </c>
      <c r="G100" s="641">
        <v>200</v>
      </c>
      <c r="H100" s="641">
        <v>200</v>
      </c>
      <c r="I100" s="641">
        <v>200</v>
      </c>
    </row>
    <row r="101" spans="1:9" x14ac:dyDescent="0.2">
      <c r="B101" s="519" t="s">
        <v>687</v>
      </c>
      <c r="C101" s="509"/>
      <c r="D101" s="835">
        <f>D56*GenAssumptions!D29</f>
        <v>0</v>
      </c>
      <c r="E101" s="462">
        <f>E56*GenAssumptions!E29</f>
        <v>0</v>
      </c>
      <c r="F101" s="462">
        <f>F56*GenAssumptions!F29</f>
        <v>0</v>
      </c>
      <c r="G101" s="462">
        <f>G56*GenAssumptions!G29</f>
        <v>0</v>
      </c>
      <c r="H101" s="462">
        <f>H56*GenAssumptions!H29</f>
        <v>57236430.666666664</v>
      </c>
      <c r="I101" s="462">
        <f>I56*GenAssumptions!I29</f>
        <v>57236430.666666664</v>
      </c>
    </row>
    <row r="102" spans="1:9" x14ac:dyDescent="0.2">
      <c r="B102" s="519" t="s">
        <v>688</v>
      </c>
      <c r="C102" s="509"/>
      <c r="D102" s="835">
        <f>D52*D103*D55*GenAssumptions!D31</f>
        <v>0</v>
      </c>
      <c r="E102" s="462">
        <f>E52*E103*E55*GenAssumptions!E31</f>
        <v>0</v>
      </c>
      <c r="F102" s="462">
        <f>F52*F103*F55*GenAssumptions!F31</f>
        <v>0</v>
      </c>
      <c r="G102" s="462">
        <f>G52*G103*G55*GenAssumptions!G31</f>
        <v>0</v>
      </c>
      <c r="H102" s="462">
        <f>H52*H103*H55*GenAssumptions!H31</f>
        <v>429273230</v>
      </c>
      <c r="I102" s="462">
        <f>I52*I103*I55*GenAssumptions!I31</f>
        <v>643909845</v>
      </c>
    </row>
    <row r="103" spans="1:9" ht="26.25" customHeight="1" x14ac:dyDescent="0.2">
      <c r="B103" s="519" t="s">
        <v>689</v>
      </c>
      <c r="C103" s="509"/>
      <c r="D103" s="540">
        <v>1</v>
      </c>
      <c r="E103" s="634">
        <v>1</v>
      </c>
      <c r="F103" s="634">
        <v>1</v>
      </c>
      <c r="G103" s="634">
        <v>1</v>
      </c>
      <c r="H103" s="634">
        <v>1</v>
      </c>
      <c r="I103" s="634">
        <v>1</v>
      </c>
    </row>
    <row r="104" spans="1:9" x14ac:dyDescent="0.2">
      <c r="A104" s="28"/>
      <c r="B104" s="490" t="s">
        <v>692</v>
      </c>
      <c r="C104" s="28"/>
      <c r="D104" s="586"/>
      <c r="E104" s="28"/>
      <c r="F104" s="28"/>
      <c r="G104" s="28"/>
      <c r="H104" s="28"/>
      <c r="I104" s="28"/>
    </row>
    <row r="105" spans="1:9" x14ac:dyDescent="0.2">
      <c r="A105" s="28"/>
      <c r="B105" s="514" t="s">
        <v>770</v>
      </c>
      <c r="C105" s="28"/>
      <c r="D105" s="824">
        <f xml:space="preserve"> ROUNDUP(240/GenAssumptions!D45,0)</f>
        <v>48</v>
      </c>
      <c r="E105" s="456">
        <f xml:space="preserve"> ROUNDUP(240/GenAssumptions!E45,0)</f>
        <v>48</v>
      </c>
      <c r="F105" s="456">
        <f xml:space="preserve"> ROUNDUP(240/GenAssumptions!F45,0)</f>
        <v>48</v>
      </c>
      <c r="G105" s="456">
        <f xml:space="preserve"> ROUNDUP(240/GenAssumptions!G45,0)</f>
        <v>48</v>
      </c>
      <c r="H105" s="456">
        <f xml:space="preserve"> ROUNDUP(240/GenAssumptions!H45,0)</f>
        <v>48</v>
      </c>
      <c r="I105" s="456">
        <f xml:space="preserve"> ROUNDUP(240/GenAssumptions!I45,0)</f>
        <v>48</v>
      </c>
    </row>
    <row r="106" spans="1:9" x14ac:dyDescent="0.2">
      <c r="B106" s="514" t="s">
        <v>771</v>
      </c>
      <c r="D106" s="824">
        <f xml:space="preserve"> ROUNDUP(240/GenAssumptions!D46,0)</f>
        <v>12</v>
      </c>
      <c r="E106" s="456">
        <f xml:space="preserve"> ROUNDUP(240/GenAssumptions!E46,0)</f>
        <v>12</v>
      </c>
      <c r="F106" s="456">
        <f xml:space="preserve"> ROUNDUP(240/GenAssumptions!F46,0)</f>
        <v>12</v>
      </c>
      <c r="G106" s="456">
        <f xml:space="preserve"> ROUNDUP(240/GenAssumptions!G46,0)</f>
        <v>12</v>
      </c>
      <c r="H106" s="456">
        <f xml:space="preserve"> ROUNDUP(240/GenAssumptions!H46,0)</f>
        <v>12</v>
      </c>
      <c r="I106" s="456">
        <f xml:space="preserve"> ROUNDUP(240/GenAssumptions!I46,0)</f>
        <v>12</v>
      </c>
    </row>
    <row r="107" spans="1:9" x14ac:dyDescent="0.2">
      <c r="A107" s="28"/>
      <c r="B107" s="514" t="s">
        <v>783</v>
      </c>
      <c r="C107" s="28"/>
      <c r="D107" s="581">
        <v>12</v>
      </c>
      <c r="E107" s="641">
        <v>12</v>
      </c>
      <c r="F107" s="641">
        <v>12</v>
      </c>
      <c r="G107" s="641">
        <v>12</v>
      </c>
      <c r="H107" s="641">
        <v>12</v>
      </c>
      <c r="I107" s="641">
        <v>12</v>
      </c>
    </row>
    <row r="108" spans="1:9" x14ac:dyDescent="0.2">
      <c r="A108" s="28"/>
      <c r="B108" s="514" t="s">
        <v>782</v>
      </c>
      <c r="C108" s="28"/>
      <c r="D108" s="581">
        <v>6</v>
      </c>
      <c r="E108" s="641">
        <v>6</v>
      </c>
      <c r="F108" s="641">
        <v>6</v>
      </c>
      <c r="G108" s="641">
        <v>6</v>
      </c>
      <c r="H108" s="641">
        <v>6</v>
      </c>
      <c r="I108" s="641">
        <v>6</v>
      </c>
    </row>
    <row r="109" spans="1:9" x14ac:dyDescent="0.2">
      <c r="A109" s="28"/>
      <c r="B109" s="515" t="s">
        <v>780</v>
      </c>
      <c r="C109" s="28"/>
      <c r="D109" s="826">
        <f t="shared" ref="D109:I109" si="28">ROUND((D42*(1-D45))/D105/D107,0)+ROUND((D43*(1-D46))/D106/D107,0)</f>
        <v>3</v>
      </c>
      <c r="E109" s="457">
        <f t="shared" si="28"/>
        <v>3</v>
      </c>
      <c r="F109" s="457">
        <f t="shared" si="28"/>
        <v>3</v>
      </c>
      <c r="G109" s="457">
        <f t="shared" si="28"/>
        <v>3</v>
      </c>
      <c r="H109" s="457">
        <f t="shared" si="28"/>
        <v>3</v>
      </c>
      <c r="I109" s="457">
        <f t="shared" si="28"/>
        <v>3</v>
      </c>
    </row>
    <row r="110" spans="1:9" x14ac:dyDescent="0.2">
      <c r="A110" s="28"/>
      <c r="B110" s="515" t="s">
        <v>781</v>
      </c>
      <c r="C110" s="28"/>
      <c r="D110" s="827">
        <f t="shared" ref="D110:I110" si="29">ROUND((D42*D45)/D105/D108,0)+ROUND((D43*D46)/D106/D108,0)</f>
        <v>1</v>
      </c>
      <c r="E110" s="270">
        <f t="shared" si="29"/>
        <v>1</v>
      </c>
      <c r="F110" s="270">
        <f t="shared" si="29"/>
        <v>1</v>
      </c>
      <c r="G110" s="270">
        <f t="shared" si="29"/>
        <v>1</v>
      </c>
      <c r="H110" s="270">
        <f t="shared" si="29"/>
        <v>1</v>
      </c>
      <c r="I110" s="270">
        <f t="shared" si="29"/>
        <v>1</v>
      </c>
    </row>
    <row r="111" spans="1:9" x14ac:dyDescent="0.2">
      <c r="B111" s="515" t="s">
        <v>773</v>
      </c>
      <c r="D111" s="542">
        <v>24000000</v>
      </c>
      <c r="E111" s="711">
        <v>24000000</v>
      </c>
      <c r="F111" s="458">
        <f>E111*(1+GenAssumptions!F6)</f>
        <v>25344000</v>
      </c>
      <c r="G111" s="458">
        <f>F111*(1+GenAssumptions!G6)</f>
        <v>26712576</v>
      </c>
      <c r="H111" s="711">
        <v>24000000</v>
      </c>
      <c r="I111" s="711">
        <v>24000000</v>
      </c>
    </row>
    <row r="112" spans="1:9" x14ac:dyDescent="0.2">
      <c r="B112" s="515" t="s">
        <v>772</v>
      </c>
      <c r="D112" s="542">
        <v>30000000</v>
      </c>
      <c r="E112" s="711">
        <v>30000000</v>
      </c>
      <c r="F112" s="458">
        <f>E112*(1+GenAssumptions!F7)</f>
        <v>31980000</v>
      </c>
      <c r="G112" s="458">
        <f>F112*(1+GenAssumptions!G7)</f>
        <v>34026720</v>
      </c>
      <c r="H112" s="711">
        <v>30000000</v>
      </c>
      <c r="I112" s="711">
        <v>30000000</v>
      </c>
    </row>
  </sheetData>
  <mergeCells count="5">
    <mergeCell ref="E1:G1"/>
    <mergeCell ref="B45:C45"/>
    <mergeCell ref="B46:C46"/>
    <mergeCell ref="B48:C48"/>
    <mergeCell ref="B49:C49"/>
  </mergeCells>
  <conditionalFormatting sqref="E53">
    <cfRule type="expression" dxfId="77" priority="91">
      <formula>E53&lt;$D53</formula>
    </cfRule>
    <cfRule type="expression" dxfId="76" priority="92">
      <formula>E53&gt;$D53</formula>
    </cfRule>
  </conditionalFormatting>
  <conditionalFormatting sqref="F53:I53">
    <cfRule type="expression" dxfId="75" priority="89">
      <formula>F53&lt;$D53</formula>
    </cfRule>
    <cfRule type="expression" dxfId="74" priority="90">
      <formula>F53&gt;$D53</formula>
    </cfRule>
  </conditionalFormatting>
  <conditionalFormatting sqref="E55">
    <cfRule type="expression" dxfId="73" priority="87">
      <formula>E55&lt;$D55</formula>
    </cfRule>
    <cfRule type="expression" dxfId="72" priority="88">
      <formula>E55&gt;$D55</formula>
    </cfRule>
  </conditionalFormatting>
  <conditionalFormatting sqref="F55:I55">
    <cfRule type="expression" dxfId="71" priority="85">
      <formula>F55&lt;$D55</formula>
    </cfRule>
    <cfRule type="expression" dxfId="70" priority="86">
      <formula>F55&gt;$D55</formula>
    </cfRule>
  </conditionalFormatting>
  <conditionalFormatting sqref="E46">
    <cfRule type="expression" dxfId="69" priority="83">
      <formula>E46&lt;$D46</formula>
    </cfRule>
    <cfRule type="expression" dxfId="68" priority="84">
      <formula>E46&gt;$D46</formula>
    </cfRule>
  </conditionalFormatting>
  <conditionalFormatting sqref="F46:I46">
    <cfRule type="expression" dxfId="67" priority="81">
      <formula>F46&lt;$D46</formula>
    </cfRule>
    <cfRule type="expression" dxfId="66" priority="82">
      <formula>F46&gt;$D46</formula>
    </cfRule>
  </conditionalFormatting>
  <conditionalFormatting sqref="E62">
    <cfRule type="expression" dxfId="65" priority="79">
      <formula>E62&lt;$D62</formula>
    </cfRule>
    <cfRule type="expression" dxfId="64" priority="80">
      <formula>E62&gt;$D62</formula>
    </cfRule>
  </conditionalFormatting>
  <conditionalFormatting sqref="F62:I62">
    <cfRule type="expression" dxfId="63" priority="77">
      <formula>F62&lt;$D62</formula>
    </cfRule>
    <cfRule type="expression" dxfId="62" priority="78">
      <formula>F62&gt;$D62</formula>
    </cfRule>
  </conditionalFormatting>
  <conditionalFormatting sqref="E63">
    <cfRule type="expression" dxfId="61" priority="75">
      <formula>E63&lt;$D63</formula>
    </cfRule>
    <cfRule type="expression" dxfId="60" priority="76">
      <formula>E63&gt;$D63</formula>
    </cfRule>
  </conditionalFormatting>
  <conditionalFormatting sqref="F63:I63">
    <cfRule type="expression" dxfId="59" priority="73">
      <formula>F63&lt;$D63</formula>
    </cfRule>
    <cfRule type="expression" dxfId="58" priority="74">
      <formula>F63&gt;$D63</formula>
    </cfRule>
  </conditionalFormatting>
  <conditionalFormatting sqref="E66">
    <cfRule type="expression" dxfId="57" priority="71">
      <formula>E66&lt;$D66</formula>
    </cfRule>
    <cfRule type="expression" dxfId="56" priority="72">
      <formula>E66&gt;$D66</formula>
    </cfRule>
  </conditionalFormatting>
  <conditionalFormatting sqref="F66:I66">
    <cfRule type="expression" dxfId="55" priority="69">
      <formula>F66&lt;$D66</formula>
    </cfRule>
    <cfRule type="expression" dxfId="54" priority="70">
      <formula>F66&gt;$D66</formula>
    </cfRule>
  </conditionalFormatting>
  <conditionalFormatting sqref="E67">
    <cfRule type="expression" dxfId="53" priority="67">
      <formula>E67&lt;$D67</formula>
    </cfRule>
    <cfRule type="expression" dxfId="52" priority="68">
      <formula>E67&gt;$D67</formula>
    </cfRule>
  </conditionalFormatting>
  <conditionalFormatting sqref="F67:I67">
    <cfRule type="expression" dxfId="51" priority="65">
      <formula>F67&lt;$D67</formula>
    </cfRule>
    <cfRule type="expression" dxfId="50" priority="66">
      <formula>F67&gt;$D67</formula>
    </cfRule>
  </conditionalFormatting>
  <conditionalFormatting sqref="E72">
    <cfRule type="expression" dxfId="49" priority="63">
      <formula>E72&lt;$D72</formula>
    </cfRule>
    <cfRule type="expression" dxfId="48" priority="64">
      <formula>E72&gt;$D72</formula>
    </cfRule>
  </conditionalFormatting>
  <conditionalFormatting sqref="F72:I72">
    <cfRule type="expression" dxfId="47" priority="61">
      <formula>F72&lt;$D72</formula>
    </cfRule>
    <cfRule type="expression" dxfId="46" priority="62">
      <formula>F72&gt;$D72</formula>
    </cfRule>
  </conditionalFormatting>
  <conditionalFormatting sqref="E73">
    <cfRule type="expression" dxfId="45" priority="59">
      <formula>E73&lt;$D73</formula>
    </cfRule>
    <cfRule type="expression" dxfId="44" priority="60">
      <formula>E73&gt;$D73</formula>
    </cfRule>
  </conditionalFormatting>
  <conditionalFormatting sqref="F73:I73">
    <cfRule type="expression" dxfId="43" priority="57">
      <formula>F73&lt;$D73</formula>
    </cfRule>
    <cfRule type="expression" dxfId="42" priority="58">
      <formula>F73&gt;$D73</formula>
    </cfRule>
  </conditionalFormatting>
  <conditionalFormatting sqref="E74">
    <cfRule type="expression" dxfId="41" priority="55">
      <formula>E74&lt;$D74</formula>
    </cfRule>
    <cfRule type="expression" dxfId="40" priority="56">
      <formula>E74&gt;$D74</formula>
    </cfRule>
  </conditionalFormatting>
  <conditionalFormatting sqref="F74:I74">
    <cfRule type="expression" dxfId="39" priority="53">
      <formula>F74&lt;$D74</formula>
    </cfRule>
    <cfRule type="expression" dxfId="38" priority="54">
      <formula>F74&gt;$D74</formula>
    </cfRule>
  </conditionalFormatting>
  <conditionalFormatting sqref="E90">
    <cfRule type="expression" dxfId="37" priority="51">
      <formula>E90&lt;$D90</formula>
    </cfRule>
    <cfRule type="expression" dxfId="36" priority="52">
      <formula>E90&gt;$D90</formula>
    </cfRule>
  </conditionalFormatting>
  <conditionalFormatting sqref="F90:I90">
    <cfRule type="expression" dxfId="35" priority="49">
      <formula>F90&lt;$D90</formula>
    </cfRule>
    <cfRule type="expression" dxfId="34" priority="50">
      <formula>F90&gt;$D90</formula>
    </cfRule>
  </conditionalFormatting>
  <conditionalFormatting sqref="E92">
    <cfRule type="expression" dxfId="33" priority="47">
      <formula>E92&lt;$D92</formula>
    </cfRule>
    <cfRule type="expression" dxfId="32" priority="48">
      <formula>E92&gt;$D92</formula>
    </cfRule>
  </conditionalFormatting>
  <conditionalFormatting sqref="F92:I92">
    <cfRule type="expression" dxfId="31" priority="45">
      <formula>F92&lt;$D92</formula>
    </cfRule>
    <cfRule type="expression" dxfId="30" priority="46">
      <formula>F92&gt;$D92</formula>
    </cfRule>
  </conditionalFormatting>
  <conditionalFormatting sqref="E93:I93">
    <cfRule type="expression" dxfId="29" priority="35">
      <formula>E93&lt;$D93</formula>
    </cfRule>
    <cfRule type="expression" dxfId="28" priority="36">
      <formula>E93&gt;$D93</formula>
    </cfRule>
  </conditionalFormatting>
  <conditionalFormatting sqref="E95">
    <cfRule type="expression" dxfId="27" priority="31">
      <formula>E95&lt;$D95</formula>
    </cfRule>
    <cfRule type="expression" dxfId="26" priority="32">
      <formula>E95&gt;$D95</formula>
    </cfRule>
  </conditionalFormatting>
  <conditionalFormatting sqref="H95:I95">
    <cfRule type="expression" dxfId="25" priority="29">
      <formula>H95&lt;$D95</formula>
    </cfRule>
    <cfRule type="expression" dxfId="24" priority="30">
      <formula>H95&gt;$D95</formula>
    </cfRule>
  </conditionalFormatting>
  <conditionalFormatting sqref="E99">
    <cfRule type="expression" dxfId="23" priority="23">
      <formula>E99&lt;$D99</formula>
    </cfRule>
    <cfRule type="expression" dxfId="22" priority="24">
      <formula>E99&gt;$D99</formula>
    </cfRule>
  </conditionalFormatting>
  <conditionalFormatting sqref="F99:I99">
    <cfRule type="expression" dxfId="21" priority="21">
      <formula>F99&lt;$D99</formula>
    </cfRule>
    <cfRule type="expression" dxfId="20" priority="22">
      <formula>F99&gt;$D99</formula>
    </cfRule>
  </conditionalFormatting>
  <conditionalFormatting sqref="E100">
    <cfRule type="expression" dxfId="19" priority="19">
      <formula>E100&lt;$D100</formula>
    </cfRule>
    <cfRule type="expression" dxfId="18" priority="20">
      <formula>E100&gt;$D100</formula>
    </cfRule>
  </conditionalFormatting>
  <conditionalFormatting sqref="F100:I100">
    <cfRule type="expression" dxfId="17" priority="17">
      <formula>F100&lt;$D100</formula>
    </cfRule>
    <cfRule type="expression" dxfId="16" priority="18">
      <formula>F100&gt;$D100</formula>
    </cfRule>
  </conditionalFormatting>
  <conditionalFormatting sqref="E103">
    <cfRule type="expression" dxfId="15" priority="15">
      <formula>E103&lt;$D103</formula>
    </cfRule>
    <cfRule type="expression" dxfId="14" priority="16">
      <formula>E103&gt;$D103</formula>
    </cfRule>
  </conditionalFormatting>
  <conditionalFormatting sqref="F103:I103">
    <cfRule type="expression" dxfId="13" priority="13">
      <formula>F103&lt;$D103</formula>
    </cfRule>
    <cfRule type="expression" dxfId="12" priority="14">
      <formula>F103&gt;$D103</formula>
    </cfRule>
  </conditionalFormatting>
  <conditionalFormatting sqref="E107">
    <cfRule type="expression" dxfId="11" priority="11">
      <formula>E107&lt;$D107</formula>
    </cfRule>
    <cfRule type="expression" dxfId="10" priority="12">
      <formula>E107&gt;$D107</formula>
    </cfRule>
  </conditionalFormatting>
  <conditionalFormatting sqref="F107:I107">
    <cfRule type="expression" dxfId="9" priority="9">
      <formula>F107&lt;$D107</formula>
    </cfRule>
    <cfRule type="expression" dxfId="8" priority="10">
      <formula>F107&gt;$D107</formula>
    </cfRule>
  </conditionalFormatting>
  <conditionalFormatting sqref="E108">
    <cfRule type="expression" dxfId="7" priority="7">
      <formula>E108&lt;$D108</formula>
    </cfRule>
    <cfRule type="expression" dxfId="6" priority="8">
      <formula>E108&gt;$D108</formula>
    </cfRule>
  </conditionalFormatting>
  <conditionalFormatting sqref="F108:I108">
    <cfRule type="expression" dxfId="5" priority="5">
      <formula>F108&lt;$D108</formula>
    </cfRule>
    <cfRule type="expression" dxfId="4" priority="6">
      <formula>F108&gt;$D108</formula>
    </cfRule>
  </conditionalFormatting>
  <conditionalFormatting sqref="E111:E112">
    <cfRule type="expression" dxfId="3" priority="3">
      <formula>E111&lt;$D111</formula>
    </cfRule>
    <cfRule type="expression" dxfId="2" priority="4">
      <formula>E111&gt;$D111</formula>
    </cfRule>
  </conditionalFormatting>
  <conditionalFormatting sqref="H111:I112">
    <cfRule type="expression" dxfId="1" priority="1">
      <formula>H111&lt;$D111</formula>
    </cfRule>
    <cfRule type="expression" dxfId="0" priority="2">
      <formula>H111&gt;$D111</formula>
    </cfRule>
  </conditionalFormatting>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FF"/>
  </sheetPr>
  <dimension ref="A1:P270"/>
  <sheetViews>
    <sheetView showGridLines="0" workbookViewId="0">
      <pane ySplit="1" topLeftCell="A71" activePane="bottomLeft" state="frozen"/>
      <selection activeCell="G35" sqref="G35"/>
      <selection pane="bottomLeft" activeCell="G35" sqref="G35"/>
    </sheetView>
  </sheetViews>
  <sheetFormatPr defaultRowHeight="15" x14ac:dyDescent="0.25"/>
  <cols>
    <col min="1" max="1" width="2.85546875" style="3" customWidth="1"/>
    <col min="2" max="2" width="3.85546875" customWidth="1"/>
    <col min="3" max="3" width="41.7109375" customWidth="1"/>
    <col min="4" max="4" width="18" customWidth="1"/>
    <col min="5" max="5" width="12.85546875" customWidth="1"/>
    <col min="6" max="7" width="12.85546875" style="3" customWidth="1"/>
    <col min="8" max="8" width="2.42578125" style="3" customWidth="1"/>
    <col min="9" max="11" width="12.85546875" style="3" customWidth="1"/>
    <col min="12" max="12" width="2.42578125" style="3" customWidth="1"/>
    <col min="13" max="15" width="12.85546875" style="3" customWidth="1"/>
    <col min="16" max="16384" width="9.140625" style="3"/>
  </cols>
  <sheetData>
    <row r="1" spans="1:16" ht="15.75" x14ac:dyDescent="0.25">
      <c r="A1" s="314"/>
      <c r="B1" s="313" t="e">
        <f>'Service Descriptions'!#REF!</f>
        <v>#REF!</v>
      </c>
      <c r="C1" s="192"/>
      <c r="D1" s="192"/>
      <c r="E1" s="192"/>
      <c r="F1" s="28"/>
    </row>
    <row r="2" spans="1:16" ht="15.75" customHeight="1" x14ac:dyDescent="0.25">
      <c r="A2" s="246"/>
      <c r="B2" s="310"/>
      <c r="C2" s="311" t="s">
        <v>395</v>
      </c>
      <c r="D2" s="310"/>
      <c r="E2" s="308"/>
      <c r="F2" s="308"/>
      <c r="G2" s="308"/>
      <c r="H2" s="308"/>
      <c r="I2" s="309"/>
      <c r="J2" s="309"/>
      <c r="K2" s="309"/>
      <c r="L2" s="309"/>
      <c r="M2" s="309"/>
      <c r="N2" s="309"/>
      <c r="O2" s="309"/>
    </row>
    <row r="3" spans="1:16" s="319" customFormat="1" ht="15.75" x14ac:dyDescent="0.25">
      <c r="A3" s="231"/>
      <c r="B3" s="320"/>
      <c r="C3" s="321"/>
      <c r="D3" s="321"/>
      <c r="E3" s="321"/>
      <c r="F3" s="231"/>
    </row>
    <row r="4" spans="1:16" s="319" customFormat="1" ht="15.75" x14ac:dyDescent="0.25">
      <c r="A4" s="231"/>
      <c r="B4" s="320"/>
      <c r="C4" s="321"/>
      <c r="D4" s="321"/>
      <c r="E4" s="321"/>
      <c r="F4" s="231"/>
    </row>
    <row r="5" spans="1:16" s="319" customFormat="1" ht="15.75" x14ac:dyDescent="0.25">
      <c r="A5" s="231"/>
      <c r="B5" s="320"/>
      <c r="C5" s="321"/>
      <c r="D5" s="321"/>
      <c r="E5" s="321"/>
      <c r="F5" s="231"/>
    </row>
    <row r="6" spans="1:16" s="319" customFormat="1" ht="15.75" x14ac:dyDescent="0.25">
      <c r="A6" s="231"/>
      <c r="B6" s="320"/>
      <c r="C6" s="321"/>
      <c r="D6" s="321"/>
      <c r="E6" s="321"/>
      <c r="F6" s="231"/>
    </row>
    <row r="7" spans="1:16" s="319" customFormat="1" ht="15.75" x14ac:dyDescent="0.25">
      <c r="A7" s="231"/>
      <c r="B7" s="320"/>
      <c r="C7" s="321"/>
      <c r="D7" s="321"/>
      <c r="E7" s="321"/>
      <c r="F7" s="231"/>
    </row>
    <row r="8" spans="1:16" s="319" customFormat="1" ht="15.75" x14ac:dyDescent="0.25">
      <c r="A8" s="231"/>
      <c r="B8" s="320"/>
      <c r="C8" s="321"/>
      <c r="D8" s="321"/>
      <c r="E8" s="321"/>
      <c r="F8" s="231"/>
    </row>
    <row r="9" spans="1:16" s="319" customFormat="1" ht="15.75" x14ac:dyDescent="0.25">
      <c r="A9" s="231"/>
      <c r="B9" s="320"/>
      <c r="C9" s="321"/>
      <c r="D9" s="321"/>
      <c r="E9" s="321"/>
      <c r="F9" s="231"/>
    </row>
    <row r="10" spans="1:16" s="319" customFormat="1" ht="15.75" x14ac:dyDescent="0.25">
      <c r="A10" s="231"/>
      <c r="B10" s="320"/>
      <c r="C10" s="321"/>
      <c r="D10" s="321"/>
      <c r="E10" s="321"/>
      <c r="F10" s="231"/>
    </row>
    <row r="11" spans="1:16" ht="15.75" customHeight="1" x14ac:dyDescent="0.25">
      <c r="A11" s="246"/>
      <c r="B11" s="310"/>
      <c r="C11" s="311" t="s">
        <v>396</v>
      </c>
      <c r="D11" s="310"/>
      <c r="E11" s="308"/>
      <c r="F11" s="308"/>
      <c r="G11" s="308"/>
      <c r="H11" s="308"/>
      <c r="I11" s="309"/>
      <c r="J11" s="309"/>
      <c r="K11" s="309"/>
      <c r="L11" s="309"/>
      <c r="M11" s="309"/>
      <c r="N11" s="309"/>
      <c r="O11" s="309"/>
    </row>
    <row r="12" spans="1:16" s="28" customFormat="1" ht="15.75" customHeight="1" x14ac:dyDescent="0.2">
      <c r="A12" s="247"/>
      <c r="B12" s="253"/>
      <c r="I12" s="280"/>
      <c r="J12" s="280"/>
      <c r="K12" s="280"/>
      <c r="L12" s="280"/>
      <c r="M12" s="280"/>
      <c r="N12" s="280"/>
      <c r="O12" s="280"/>
      <c r="P12" s="254"/>
    </row>
    <row r="13" spans="1:16" s="28" customFormat="1" ht="15.75" customHeight="1" x14ac:dyDescent="0.2">
      <c r="A13" s="255">
        <v>1</v>
      </c>
      <c r="B13" s="256" t="s">
        <v>366</v>
      </c>
      <c r="C13" s="256"/>
      <c r="D13" s="944"/>
      <c r="E13" s="944"/>
      <c r="F13" s="944"/>
      <c r="G13" s="944"/>
      <c r="I13" s="280"/>
      <c r="J13" s="280"/>
      <c r="K13" s="280"/>
      <c r="L13" s="280"/>
      <c r="M13" s="280"/>
      <c r="N13" s="280"/>
      <c r="O13" s="280"/>
    </row>
    <row r="14" spans="1:16" s="28" customFormat="1" ht="15.75" customHeight="1" x14ac:dyDescent="0.2">
      <c r="A14" s="255"/>
      <c r="B14" s="255" t="s">
        <v>367</v>
      </c>
      <c r="C14" s="256"/>
      <c r="D14" s="257"/>
      <c r="E14" s="255"/>
      <c r="F14" s="255"/>
      <c r="G14" s="255"/>
      <c r="I14" s="280"/>
      <c r="J14" s="280"/>
      <c r="K14" s="280"/>
      <c r="L14" s="280"/>
      <c r="M14" s="280"/>
      <c r="N14" s="280"/>
      <c r="O14" s="280"/>
      <c r="P14" s="258"/>
    </row>
    <row r="15" spans="1:16" s="28" customFormat="1" ht="15.75" customHeight="1" x14ac:dyDescent="0.2">
      <c r="A15" s="255"/>
      <c r="B15" s="255" t="s">
        <v>368</v>
      </c>
      <c r="C15" s="256"/>
      <c r="D15" s="945"/>
      <c r="E15" s="945"/>
      <c r="F15" s="945"/>
      <c r="G15" s="945"/>
      <c r="I15" s="280"/>
      <c r="J15" s="280"/>
      <c r="K15" s="280"/>
      <c r="L15" s="280"/>
      <c r="M15" s="280"/>
      <c r="N15" s="280"/>
      <c r="O15" s="280"/>
      <c r="P15" s="254"/>
    </row>
    <row r="16" spans="1:16" s="28" customFormat="1" ht="15.75" customHeight="1" x14ac:dyDescent="0.2">
      <c r="A16" s="255"/>
      <c r="B16" s="255"/>
      <c r="C16" s="255"/>
      <c r="D16" s="255"/>
      <c r="E16" s="255"/>
      <c r="F16" s="255"/>
      <c r="G16" s="255"/>
      <c r="I16" s="280"/>
      <c r="J16" s="280"/>
      <c r="K16" s="280"/>
      <c r="L16" s="280"/>
      <c r="M16" s="280"/>
      <c r="N16" s="280"/>
      <c r="O16" s="280"/>
      <c r="P16" s="254"/>
    </row>
    <row r="17" spans="1:16" s="28" customFormat="1" ht="15.75" customHeight="1" x14ac:dyDescent="0.2">
      <c r="A17" s="255">
        <v>2</v>
      </c>
      <c r="B17" s="256" t="s">
        <v>366</v>
      </c>
      <c r="C17" s="255"/>
      <c r="D17" s="944"/>
      <c r="E17" s="944"/>
      <c r="F17" s="944"/>
      <c r="G17" s="944"/>
      <c r="H17" s="944"/>
      <c r="I17" s="944"/>
      <c r="J17" s="944"/>
      <c r="K17" s="944"/>
      <c r="L17" s="944"/>
      <c r="M17" s="944"/>
      <c r="N17" s="944"/>
      <c r="O17" s="944"/>
      <c r="P17" s="260"/>
    </row>
    <row r="18" spans="1:16" s="28" customFormat="1" ht="15.75" customHeight="1" x14ac:dyDescent="0.2">
      <c r="A18" s="255"/>
      <c r="B18" s="256"/>
      <c r="C18" s="255"/>
      <c r="D18" s="255"/>
      <c r="E18" s="255"/>
      <c r="F18" s="255"/>
      <c r="G18" s="255"/>
      <c r="I18" s="280"/>
      <c r="J18" s="280"/>
      <c r="K18" s="280"/>
      <c r="L18" s="280"/>
      <c r="M18" s="280"/>
      <c r="N18" s="280"/>
      <c r="O18" s="280"/>
      <c r="P18" s="260"/>
    </row>
    <row r="19" spans="1:16" s="28" customFormat="1" ht="15.75" customHeight="1" x14ac:dyDescent="0.2">
      <c r="A19" s="255">
        <v>3</v>
      </c>
      <c r="B19" s="255" t="s">
        <v>366</v>
      </c>
      <c r="C19" s="261"/>
      <c r="D19" s="255"/>
      <c r="E19" s="255"/>
      <c r="F19" s="255"/>
      <c r="G19" s="255"/>
      <c r="I19" s="280"/>
      <c r="J19" s="280"/>
      <c r="K19" s="280"/>
      <c r="L19" s="280"/>
      <c r="M19" s="280"/>
      <c r="N19" s="280"/>
      <c r="O19" s="280"/>
      <c r="P19" s="262"/>
    </row>
    <row r="20" spans="1:16" ht="15.75" customHeight="1" x14ac:dyDescent="0.25">
      <c r="A20" s="246"/>
      <c r="B20" s="299"/>
      <c r="C20" s="300" t="s">
        <v>393</v>
      </c>
      <c r="D20" s="299" t="s">
        <v>365</v>
      </c>
      <c r="E20" s="299" t="s">
        <v>365</v>
      </c>
      <c r="F20" s="301"/>
      <c r="G20" s="301"/>
      <c r="H20" s="301"/>
      <c r="I20" s="302"/>
      <c r="J20" s="302"/>
      <c r="K20" s="302"/>
      <c r="L20" s="302"/>
      <c r="M20" s="302"/>
      <c r="N20" s="302"/>
      <c r="O20" s="302"/>
    </row>
    <row r="21" spans="1:16" ht="14.25" x14ac:dyDescent="0.2">
      <c r="A21" s="28"/>
      <c r="B21" s="28"/>
      <c r="C21" s="38" t="s">
        <v>323</v>
      </c>
      <c r="D21" s="50"/>
      <c r="E21" s="50"/>
      <c r="F21" s="50"/>
      <c r="G21" s="28"/>
    </row>
    <row r="22" spans="1:16" ht="14.25" x14ac:dyDescent="0.2">
      <c r="A22" s="28"/>
      <c r="B22" s="28"/>
      <c r="C22" s="51" t="s">
        <v>324</v>
      </c>
      <c r="D22" s="64" t="e">
        <f>D33/D37</f>
        <v>#REF!</v>
      </c>
      <c r="E22" s="64" t="e">
        <f t="shared" ref="E22:F22" si="0">E33/E37</f>
        <v>#REF!</v>
      </c>
      <c r="F22" s="64" t="e">
        <f t="shared" si="0"/>
        <v>#REF!</v>
      </c>
      <c r="G22" s="28"/>
    </row>
    <row r="23" spans="1:16" ht="14.25" x14ac:dyDescent="0.2">
      <c r="A23" s="28"/>
      <c r="B23" s="28"/>
      <c r="C23" s="65" t="s">
        <v>325</v>
      </c>
      <c r="D23" s="63">
        <f>D34/D37</f>
        <v>0</v>
      </c>
      <c r="E23" s="63">
        <f t="shared" ref="E23:F23" si="1">E34/E37</f>
        <v>0</v>
      </c>
      <c r="F23" s="63">
        <f t="shared" si="1"/>
        <v>0</v>
      </c>
      <c r="G23" s="28"/>
    </row>
    <row r="24" spans="1:16" ht="14.25" x14ac:dyDescent="0.2">
      <c r="A24" s="28"/>
      <c r="B24" s="28"/>
      <c r="C24" s="29"/>
      <c r="D24" s="28"/>
      <c r="E24" s="28"/>
      <c r="F24" s="28"/>
      <c r="G24" s="28"/>
    </row>
    <row r="25" spans="1:16" ht="14.25" x14ac:dyDescent="0.2">
      <c r="A25" s="226" t="s">
        <v>154</v>
      </c>
      <c r="B25" s="226"/>
      <c r="C25" s="227"/>
      <c r="D25" s="227"/>
      <c r="E25" s="227"/>
      <c r="F25" s="227"/>
      <c r="G25" s="28"/>
    </row>
    <row r="26" spans="1:16" x14ac:dyDescent="0.25">
      <c r="A26"/>
      <c r="C26" s="49" t="s">
        <v>22</v>
      </c>
      <c r="D26" s="37"/>
      <c r="E26" s="37"/>
      <c r="F26" s="37"/>
      <c r="G26" s="28"/>
    </row>
    <row r="27" spans="1:16" ht="14.25" x14ac:dyDescent="0.2">
      <c r="A27" s="28"/>
      <c r="B27" s="28"/>
      <c r="C27" s="75" t="s">
        <v>157</v>
      </c>
      <c r="D27" s="91" t="e">
        <f>SUM(#REF!)</f>
        <v>#REF!</v>
      </c>
      <c r="E27" s="91" t="e">
        <f>SUM(#REF!)</f>
        <v>#REF!</v>
      </c>
      <c r="F27" s="91" t="e">
        <f>SUM(#REF!)</f>
        <v>#REF!</v>
      </c>
      <c r="G27" s="28"/>
    </row>
    <row r="28" spans="1:16" ht="14.25" x14ac:dyDescent="0.2">
      <c r="A28" s="28"/>
      <c r="B28" s="28"/>
      <c r="C28" s="28" t="s">
        <v>320</v>
      </c>
      <c r="D28" s="47">
        <v>3</v>
      </c>
      <c r="E28" s="93">
        <v>3</v>
      </c>
      <c r="F28" s="93">
        <v>3</v>
      </c>
      <c r="G28" s="28"/>
    </row>
    <row r="29" spans="1:16" ht="14.25" x14ac:dyDescent="0.2">
      <c r="A29" s="28"/>
      <c r="B29" s="28"/>
      <c r="C29" s="28" t="s">
        <v>319</v>
      </c>
      <c r="D29" s="48">
        <v>0.5</v>
      </c>
      <c r="E29" s="94">
        <v>0.5</v>
      </c>
      <c r="F29" s="94">
        <v>0.5</v>
      </c>
      <c r="G29" s="28"/>
    </row>
    <row r="30" spans="1:16" ht="14.25" x14ac:dyDescent="0.2">
      <c r="A30" s="28"/>
      <c r="B30" s="28"/>
      <c r="C30" s="75" t="s">
        <v>311</v>
      </c>
      <c r="D30" s="91">
        <f>'4.2.3'!D161</f>
        <v>0</v>
      </c>
      <c r="E30" s="91">
        <f>'4.2.3'!E161</f>
        <v>0</v>
      </c>
      <c r="F30" s="91">
        <f>'4.2.3'!F161</f>
        <v>0</v>
      </c>
      <c r="G30" s="28"/>
    </row>
    <row r="31" spans="1:16" ht="14.25" x14ac:dyDescent="0.2">
      <c r="A31" s="28"/>
      <c r="B31" s="28"/>
      <c r="C31" s="28" t="s">
        <v>313</v>
      </c>
      <c r="D31" s="48">
        <v>0.85</v>
      </c>
      <c r="E31" s="94">
        <v>0.85</v>
      </c>
      <c r="F31" s="94">
        <v>0.85</v>
      </c>
      <c r="G31" s="28"/>
    </row>
    <row r="32" spans="1:16" ht="14.25" x14ac:dyDescent="0.2">
      <c r="A32" s="28"/>
      <c r="B32" s="28"/>
      <c r="C32" s="28" t="s">
        <v>314</v>
      </c>
      <c r="D32" s="55">
        <v>10</v>
      </c>
      <c r="E32" s="95">
        <v>10</v>
      </c>
      <c r="F32" s="95">
        <v>10</v>
      </c>
      <c r="G32" s="28"/>
    </row>
    <row r="33" spans="1:16" ht="14.25" x14ac:dyDescent="0.2">
      <c r="A33" s="28"/>
      <c r="B33" s="28"/>
      <c r="C33" s="67" t="s">
        <v>315</v>
      </c>
      <c r="D33" s="92" t="e">
        <f>D27*D28*D29</f>
        <v>#REF!</v>
      </c>
      <c r="E33" s="92" t="e">
        <f t="shared" ref="E33:F33" si="2">E27*E28*E29</f>
        <v>#REF!</v>
      </c>
      <c r="F33" s="92" t="e">
        <f t="shared" si="2"/>
        <v>#REF!</v>
      </c>
      <c r="G33" s="28"/>
    </row>
    <row r="34" spans="1:16" ht="14.25" x14ac:dyDescent="0.2">
      <c r="A34" s="28"/>
      <c r="B34" s="28"/>
      <c r="C34" s="71" t="s">
        <v>316</v>
      </c>
      <c r="D34" s="70">
        <f>D31*D30</f>
        <v>0</v>
      </c>
      <c r="E34" s="70">
        <f t="shared" ref="E34:F34" si="3">E31*E30</f>
        <v>0</v>
      </c>
      <c r="F34" s="70">
        <f t="shared" si="3"/>
        <v>0</v>
      </c>
      <c r="G34" s="28"/>
    </row>
    <row r="35" spans="1:16" ht="14.25" x14ac:dyDescent="0.2">
      <c r="A35" s="28"/>
      <c r="B35" s="28"/>
      <c r="C35" s="67" t="s">
        <v>155</v>
      </c>
      <c r="D35" s="195">
        <v>70000</v>
      </c>
      <c r="E35" s="196">
        <v>70000</v>
      </c>
      <c r="F35" s="196">
        <v>70000</v>
      </c>
      <c r="G35" s="28"/>
    </row>
    <row r="36" spans="1:16" ht="14.25" x14ac:dyDescent="0.2">
      <c r="A36" s="28"/>
      <c r="B36" s="28"/>
      <c r="C36" s="35" t="s">
        <v>312</v>
      </c>
      <c r="D36" s="217">
        <v>90000</v>
      </c>
      <c r="E36" s="200">
        <v>90000</v>
      </c>
      <c r="F36" s="200">
        <v>90000</v>
      </c>
      <c r="G36" s="28"/>
    </row>
    <row r="37" spans="1:16" ht="14.25" x14ac:dyDescent="0.2">
      <c r="A37" s="28"/>
      <c r="B37" s="28"/>
      <c r="C37" s="71" t="s">
        <v>156</v>
      </c>
      <c r="D37" s="73">
        <v>3</v>
      </c>
      <c r="E37" s="81">
        <v>3</v>
      </c>
      <c r="F37" s="81">
        <v>3</v>
      </c>
      <c r="G37" s="28"/>
    </row>
    <row r="38" spans="1:16" s="28" customFormat="1" ht="15.75" customHeight="1" x14ac:dyDescent="0.2">
      <c r="A38" s="263"/>
      <c r="B38" s="263"/>
      <c r="C38" s="256"/>
      <c r="D38" s="259"/>
      <c r="E38" s="263"/>
      <c r="F38" s="263"/>
      <c r="G38" s="263"/>
      <c r="I38" s="280"/>
      <c r="J38" s="280"/>
      <c r="K38" s="280"/>
      <c r="L38" s="280"/>
      <c r="M38" s="280"/>
      <c r="N38" s="280"/>
      <c r="O38" s="280"/>
      <c r="P38" s="258"/>
    </row>
    <row r="39" spans="1:16" s="28" customFormat="1" ht="15.75" customHeight="1" x14ac:dyDescent="0.2">
      <c r="A39" s="263"/>
      <c r="B39" s="263"/>
      <c r="C39" s="256"/>
      <c r="D39" s="259"/>
      <c r="E39" s="263"/>
      <c r="F39" s="263"/>
      <c r="G39" s="263"/>
      <c r="I39" s="280"/>
      <c r="J39" s="280"/>
      <c r="K39" s="280"/>
      <c r="L39" s="280"/>
      <c r="M39" s="280"/>
      <c r="N39" s="280"/>
      <c r="O39" s="280"/>
      <c r="P39" s="258"/>
    </row>
    <row r="40" spans="1:16" s="28" customFormat="1" ht="15.75" customHeight="1" x14ac:dyDescent="0.2">
      <c r="A40" s="263"/>
      <c r="B40" s="263"/>
      <c r="C40" s="256"/>
      <c r="D40" s="259"/>
      <c r="E40" s="263"/>
      <c r="F40" s="263"/>
      <c r="G40" s="263"/>
      <c r="I40" s="280"/>
      <c r="J40" s="280"/>
      <c r="K40" s="280"/>
      <c r="L40" s="280"/>
      <c r="M40" s="280"/>
      <c r="N40" s="280"/>
      <c r="O40" s="280"/>
      <c r="P40" s="258"/>
    </row>
    <row r="41" spans="1:16" s="28" customFormat="1" ht="15.75" customHeight="1" x14ac:dyDescent="0.2">
      <c r="A41" s="263"/>
      <c r="B41" s="263"/>
      <c r="C41" s="256"/>
      <c r="D41" s="259"/>
      <c r="E41" s="263"/>
      <c r="F41" s="263"/>
      <c r="G41" s="263"/>
      <c r="I41" s="280"/>
      <c r="J41" s="280"/>
      <c r="K41" s="280"/>
      <c r="L41" s="280"/>
      <c r="M41" s="280"/>
      <c r="N41" s="280"/>
      <c r="O41" s="280"/>
      <c r="P41" s="258"/>
    </row>
    <row r="42" spans="1:16" s="28" customFormat="1" ht="15.75" customHeight="1" x14ac:dyDescent="0.2">
      <c r="A42" s="263"/>
      <c r="B42" s="263"/>
      <c r="C42" s="256"/>
      <c r="D42" s="259"/>
      <c r="E42" s="263"/>
      <c r="F42" s="263"/>
      <c r="G42" s="263"/>
      <c r="I42" s="280"/>
      <c r="J42" s="280"/>
      <c r="K42" s="280"/>
      <c r="L42" s="280"/>
      <c r="M42" s="280"/>
      <c r="N42" s="280"/>
      <c r="O42" s="280"/>
      <c r="P42" s="258"/>
    </row>
    <row r="43" spans="1:16" s="28" customFormat="1" ht="15.75" customHeight="1" x14ac:dyDescent="0.2">
      <c r="A43" s="263"/>
      <c r="B43" s="263"/>
      <c r="C43" s="256"/>
      <c r="D43" s="259"/>
      <c r="E43" s="263"/>
      <c r="F43" s="263"/>
      <c r="G43" s="263"/>
      <c r="I43" s="280"/>
      <c r="J43" s="280"/>
      <c r="K43" s="280"/>
      <c r="L43" s="280"/>
      <c r="M43" s="280"/>
      <c r="N43" s="280"/>
      <c r="O43" s="280"/>
      <c r="P43" s="258"/>
    </row>
    <row r="44" spans="1:16" s="28" customFormat="1" ht="15.75" customHeight="1" x14ac:dyDescent="0.2">
      <c r="A44" s="263"/>
      <c r="B44" s="263"/>
      <c r="C44" s="256"/>
      <c r="D44" s="259"/>
      <c r="E44" s="263"/>
      <c r="F44" s="263"/>
      <c r="G44" s="263"/>
      <c r="I44" s="280"/>
      <c r="J44" s="280"/>
      <c r="K44" s="280"/>
      <c r="L44" s="280"/>
      <c r="M44" s="280"/>
      <c r="N44" s="280"/>
      <c r="O44" s="280"/>
      <c r="P44" s="258"/>
    </row>
    <row r="45" spans="1:16" s="28" customFormat="1" ht="15.75" customHeight="1" x14ac:dyDescent="0.2">
      <c r="A45" s="263"/>
      <c r="B45" s="263"/>
      <c r="C45" s="256"/>
      <c r="D45" s="259"/>
      <c r="E45" s="263"/>
      <c r="F45" s="263"/>
      <c r="G45" s="263"/>
      <c r="I45" s="280"/>
      <c r="J45" s="280"/>
      <c r="K45" s="280"/>
      <c r="L45" s="280"/>
      <c r="M45" s="280"/>
      <c r="N45" s="280"/>
      <c r="O45" s="280"/>
      <c r="P45" s="258"/>
    </row>
    <row r="46" spans="1:16" s="28" customFormat="1" ht="15.75" customHeight="1" x14ac:dyDescent="0.2">
      <c r="A46" s="263"/>
      <c r="B46" s="263"/>
      <c r="C46" s="256"/>
      <c r="D46" s="259"/>
      <c r="E46" s="263"/>
      <c r="F46" s="263"/>
      <c r="G46" s="263"/>
      <c r="I46" s="280"/>
      <c r="J46" s="280"/>
      <c r="K46" s="280"/>
      <c r="L46" s="280"/>
      <c r="M46" s="280"/>
      <c r="N46" s="280"/>
      <c r="O46" s="280"/>
      <c r="P46" s="258"/>
    </row>
    <row r="47" spans="1:16" s="28" customFormat="1" ht="15.75" customHeight="1" x14ac:dyDescent="0.2">
      <c r="A47" s="263"/>
      <c r="B47" s="263"/>
      <c r="C47" s="256"/>
      <c r="D47" s="259"/>
      <c r="E47" s="263"/>
      <c r="F47" s="263"/>
      <c r="G47" s="263"/>
      <c r="I47" s="280"/>
      <c r="J47" s="280"/>
      <c r="K47" s="280"/>
      <c r="L47" s="280"/>
      <c r="M47" s="280"/>
      <c r="N47" s="280"/>
      <c r="O47" s="280"/>
      <c r="P47" s="258"/>
    </row>
    <row r="48" spans="1:16" s="28" customFormat="1" ht="15.75" customHeight="1" x14ac:dyDescent="0.2">
      <c r="A48" s="263"/>
      <c r="B48" s="263"/>
      <c r="C48" s="256"/>
      <c r="D48" s="259"/>
      <c r="E48" s="263"/>
      <c r="F48" s="263"/>
      <c r="G48" s="263"/>
      <c r="I48" s="280"/>
      <c r="J48" s="280"/>
      <c r="K48" s="280"/>
      <c r="L48" s="280"/>
      <c r="M48" s="280"/>
      <c r="N48" s="280"/>
      <c r="O48" s="280"/>
      <c r="P48" s="258"/>
    </row>
    <row r="49" spans="1:16" s="28" customFormat="1" ht="15.75" customHeight="1" x14ac:dyDescent="0.2">
      <c r="A49" s="263"/>
      <c r="B49" s="263"/>
      <c r="C49" s="256"/>
      <c r="D49" s="259"/>
      <c r="E49" s="263"/>
      <c r="F49" s="263"/>
      <c r="G49" s="263"/>
      <c r="I49" s="280"/>
      <c r="J49" s="280"/>
      <c r="K49" s="280"/>
      <c r="L49" s="280"/>
      <c r="M49" s="280"/>
      <c r="N49" s="280"/>
      <c r="O49" s="280"/>
      <c r="P49" s="258"/>
    </row>
    <row r="50" spans="1:16" s="28" customFormat="1" ht="15.75" customHeight="1" x14ac:dyDescent="0.2">
      <c r="A50" s="263"/>
      <c r="B50" s="263"/>
      <c r="C50" s="256"/>
      <c r="D50" s="259"/>
      <c r="E50" s="263"/>
      <c r="F50" s="263"/>
      <c r="G50" s="263"/>
      <c r="I50" s="280"/>
      <c r="J50" s="280"/>
      <c r="K50" s="280"/>
      <c r="L50" s="280"/>
      <c r="M50" s="280"/>
      <c r="N50" s="280"/>
      <c r="O50" s="280"/>
      <c r="P50" s="258"/>
    </row>
    <row r="51" spans="1:16" s="28" customFormat="1" ht="15.75" customHeight="1" x14ac:dyDescent="0.2">
      <c r="A51" s="263"/>
      <c r="B51" s="263"/>
      <c r="C51" s="256"/>
      <c r="D51" s="259"/>
      <c r="E51" s="263"/>
      <c r="F51" s="263"/>
      <c r="G51" s="263"/>
      <c r="I51" s="280"/>
      <c r="J51" s="280"/>
      <c r="K51" s="280"/>
      <c r="L51" s="280"/>
      <c r="M51" s="280"/>
      <c r="N51" s="280"/>
      <c r="O51" s="280"/>
      <c r="P51" s="258"/>
    </row>
    <row r="52" spans="1:16" s="28" customFormat="1" ht="15.75" customHeight="1" x14ac:dyDescent="0.2">
      <c r="A52" s="263"/>
      <c r="B52" s="263"/>
      <c r="C52" s="256"/>
      <c r="D52" s="259"/>
      <c r="E52" s="263"/>
      <c r="F52" s="263"/>
      <c r="G52" s="263"/>
      <c r="I52" s="280"/>
      <c r="J52" s="280"/>
      <c r="K52" s="280"/>
      <c r="L52" s="280"/>
      <c r="M52" s="280"/>
      <c r="N52" s="280"/>
      <c r="O52" s="280"/>
      <c r="P52" s="258"/>
    </row>
    <row r="53" spans="1:16" s="28" customFormat="1" ht="15.75" customHeight="1" x14ac:dyDescent="0.2">
      <c r="A53" s="263"/>
      <c r="B53" s="263"/>
      <c r="C53" s="256"/>
      <c r="D53" s="259"/>
      <c r="E53" s="263"/>
      <c r="F53" s="263"/>
      <c r="G53" s="263"/>
      <c r="I53" s="280"/>
      <c r="J53" s="280"/>
      <c r="K53" s="280"/>
      <c r="L53" s="280"/>
      <c r="M53" s="280"/>
      <c r="N53" s="280"/>
      <c r="O53" s="280"/>
      <c r="P53" s="258"/>
    </row>
    <row r="54" spans="1:16" s="28" customFormat="1" ht="15.75" customHeight="1" x14ac:dyDescent="0.2">
      <c r="A54" s="263"/>
      <c r="B54" s="263"/>
      <c r="C54" s="256"/>
      <c r="D54" s="259"/>
      <c r="E54" s="263"/>
      <c r="F54" s="263"/>
      <c r="G54" s="263"/>
      <c r="I54" s="280"/>
      <c r="J54" s="280"/>
      <c r="K54" s="280"/>
      <c r="L54" s="280"/>
      <c r="M54" s="280"/>
      <c r="N54" s="280"/>
      <c r="O54" s="280"/>
      <c r="P54" s="258"/>
    </row>
    <row r="55" spans="1:16" s="28" customFormat="1" ht="15.75" customHeight="1" x14ac:dyDescent="0.2">
      <c r="A55" s="263"/>
      <c r="B55" s="263"/>
      <c r="C55" s="256"/>
      <c r="D55" s="259"/>
      <c r="E55" s="263"/>
      <c r="F55" s="263"/>
      <c r="G55" s="263"/>
      <c r="I55" s="280"/>
      <c r="J55" s="280"/>
      <c r="K55" s="280"/>
      <c r="L55" s="280"/>
      <c r="M55" s="280"/>
      <c r="N55" s="280"/>
      <c r="O55" s="280"/>
      <c r="P55" s="258"/>
    </row>
    <row r="56" spans="1:16" s="28" customFormat="1" ht="15.75" customHeight="1" x14ac:dyDescent="0.2">
      <c r="A56" s="263"/>
      <c r="B56" s="263"/>
      <c r="C56" s="256"/>
      <c r="D56" s="259"/>
      <c r="E56" s="263"/>
      <c r="F56" s="263"/>
      <c r="G56" s="263"/>
      <c r="I56" s="280"/>
      <c r="J56" s="280"/>
      <c r="K56" s="280"/>
      <c r="L56" s="280"/>
      <c r="M56" s="280"/>
      <c r="N56" s="280"/>
      <c r="O56" s="280"/>
      <c r="P56" s="258"/>
    </row>
    <row r="57" spans="1:16" s="28" customFormat="1" ht="15.75" customHeight="1" x14ac:dyDescent="0.2">
      <c r="A57" s="263"/>
      <c r="B57" s="263"/>
      <c r="C57" s="256"/>
      <c r="D57" s="259"/>
      <c r="E57" s="263"/>
      <c r="F57" s="263"/>
      <c r="G57" s="263"/>
      <c r="I57" s="280"/>
      <c r="J57" s="280"/>
      <c r="K57" s="280"/>
      <c r="L57" s="280"/>
      <c r="M57" s="280"/>
      <c r="N57" s="280"/>
      <c r="O57" s="280"/>
      <c r="P57" s="258"/>
    </row>
    <row r="58" spans="1:16" s="28" customFormat="1" ht="15.75" customHeight="1" x14ac:dyDescent="0.2">
      <c r="A58" s="263"/>
      <c r="B58" s="263"/>
      <c r="C58" s="256"/>
      <c r="D58" s="259"/>
      <c r="E58" s="263"/>
      <c r="F58" s="263"/>
      <c r="G58" s="263"/>
      <c r="I58" s="280"/>
      <c r="J58" s="280"/>
      <c r="K58" s="280"/>
      <c r="L58" s="280"/>
      <c r="M58" s="280"/>
      <c r="N58" s="280"/>
      <c r="O58" s="280"/>
      <c r="P58" s="258"/>
    </row>
    <row r="59" spans="1:16" s="28" customFormat="1" ht="15.75" customHeight="1" x14ac:dyDescent="0.2">
      <c r="A59" s="263"/>
      <c r="B59" s="263"/>
      <c r="C59" s="256"/>
      <c r="D59" s="259"/>
      <c r="E59" s="263"/>
      <c r="F59" s="263"/>
      <c r="G59" s="263"/>
      <c r="I59" s="280"/>
      <c r="J59" s="280"/>
      <c r="K59" s="280"/>
      <c r="L59" s="280"/>
      <c r="M59" s="280"/>
      <c r="N59" s="280"/>
      <c r="O59" s="280"/>
      <c r="P59" s="258"/>
    </row>
    <row r="60" spans="1:16" s="28" customFormat="1" ht="15.75" customHeight="1" x14ac:dyDescent="0.2">
      <c r="A60" s="263"/>
      <c r="B60" s="263"/>
      <c r="C60" s="256"/>
      <c r="D60" s="259"/>
      <c r="E60" s="263"/>
      <c r="F60" s="263"/>
      <c r="G60" s="263"/>
      <c r="I60" s="280"/>
      <c r="J60" s="280"/>
      <c r="K60" s="280"/>
      <c r="L60" s="280"/>
      <c r="M60" s="280"/>
      <c r="N60" s="280"/>
      <c r="O60" s="280"/>
      <c r="P60" s="258"/>
    </row>
    <row r="61" spans="1:16" s="28" customFormat="1" ht="15.75" customHeight="1" x14ac:dyDescent="0.2">
      <c r="A61" s="263"/>
      <c r="B61" s="263"/>
      <c r="C61" s="256"/>
      <c r="D61" s="259"/>
      <c r="E61" s="263"/>
      <c r="F61" s="263"/>
      <c r="G61" s="263"/>
      <c r="I61" s="280"/>
      <c r="J61" s="280"/>
      <c r="K61" s="280"/>
      <c r="L61" s="280"/>
      <c r="M61" s="280"/>
      <c r="N61" s="280"/>
      <c r="O61" s="280"/>
      <c r="P61" s="258"/>
    </row>
    <row r="62" spans="1:16" s="28" customFormat="1" ht="15.75" customHeight="1" x14ac:dyDescent="0.2">
      <c r="A62" s="263"/>
      <c r="B62" s="263"/>
      <c r="C62" s="256"/>
      <c r="D62" s="259"/>
      <c r="E62" s="263"/>
      <c r="F62" s="263"/>
      <c r="G62" s="263"/>
      <c r="I62" s="280"/>
      <c r="J62" s="280"/>
      <c r="K62" s="280"/>
      <c r="L62" s="280"/>
      <c r="M62" s="280"/>
      <c r="N62" s="280"/>
      <c r="O62" s="280"/>
      <c r="P62" s="258"/>
    </row>
    <row r="63" spans="1:16" s="28" customFormat="1" ht="15.75" customHeight="1" x14ac:dyDescent="0.2">
      <c r="A63" s="263"/>
      <c r="B63" s="263"/>
      <c r="C63" s="256"/>
      <c r="D63" s="259"/>
      <c r="E63" s="263"/>
      <c r="F63" s="263"/>
      <c r="G63" s="263"/>
      <c r="I63" s="280"/>
      <c r="J63" s="280"/>
      <c r="K63" s="280"/>
      <c r="L63" s="280"/>
      <c r="M63" s="280"/>
      <c r="N63" s="280"/>
      <c r="O63" s="280"/>
      <c r="P63" s="258"/>
    </row>
    <row r="64" spans="1:16" s="28" customFormat="1" ht="15.75" customHeight="1" x14ac:dyDescent="0.2">
      <c r="A64" s="263"/>
      <c r="B64" s="263"/>
      <c r="C64" s="256"/>
      <c r="D64" s="259"/>
      <c r="E64" s="263"/>
      <c r="F64" s="263"/>
      <c r="G64" s="263"/>
      <c r="I64" s="280"/>
      <c r="J64" s="280"/>
      <c r="K64" s="280"/>
      <c r="L64" s="280"/>
      <c r="M64" s="280"/>
      <c r="N64" s="280"/>
      <c r="O64" s="280"/>
      <c r="P64" s="258"/>
    </row>
    <row r="65" spans="1:16" s="28" customFormat="1" ht="15.75" customHeight="1" x14ac:dyDescent="0.2">
      <c r="A65" s="263"/>
      <c r="B65" s="263"/>
      <c r="C65" s="256"/>
      <c r="D65" s="259"/>
      <c r="E65" s="263"/>
      <c r="F65" s="263"/>
      <c r="G65" s="263"/>
      <c r="I65" s="280"/>
      <c r="J65" s="280"/>
      <c r="K65" s="280"/>
      <c r="L65" s="280"/>
      <c r="M65" s="280"/>
      <c r="N65" s="280"/>
      <c r="O65" s="280"/>
      <c r="P65" s="258"/>
    </row>
    <row r="66" spans="1:16" s="28" customFormat="1" ht="15.75" customHeight="1" x14ac:dyDescent="0.2">
      <c r="A66" s="263"/>
      <c r="B66" s="263"/>
      <c r="C66" s="256"/>
      <c r="D66" s="259"/>
      <c r="E66" s="263"/>
      <c r="F66" s="263"/>
      <c r="G66" s="263"/>
      <c r="I66" s="280"/>
      <c r="J66" s="280"/>
      <c r="K66" s="280"/>
      <c r="L66" s="280"/>
      <c r="M66" s="280"/>
      <c r="N66" s="280"/>
      <c r="O66" s="280"/>
      <c r="P66" s="258"/>
    </row>
    <row r="67" spans="1:16" s="28" customFormat="1" ht="15.75" customHeight="1" x14ac:dyDescent="0.2">
      <c r="A67" s="263"/>
      <c r="B67" s="263"/>
      <c r="C67" s="256"/>
      <c r="D67" s="259"/>
      <c r="E67" s="263"/>
      <c r="F67" s="263"/>
      <c r="G67" s="263"/>
      <c r="I67" s="280"/>
      <c r="J67" s="280"/>
      <c r="K67" s="280"/>
      <c r="L67" s="280"/>
      <c r="M67" s="280"/>
      <c r="N67" s="280"/>
      <c r="O67" s="280"/>
      <c r="P67" s="258"/>
    </row>
    <row r="68" spans="1:16" s="28" customFormat="1" ht="15.75" customHeight="1" x14ac:dyDescent="0.2">
      <c r="A68" s="263"/>
      <c r="B68" s="263"/>
      <c r="C68" s="256"/>
      <c r="D68" s="259"/>
      <c r="E68" s="263"/>
      <c r="F68" s="263"/>
      <c r="G68" s="263"/>
      <c r="I68" s="280"/>
      <c r="J68" s="280"/>
      <c r="K68" s="280"/>
      <c r="L68" s="280"/>
      <c r="M68" s="280"/>
      <c r="N68" s="280"/>
      <c r="O68" s="280"/>
      <c r="P68" s="258"/>
    </row>
    <row r="69" spans="1:16" s="28" customFormat="1" ht="12.75" x14ac:dyDescent="0.2">
      <c r="A69" s="255"/>
      <c r="B69" s="255"/>
      <c r="C69" s="255"/>
      <c r="D69" s="255"/>
      <c r="E69" s="255"/>
      <c r="F69" s="255"/>
      <c r="G69" s="255"/>
      <c r="I69" s="280"/>
      <c r="J69" s="280"/>
      <c r="K69" s="280"/>
      <c r="L69" s="280"/>
      <c r="M69" s="280"/>
      <c r="N69" s="280"/>
      <c r="O69" s="280"/>
      <c r="P69" s="254"/>
    </row>
    <row r="70" spans="1:16" s="28" customFormat="1" ht="12.75" x14ac:dyDescent="0.2">
      <c r="A70" s="255"/>
      <c r="B70" s="255"/>
      <c r="C70" s="255"/>
      <c r="D70" s="255"/>
      <c r="E70" s="255"/>
      <c r="F70" s="255"/>
      <c r="G70" s="255"/>
      <c r="I70" s="280"/>
      <c r="J70" s="280"/>
      <c r="K70" s="280"/>
      <c r="L70" s="280"/>
      <c r="M70" s="280"/>
      <c r="N70" s="280"/>
      <c r="O70" s="280"/>
      <c r="P70" s="254"/>
    </row>
    <row r="71" spans="1:16" s="28" customFormat="1" ht="12.75" x14ac:dyDescent="0.2">
      <c r="A71" s="255"/>
      <c r="B71" s="255"/>
      <c r="C71" s="255"/>
      <c r="D71" s="255"/>
      <c r="E71" s="255"/>
      <c r="F71" s="255"/>
      <c r="G71" s="255"/>
      <c r="I71" s="280"/>
      <c r="J71" s="280"/>
      <c r="K71" s="280"/>
      <c r="L71" s="280"/>
      <c r="M71" s="280"/>
      <c r="N71" s="280"/>
      <c r="O71" s="280"/>
      <c r="P71" s="254"/>
    </row>
    <row r="72" spans="1:16" s="28" customFormat="1" ht="12.75" x14ac:dyDescent="0.2">
      <c r="A72" s="255"/>
      <c r="B72" s="255"/>
      <c r="C72" s="255"/>
      <c r="D72" s="255"/>
      <c r="E72" s="255"/>
      <c r="F72" s="255"/>
      <c r="G72" s="255"/>
      <c r="I72" s="280"/>
      <c r="J72" s="280"/>
      <c r="K72" s="280"/>
      <c r="L72" s="280"/>
      <c r="M72" s="280"/>
      <c r="N72" s="280"/>
      <c r="O72" s="280"/>
      <c r="P72" s="254"/>
    </row>
    <row r="73" spans="1:16" s="28" customFormat="1" ht="12.75" x14ac:dyDescent="0.2">
      <c r="A73" s="255"/>
      <c r="B73" s="255"/>
      <c r="C73" s="255"/>
      <c r="D73" s="255"/>
      <c r="E73" s="255"/>
      <c r="F73" s="255"/>
      <c r="G73" s="255"/>
      <c r="I73" s="280"/>
      <c r="J73" s="280"/>
      <c r="K73" s="280"/>
      <c r="L73" s="280"/>
      <c r="M73" s="280"/>
      <c r="N73" s="280"/>
      <c r="O73" s="280"/>
      <c r="P73" s="254"/>
    </row>
    <row r="74" spans="1:16" s="28" customFormat="1" ht="12.75" x14ac:dyDescent="0.2">
      <c r="A74" s="255"/>
      <c r="B74" s="255"/>
      <c r="C74" s="255"/>
      <c r="D74" s="255"/>
      <c r="E74" s="255"/>
      <c r="F74" s="255"/>
      <c r="G74" s="255"/>
      <c r="I74" s="280"/>
      <c r="J74" s="280"/>
      <c r="K74" s="280"/>
      <c r="L74" s="280"/>
      <c r="M74" s="280"/>
      <c r="N74" s="280"/>
      <c r="O74" s="280"/>
      <c r="P74" s="254"/>
    </row>
    <row r="75" spans="1:16" s="28" customFormat="1" ht="12.75" x14ac:dyDescent="0.2">
      <c r="A75" s="255"/>
      <c r="B75" s="255"/>
      <c r="C75" s="255"/>
      <c r="D75" s="255"/>
      <c r="E75" s="255"/>
      <c r="F75" s="255"/>
      <c r="G75" s="255"/>
      <c r="I75" s="280"/>
      <c r="J75" s="280"/>
      <c r="K75" s="280"/>
      <c r="L75" s="280"/>
      <c r="M75" s="280"/>
      <c r="N75" s="280"/>
      <c r="O75" s="280"/>
      <c r="P75" s="254"/>
    </row>
    <row r="76" spans="1:16" s="28" customFormat="1" ht="12.75" x14ac:dyDescent="0.2">
      <c r="A76" s="255"/>
      <c r="B76" s="255"/>
      <c r="C76" s="255"/>
      <c r="D76" s="255"/>
      <c r="E76" s="255"/>
      <c r="F76" s="255"/>
      <c r="G76" s="255"/>
      <c r="I76" s="280"/>
      <c r="J76" s="280"/>
      <c r="K76" s="280"/>
      <c r="L76" s="280"/>
      <c r="M76" s="280"/>
      <c r="N76" s="280"/>
      <c r="O76" s="280"/>
      <c r="P76" s="254"/>
    </row>
    <row r="77" spans="1:16" s="28" customFormat="1" ht="12.75" x14ac:dyDescent="0.2">
      <c r="A77" s="255"/>
      <c r="B77" s="255"/>
      <c r="C77" s="255"/>
      <c r="D77" s="255"/>
      <c r="E77" s="255"/>
      <c r="F77" s="255"/>
      <c r="G77" s="255"/>
      <c r="I77" s="280"/>
      <c r="J77" s="280"/>
      <c r="K77" s="280"/>
      <c r="L77" s="280"/>
      <c r="M77" s="280"/>
      <c r="N77" s="280"/>
      <c r="O77" s="280"/>
      <c r="P77" s="254"/>
    </row>
    <row r="78" spans="1:16" s="28" customFormat="1" ht="12.75" x14ac:dyDescent="0.2">
      <c r="A78" s="255"/>
      <c r="B78" s="255"/>
      <c r="C78" s="255"/>
      <c r="D78" s="255"/>
      <c r="E78" s="255"/>
      <c r="F78" s="255"/>
      <c r="G78" s="255"/>
      <c r="I78" s="280"/>
      <c r="J78" s="280"/>
      <c r="K78" s="280"/>
      <c r="L78" s="280"/>
      <c r="M78" s="280"/>
      <c r="N78" s="280"/>
      <c r="O78" s="280"/>
      <c r="P78" s="254"/>
    </row>
    <row r="79" spans="1:16" s="28" customFormat="1" ht="12.75" x14ac:dyDescent="0.2">
      <c r="A79" s="255"/>
      <c r="B79" s="255"/>
      <c r="C79" s="255"/>
      <c r="D79" s="255"/>
      <c r="E79" s="255"/>
      <c r="F79" s="255"/>
      <c r="G79" s="255"/>
      <c r="I79" s="280"/>
      <c r="J79" s="280"/>
      <c r="K79" s="280"/>
      <c r="L79" s="280"/>
      <c r="M79" s="280"/>
      <c r="N79" s="280"/>
      <c r="O79" s="280"/>
      <c r="P79" s="254"/>
    </row>
    <row r="80" spans="1:16" s="28" customFormat="1" ht="15.75" x14ac:dyDescent="0.25">
      <c r="A80" s="255"/>
      <c r="B80" s="315"/>
      <c r="C80" s="316" t="e">
        <f>B1</f>
        <v>#REF!</v>
      </c>
      <c r="D80" s="315"/>
      <c r="E80" s="315"/>
      <c r="F80" s="315"/>
      <c r="G80" s="315"/>
      <c r="H80" s="317"/>
      <c r="I80" s="318"/>
      <c r="J80" s="318"/>
      <c r="K80" s="318"/>
      <c r="L80" s="318"/>
      <c r="M80" s="318"/>
      <c r="N80" s="318"/>
      <c r="O80" s="318"/>
      <c r="P80" s="254"/>
    </row>
    <row r="81" spans="1:16" ht="15.75" x14ac:dyDescent="0.25">
      <c r="A81" s="246"/>
      <c r="B81" s="303" t="s">
        <v>346</v>
      </c>
      <c r="C81" s="304" t="s">
        <v>369</v>
      </c>
      <c r="D81" s="305" t="s">
        <v>370</v>
      </c>
      <c r="E81" s="306"/>
      <c r="F81" s="306" t="s">
        <v>392</v>
      </c>
      <c r="G81" s="306"/>
      <c r="H81" s="306"/>
      <c r="I81" s="307"/>
      <c r="J81" s="307" t="s">
        <v>391</v>
      </c>
      <c r="K81" s="307"/>
      <c r="L81" s="279"/>
      <c r="M81" s="307"/>
      <c r="N81" s="307" t="s">
        <v>369</v>
      </c>
      <c r="O81" s="307"/>
    </row>
    <row r="82" spans="1:16" ht="15.75" x14ac:dyDescent="0.25">
      <c r="A82" s="246"/>
      <c r="B82" s="266"/>
      <c r="C82" s="264"/>
      <c r="D82" s="266"/>
      <c r="E82" s="267" t="s">
        <v>371</v>
      </c>
      <c r="F82" s="267" t="s">
        <v>372</v>
      </c>
      <c r="G82" s="267" t="s">
        <v>373</v>
      </c>
      <c r="I82" s="281" t="s">
        <v>371</v>
      </c>
      <c r="J82" s="281" t="s">
        <v>372</v>
      </c>
      <c r="K82" s="281" t="s">
        <v>373</v>
      </c>
      <c r="L82" s="278"/>
      <c r="M82" s="293" t="s">
        <v>371</v>
      </c>
      <c r="N82" s="293" t="s">
        <v>372</v>
      </c>
      <c r="O82" s="293" t="s">
        <v>373</v>
      </c>
      <c r="P82" s="254"/>
    </row>
    <row r="83" spans="1:16" ht="14.25" x14ac:dyDescent="0.2">
      <c r="A83" s="246"/>
      <c r="B83" s="275"/>
      <c r="C83" s="276" t="s">
        <v>374</v>
      </c>
      <c r="D83" s="277"/>
      <c r="E83" s="57"/>
      <c r="F83" s="57"/>
      <c r="G83" s="57"/>
      <c r="H83" s="57"/>
      <c r="I83" s="282"/>
      <c r="J83" s="282"/>
      <c r="K83" s="282"/>
      <c r="L83" s="282"/>
      <c r="M83" s="294">
        <f>SUM(M84:M84)</f>
        <v>0</v>
      </c>
      <c r="N83" s="294">
        <f>SUM(N84:N84)</f>
        <v>0</v>
      </c>
      <c r="O83" s="294">
        <f>SUM(O84:O84)</f>
        <v>0</v>
      </c>
    </row>
    <row r="84" spans="1:16" ht="14.25" x14ac:dyDescent="0.2">
      <c r="A84" s="246"/>
      <c r="B84" s="253"/>
      <c r="C84" s="30" t="s">
        <v>394</v>
      </c>
      <c r="D84" s="41"/>
      <c r="E84" s="270"/>
      <c r="F84" s="270"/>
      <c r="G84" s="270"/>
      <c r="H84" s="28"/>
      <c r="I84" s="283"/>
      <c r="J84" s="283"/>
      <c r="K84" s="283"/>
      <c r="L84" s="280"/>
      <c r="M84" s="295">
        <f>E84*I84</f>
        <v>0</v>
      </c>
      <c r="N84" s="295">
        <f t="shared" ref="N84:O84" si="4">F84*J84</f>
        <v>0</v>
      </c>
      <c r="O84" s="295">
        <f t="shared" si="4"/>
        <v>0</v>
      </c>
    </row>
    <row r="85" spans="1:16" ht="14.25" x14ac:dyDescent="0.2">
      <c r="A85" s="246"/>
      <c r="B85" s="275"/>
      <c r="C85" s="276" t="s">
        <v>378</v>
      </c>
      <c r="D85" s="277"/>
      <c r="E85" s="57"/>
      <c r="F85" s="57"/>
      <c r="G85" s="57"/>
      <c r="H85" s="57"/>
      <c r="I85" s="282"/>
      <c r="J85" s="282"/>
      <c r="K85" s="282"/>
      <c r="L85" s="282"/>
      <c r="M85" s="296"/>
      <c r="N85" s="296"/>
      <c r="O85" s="296"/>
    </row>
    <row r="86" spans="1:16" ht="14.25" x14ac:dyDescent="0.2">
      <c r="A86" s="246"/>
      <c r="B86" s="268"/>
      <c r="C86" s="274" t="s">
        <v>375</v>
      </c>
      <c r="D86" s="269"/>
      <c r="E86" s="61"/>
      <c r="F86" s="61"/>
      <c r="G86" s="61"/>
      <c r="H86" s="61"/>
      <c r="I86" s="284"/>
      <c r="J86" s="284"/>
      <c r="K86" s="284"/>
      <c r="L86" s="284"/>
      <c r="M86" s="298">
        <f>SUM(M87:M87)</f>
        <v>0</v>
      </c>
      <c r="N86" s="298">
        <f>SUM(N87:N87)</f>
        <v>0</v>
      </c>
      <c r="O86" s="298">
        <f>SUM(O87:O87)</f>
        <v>0</v>
      </c>
    </row>
    <row r="87" spans="1:16" ht="14.25" x14ac:dyDescent="0.2">
      <c r="B87" s="253"/>
      <c r="C87" s="30" t="s">
        <v>394</v>
      </c>
      <c r="D87" s="41"/>
      <c r="E87" s="270"/>
      <c r="F87" s="270"/>
      <c r="G87" s="270"/>
      <c r="H87" s="28"/>
      <c r="I87" s="283"/>
      <c r="J87" s="283"/>
      <c r="K87" s="283"/>
      <c r="L87" s="280"/>
      <c r="M87" s="285">
        <f>E87*I87</f>
        <v>0</v>
      </c>
      <c r="N87" s="285">
        <f t="shared" ref="N87:O87" si="5">F87*J87</f>
        <v>0</v>
      </c>
      <c r="O87" s="285">
        <f t="shared" si="5"/>
        <v>0</v>
      </c>
    </row>
    <row r="88" spans="1:16" ht="14.25" x14ac:dyDescent="0.2">
      <c r="B88" s="268"/>
      <c r="C88" s="274" t="s">
        <v>376</v>
      </c>
      <c r="D88" s="269"/>
      <c r="E88" s="61"/>
      <c r="F88" s="61"/>
      <c r="G88" s="61"/>
      <c r="H88" s="61"/>
      <c r="I88" s="284"/>
      <c r="J88" s="284"/>
      <c r="K88" s="284"/>
      <c r="L88" s="284"/>
      <c r="M88" s="298">
        <f>SUM(M89:M89)</f>
        <v>0</v>
      </c>
      <c r="N88" s="298">
        <f>SUM(N89:N89)</f>
        <v>0</v>
      </c>
      <c r="O88" s="298">
        <f>SUM(O89:O89)</f>
        <v>0</v>
      </c>
    </row>
    <row r="89" spans="1:16" ht="14.25" x14ac:dyDescent="0.2">
      <c r="B89" s="253"/>
      <c r="C89" s="30" t="s">
        <v>394</v>
      </c>
      <c r="D89" s="41"/>
      <c r="E89" s="270"/>
      <c r="F89" s="270"/>
      <c r="G89" s="270"/>
      <c r="H89" s="28"/>
      <c r="I89" s="283"/>
      <c r="J89" s="283"/>
      <c r="K89" s="283"/>
      <c r="L89" s="280"/>
      <c r="M89" s="285">
        <f>E89*I89</f>
        <v>0</v>
      </c>
      <c r="N89" s="285">
        <f t="shared" ref="N89" si="6">F89*J89</f>
        <v>0</v>
      </c>
      <c r="O89" s="285">
        <f>G89*K89</f>
        <v>0</v>
      </c>
    </row>
    <row r="90" spans="1:16" ht="14.25" x14ac:dyDescent="0.2">
      <c r="B90" s="268"/>
      <c r="C90" s="274" t="s">
        <v>379</v>
      </c>
      <c r="D90" s="269"/>
      <c r="E90" s="61"/>
      <c r="F90" s="61"/>
      <c r="G90" s="61"/>
      <c r="H90" s="61"/>
      <c r="I90" s="284"/>
      <c r="J90" s="284"/>
      <c r="K90" s="284"/>
      <c r="L90" s="284"/>
      <c r="M90" s="298">
        <f>SUM(M91:M91)</f>
        <v>0</v>
      </c>
      <c r="N90" s="298">
        <f>SUM(N91:N91)</f>
        <v>0</v>
      </c>
      <c r="O90" s="298">
        <f>SUM(O91:O91)</f>
        <v>0</v>
      </c>
    </row>
    <row r="91" spans="1:16" ht="14.25" x14ac:dyDescent="0.2">
      <c r="B91" s="253"/>
      <c r="C91" s="30" t="s">
        <v>394</v>
      </c>
      <c r="D91" s="41"/>
      <c r="E91" s="270"/>
      <c r="F91" s="270"/>
      <c r="G91" s="270"/>
      <c r="H91" s="28"/>
      <c r="I91" s="283"/>
      <c r="J91" s="283"/>
      <c r="K91" s="283"/>
      <c r="L91" s="280"/>
      <c r="M91" s="285">
        <f>E91*I91</f>
        <v>0</v>
      </c>
      <c r="N91" s="285">
        <f t="shared" ref="N91" si="7">F91*J91</f>
        <v>0</v>
      </c>
      <c r="O91" s="285">
        <f>G91*K91</f>
        <v>0</v>
      </c>
    </row>
    <row r="92" spans="1:16" ht="14.25" x14ac:dyDescent="0.2">
      <c r="B92" s="271"/>
      <c r="C92" s="274" t="s">
        <v>380</v>
      </c>
      <c r="D92" s="272"/>
      <c r="E92" s="61"/>
      <c r="F92" s="61"/>
      <c r="G92" s="61"/>
      <c r="H92" s="61"/>
      <c r="I92" s="284"/>
      <c r="J92" s="284"/>
      <c r="K92" s="284"/>
      <c r="L92" s="284"/>
      <c r="M92" s="298">
        <f>SUM(M93:M93)</f>
        <v>0</v>
      </c>
      <c r="N92" s="298">
        <f>SUM(N93:N93)</f>
        <v>0</v>
      </c>
      <c r="O92" s="298">
        <f>SUM(O93:O93)</f>
        <v>0</v>
      </c>
    </row>
    <row r="93" spans="1:16" ht="14.25" x14ac:dyDescent="0.2">
      <c r="B93" s="253"/>
      <c r="C93" s="30" t="s">
        <v>394</v>
      </c>
      <c r="D93" s="41"/>
      <c r="E93" s="270"/>
      <c r="F93" s="270"/>
      <c r="G93" s="270"/>
      <c r="H93" s="28"/>
      <c r="I93" s="283"/>
      <c r="J93" s="283"/>
      <c r="K93" s="283"/>
      <c r="L93" s="280"/>
      <c r="M93" s="285">
        <f>E93*I93</f>
        <v>0</v>
      </c>
      <c r="N93" s="285">
        <f t="shared" ref="N93" si="8">F93*J93</f>
        <v>0</v>
      </c>
      <c r="O93" s="285">
        <f>G93*K93</f>
        <v>0</v>
      </c>
    </row>
    <row r="94" spans="1:16" ht="14.25" x14ac:dyDescent="0.2">
      <c r="B94" s="271"/>
      <c r="C94" s="274" t="s">
        <v>381</v>
      </c>
      <c r="D94" s="272"/>
      <c r="E94" s="61"/>
      <c r="F94" s="61"/>
      <c r="G94" s="61"/>
      <c r="H94" s="61"/>
      <c r="I94" s="284"/>
      <c r="J94" s="284"/>
      <c r="K94" s="284"/>
      <c r="L94" s="284"/>
      <c r="M94" s="298">
        <f>SUM(M95:M95)</f>
        <v>0</v>
      </c>
      <c r="N94" s="298">
        <f>SUM(N95:N95)</f>
        <v>0</v>
      </c>
      <c r="O94" s="298">
        <f>SUM(O95:O95)</f>
        <v>0</v>
      </c>
    </row>
    <row r="95" spans="1:16" ht="14.25" x14ac:dyDescent="0.2">
      <c r="B95" s="253"/>
      <c r="C95" s="30" t="s">
        <v>394</v>
      </c>
      <c r="D95" s="41"/>
      <c r="E95" s="270"/>
      <c r="F95" s="270"/>
      <c r="G95" s="270"/>
      <c r="H95" s="28"/>
      <c r="I95" s="283"/>
      <c r="J95" s="283"/>
      <c r="K95" s="283"/>
      <c r="L95" s="280"/>
      <c r="M95" s="285">
        <f>E95*I95</f>
        <v>0</v>
      </c>
      <c r="N95" s="285">
        <f>F95*J95</f>
        <v>0</v>
      </c>
      <c r="O95" s="285">
        <f>G95*K95</f>
        <v>0</v>
      </c>
    </row>
    <row r="96" spans="1:16" ht="14.25" x14ac:dyDescent="0.2">
      <c r="B96" s="268"/>
      <c r="C96" s="274" t="s">
        <v>377</v>
      </c>
      <c r="D96" s="269"/>
      <c r="E96" s="61"/>
      <c r="F96" s="61"/>
      <c r="G96" s="61"/>
      <c r="H96" s="61"/>
      <c r="I96" s="284"/>
      <c r="J96" s="284"/>
      <c r="K96" s="284"/>
      <c r="L96" s="284"/>
      <c r="M96" s="298">
        <f>SUM(M97:M97)</f>
        <v>0</v>
      </c>
      <c r="N96" s="298">
        <f>SUM(N97:N97)</f>
        <v>0</v>
      </c>
      <c r="O96" s="298">
        <f>SUM(O97:O97)</f>
        <v>0</v>
      </c>
    </row>
    <row r="97" spans="1:15" ht="14.25" x14ac:dyDescent="0.2">
      <c r="B97" s="253"/>
      <c r="C97" s="30" t="s">
        <v>394</v>
      </c>
      <c r="D97" s="41"/>
      <c r="E97" s="270"/>
      <c r="F97" s="270"/>
      <c r="G97" s="270"/>
      <c r="H97" s="28"/>
      <c r="I97" s="283"/>
      <c r="J97" s="283"/>
      <c r="K97" s="283"/>
      <c r="L97" s="280"/>
      <c r="M97" s="285">
        <f>E97*I97</f>
        <v>0</v>
      </c>
      <c r="N97" s="285">
        <f t="shared" ref="N97" si="9">F97*J97</f>
        <v>0</v>
      </c>
      <c r="O97" s="285">
        <f>G97*K97</f>
        <v>0</v>
      </c>
    </row>
    <row r="98" spans="1:15" ht="14.25" x14ac:dyDescent="0.2">
      <c r="B98" s="268"/>
      <c r="C98" s="274" t="s">
        <v>382</v>
      </c>
      <c r="D98" s="269"/>
      <c r="E98" s="61"/>
      <c r="F98" s="61"/>
      <c r="G98" s="61"/>
      <c r="H98" s="61"/>
      <c r="I98" s="284"/>
      <c r="J98" s="284"/>
      <c r="K98" s="284"/>
      <c r="L98" s="284"/>
      <c r="M98" s="298">
        <f>SUM(M99:M99)</f>
        <v>0</v>
      </c>
      <c r="N98" s="298">
        <f>SUM(N99:N99)</f>
        <v>0</v>
      </c>
      <c r="O98" s="298">
        <f>SUM(O99:O99)</f>
        <v>0</v>
      </c>
    </row>
    <row r="99" spans="1:15" ht="14.25" x14ac:dyDescent="0.2">
      <c r="B99" s="253"/>
      <c r="C99" s="30" t="s">
        <v>394</v>
      </c>
      <c r="D99" s="41"/>
      <c r="E99" s="270"/>
      <c r="F99" s="270"/>
      <c r="G99" s="270"/>
      <c r="H99" s="28"/>
      <c r="I99" s="283"/>
      <c r="J99" s="283"/>
      <c r="K99" s="283"/>
      <c r="L99" s="280"/>
      <c r="M99" s="285">
        <f>E99*I99</f>
        <v>0</v>
      </c>
      <c r="N99" s="285">
        <f t="shared" ref="N99" si="10">F99*J99</f>
        <v>0</v>
      </c>
      <c r="O99" s="285">
        <f>G99*K99</f>
        <v>0</v>
      </c>
    </row>
    <row r="100" spans="1:15" ht="14.25" x14ac:dyDescent="0.2">
      <c r="A100" s="246"/>
      <c r="B100" s="275"/>
      <c r="C100" s="276" t="s">
        <v>383</v>
      </c>
      <c r="D100" s="277"/>
      <c r="E100" s="57"/>
      <c r="F100" s="57"/>
      <c r="G100" s="57"/>
      <c r="H100" s="57"/>
      <c r="I100" s="282"/>
      <c r="J100" s="282"/>
      <c r="K100" s="282"/>
      <c r="L100" s="282"/>
      <c r="M100" s="296"/>
      <c r="N100" s="296"/>
      <c r="O100" s="296"/>
    </row>
    <row r="101" spans="1:15" ht="14.25" x14ac:dyDescent="0.2">
      <c r="B101" s="271"/>
      <c r="C101" s="274" t="s">
        <v>384</v>
      </c>
      <c r="D101" s="272"/>
      <c r="E101" s="61"/>
      <c r="F101" s="61"/>
      <c r="G101" s="61"/>
      <c r="H101" s="61"/>
      <c r="I101" s="284"/>
      <c r="J101" s="284"/>
      <c r="K101" s="284"/>
      <c r="L101" s="284"/>
      <c r="M101" s="298">
        <f>SUM(M102:M102)</f>
        <v>0</v>
      </c>
      <c r="N101" s="298">
        <f>SUM(N102:N102)</f>
        <v>0</v>
      </c>
      <c r="O101" s="298">
        <f>SUM(O102:O102)</f>
        <v>0</v>
      </c>
    </row>
    <row r="102" spans="1:15" ht="14.25" x14ac:dyDescent="0.2">
      <c r="B102" s="253"/>
      <c r="C102" s="30" t="s">
        <v>394</v>
      </c>
      <c r="D102" s="41"/>
      <c r="E102" s="270"/>
      <c r="F102" s="270"/>
      <c r="G102" s="270"/>
      <c r="H102" s="28"/>
      <c r="I102" s="283"/>
      <c r="J102" s="283"/>
      <c r="K102" s="283"/>
      <c r="L102" s="280"/>
      <c r="M102" s="285">
        <f>E102*I102</f>
        <v>0</v>
      </c>
      <c r="N102" s="285">
        <f t="shared" ref="N102" si="11">F102*J102</f>
        <v>0</v>
      </c>
      <c r="O102" s="285">
        <f>G102*K102</f>
        <v>0</v>
      </c>
    </row>
    <row r="103" spans="1:15" ht="14.25" x14ac:dyDescent="0.2">
      <c r="B103" s="271"/>
      <c r="C103" s="274" t="s">
        <v>385</v>
      </c>
      <c r="D103" s="272"/>
      <c r="E103" s="61"/>
      <c r="F103" s="61"/>
      <c r="G103" s="61"/>
      <c r="H103" s="61"/>
      <c r="I103" s="284"/>
      <c r="J103" s="284"/>
      <c r="K103" s="284"/>
      <c r="L103" s="284"/>
      <c r="M103" s="298">
        <f>SUM(M104:M104)</f>
        <v>0</v>
      </c>
      <c r="N103" s="298">
        <f>SUM(N104:N104)</f>
        <v>0</v>
      </c>
      <c r="O103" s="298">
        <f>SUM(O104:O104)</f>
        <v>0</v>
      </c>
    </row>
    <row r="104" spans="1:15" ht="14.25" x14ac:dyDescent="0.2">
      <c r="B104" s="253"/>
      <c r="C104" s="30" t="s">
        <v>394</v>
      </c>
      <c r="D104" s="41"/>
      <c r="E104" s="270"/>
      <c r="F104" s="270"/>
      <c r="G104" s="270"/>
      <c r="H104" s="28"/>
      <c r="I104" s="283"/>
      <c r="J104" s="283"/>
      <c r="K104" s="283"/>
      <c r="L104" s="280"/>
      <c r="M104" s="285">
        <f>E104*I104</f>
        <v>0</v>
      </c>
      <c r="N104" s="285">
        <f t="shared" ref="N104" si="12">F104*J104</f>
        <v>0</v>
      </c>
      <c r="O104" s="285">
        <f>G104*K104</f>
        <v>0</v>
      </c>
    </row>
    <row r="105" spans="1:15" ht="14.25" x14ac:dyDescent="0.2">
      <c r="A105" s="246"/>
      <c r="B105" s="288"/>
      <c r="C105" s="289" t="s">
        <v>386</v>
      </c>
      <c r="D105" s="290"/>
      <c r="E105" s="291"/>
      <c r="F105" s="291"/>
      <c r="G105" s="291"/>
      <c r="H105" s="291"/>
      <c r="I105" s="292"/>
      <c r="J105" s="292"/>
      <c r="K105" s="292"/>
      <c r="L105" s="292"/>
      <c r="M105" s="297"/>
      <c r="N105" s="297"/>
      <c r="O105" s="297"/>
    </row>
    <row r="106" spans="1:15" ht="14.25" x14ac:dyDescent="0.2">
      <c r="B106" s="271"/>
      <c r="C106" s="274" t="s">
        <v>387</v>
      </c>
      <c r="D106" s="272"/>
      <c r="E106" s="61"/>
      <c r="F106" s="61"/>
      <c r="G106" s="61"/>
      <c r="H106" s="61"/>
      <c r="I106" s="284"/>
      <c r="J106" s="284"/>
      <c r="K106" s="284"/>
      <c r="L106" s="284"/>
      <c r="M106" s="298">
        <f>SUM(M107:M107)</f>
        <v>0</v>
      </c>
      <c r="N106" s="298">
        <f>SUM(N107:N107)</f>
        <v>0</v>
      </c>
      <c r="O106" s="298">
        <f>SUM(O107:O107)</f>
        <v>0</v>
      </c>
    </row>
    <row r="107" spans="1:15" ht="14.25" x14ac:dyDescent="0.2">
      <c r="B107" s="253"/>
      <c r="C107" s="30" t="s">
        <v>394</v>
      </c>
      <c r="D107" s="41"/>
      <c r="E107" s="270"/>
      <c r="F107" s="270"/>
      <c r="G107" s="270"/>
      <c r="H107" s="28"/>
      <c r="I107" s="283"/>
      <c r="J107" s="283"/>
      <c r="K107" s="283"/>
      <c r="L107" s="280"/>
      <c r="M107" s="285">
        <f>E107*I107</f>
        <v>0</v>
      </c>
      <c r="N107" s="285">
        <f t="shared" ref="N107" si="13">F107*J107</f>
        <v>0</v>
      </c>
      <c r="O107" s="285">
        <f>G107*K107</f>
        <v>0</v>
      </c>
    </row>
    <row r="108" spans="1:15" ht="14.25" x14ac:dyDescent="0.2">
      <c r="B108" s="271"/>
      <c r="C108" s="274" t="s">
        <v>388</v>
      </c>
      <c r="D108" s="272"/>
      <c r="E108" s="61"/>
      <c r="F108" s="61"/>
      <c r="G108" s="61"/>
      <c r="H108" s="61"/>
      <c r="I108" s="284"/>
      <c r="J108" s="284"/>
      <c r="K108" s="284"/>
      <c r="L108" s="284"/>
      <c r="M108" s="298">
        <f>SUM(M109:M109)</f>
        <v>0</v>
      </c>
      <c r="N108" s="298">
        <f>SUM(N109:N109)</f>
        <v>0</v>
      </c>
      <c r="O108" s="298">
        <f>SUM(O109:O109)</f>
        <v>0</v>
      </c>
    </row>
    <row r="109" spans="1:15" ht="14.25" x14ac:dyDescent="0.2">
      <c r="B109" s="253"/>
      <c r="C109" s="30" t="s">
        <v>394</v>
      </c>
      <c r="D109" s="41"/>
      <c r="E109" s="270"/>
      <c r="F109" s="270"/>
      <c r="G109" s="270"/>
      <c r="H109" s="28"/>
      <c r="I109" s="283"/>
      <c r="J109" s="283"/>
      <c r="K109" s="283"/>
      <c r="L109" s="280"/>
      <c r="M109" s="285">
        <f>E109*I109</f>
        <v>0</v>
      </c>
      <c r="N109" s="285">
        <f t="shared" ref="N109" si="14">F109*J109</f>
        <v>0</v>
      </c>
      <c r="O109" s="285">
        <f>G109*K109</f>
        <v>0</v>
      </c>
    </row>
    <row r="110" spans="1:15" ht="14.25" x14ac:dyDescent="0.2">
      <c r="B110" s="273"/>
      <c r="C110" s="3"/>
      <c r="D110" s="3"/>
      <c r="E110" s="3"/>
      <c r="I110" s="278"/>
      <c r="J110" s="278"/>
      <c r="K110" s="278"/>
      <c r="L110" s="278"/>
      <c r="M110" s="278"/>
      <c r="N110" s="278"/>
      <c r="O110" s="278"/>
    </row>
    <row r="111" spans="1:15" ht="15.75" thickBot="1" x14ac:dyDescent="0.3">
      <c r="A111" s="246"/>
      <c r="B111" s="273"/>
      <c r="C111" s="3"/>
      <c r="D111" s="3"/>
      <c r="E111" s="3"/>
      <c r="I111" s="278"/>
      <c r="J111" s="278"/>
      <c r="K111" s="278"/>
      <c r="L111" s="286" t="s">
        <v>390</v>
      </c>
      <c r="M111" s="287">
        <f>SUM(M84:M104)/2</f>
        <v>0</v>
      </c>
      <c r="N111" s="287">
        <f>SUM(N84:N104)/2</f>
        <v>0</v>
      </c>
      <c r="O111" s="287">
        <f>SUM(O84:O104)/2</f>
        <v>0</v>
      </c>
    </row>
    <row r="112" spans="1:15" ht="16.5" thickTop="1" thickBot="1" x14ac:dyDescent="0.3">
      <c r="B112" s="273"/>
      <c r="C112" s="3"/>
      <c r="D112" s="3"/>
      <c r="E112" s="3"/>
      <c r="I112" s="278"/>
      <c r="J112" s="278"/>
      <c r="K112" s="278"/>
      <c r="L112" s="286" t="s">
        <v>389</v>
      </c>
      <c r="M112" s="287">
        <f>SUM(M106:M109)/2</f>
        <v>0</v>
      </c>
      <c r="N112" s="287">
        <f>SUM(N106:N109)/2</f>
        <v>0</v>
      </c>
      <c r="O112" s="287">
        <f>SUM(O106:O109)/2</f>
        <v>0</v>
      </c>
    </row>
    <row r="113" spans="1:16" ht="15.75" thickTop="1" x14ac:dyDescent="0.25"/>
    <row r="114" spans="1:16" s="28" customFormat="1" ht="15.75" x14ac:dyDescent="0.25">
      <c r="A114" s="263"/>
      <c r="B114" s="315"/>
      <c r="C114" s="316">
        <f>B35</f>
        <v>0</v>
      </c>
      <c r="D114" s="315"/>
      <c r="E114" s="315"/>
      <c r="F114" s="315"/>
      <c r="G114" s="315"/>
      <c r="H114" s="317"/>
      <c r="I114" s="318"/>
      <c r="J114" s="318"/>
      <c r="K114" s="318"/>
      <c r="L114" s="318"/>
      <c r="M114" s="318"/>
      <c r="N114" s="318"/>
      <c r="O114" s="318"/>
      <c r="P114" s="254"/>
    </row>
    <row r="115" spans="1:16" ht="15.75" x14ac:dyDescent="0.25">
      <c r="A115" s="246"/>
      <c r="B115" s="303" t="s">
        <v>346</v>
      </c>
      <c r="C115" s="304" t="s">
        <v>369</v>
      </c>
      <c r="D115" s="305" t="s">
        <v>370</v>
      </c>
      <c r="E115" s="306"/>
      <c r="F115" s="306" t="s">
        <v>392</v>
      </c>
      <c r="G115" s="306"/>
      <c r="H115" s="306"/>
      <c r="I115" s="307"/>
      <c r="J115" s="307" t="s">
        <v>391</v>
      </c>
      <c r="K115" s="307"/>
      <c r="L115" s="279"/>
      <c r="M115" s="307"/>
      <c r="N115" s="307" t="s">
        <v>369</v>
      </c>
      <c r="O115" s="307"/>
    </row>
    <row r="116" spans="1:16" ht="15.75" x14ac:dyDescent="0.25">
      <c r="A116" s="246"/>
      <c r="B116" s="266"/>
      <c r="C116" s="264"/>
      <c r="D116" s="266"/>
      <c r="E116" s="267" t="s">
        <v>371</v>
      </c>
      <c r="F116" s="267" t="s">
        <v>372</v>
      </c>
      <c r="G116" s="267" t="s">
        <v>373</v>
      </c>
      <c r="I116" s="281" t="s">
        <v>371</v>
      </c>
      <c r="J116" s="281" t="s">
        <v>372</v>
      </c>
      <c r="K116" s="281" t="s">
        <v>373</v>
      </c>
      <c r="L116" s="278"/>
      <c r="M116" s="293" t="s">
        <v>371</v>
      </c>
      <c r="N116" s="293" t="s">
        <v>372</v>
      </c>
      <c r="O116" s="293" t="s">
        <v>373</v>
      </c>
      <c r="P116" s="254"/>
    </row>
    <row r="117" spans="1:16" ht="14.25" x14ac:dyDescent="0.2">
      <c r="A117" s="246"/>
      <c r="B117" s="275"/>
      <c r="C117" s="276" t="s">
        <v>374</v>
      </c>
      <c r="D117" s="277"/>
      <c r="E117" s="57"/>
      <c r="F117" s="57"/>
      <c r="G117" s="57"/>
      <c r="H117" s="57"/>
      <c r="I117" s="282"/>
      <c r="J117" s="282"/>
      <c r="K117" s="282"/>
      <c r="L117" s="282"/>
      <c r="M117" s="294">
        <f>SUM(M118:M118)</f>
        <v>0</v>
      </c>
      <c r="N117" s="294">
        <f>SUM(N118:N118)</f>
        <v>0</v>
      </c>
      <c r="O117" s="294">
        <f>SUM(O118:O118)</f>
        <v>0</v>
      </c>
    </row>
    <row r="118" spans="1:16" ht="14.25" x14ac:dyDescent="0.2">
      <c r="A118" s="246"/>
      <c r="B118" s="253"/>
      <c r="C118" s="30" t="s">
        <v>394</v>
      </c>
      <c r="D118" s="41"/>
      <c r="E118" s="270"/>
      <c r="F118" s="270"/>
      <c r="G118" s="270"/>
      <c r="H118" s="28"/>
      <c r="I118" s="283"/>
      <c r="J118" s="283"/>
      <c r="K118" s="283"/>
      <c r="L118" s="280"/>
      <c r="M118" s="295">
        <f>E118*I118</f>
        <v>0</v>
      </c>
      <c r="N118" s="295">
        <f t="shared" ref="N118" si="15">F118*J118</f>
        <v>0</v>
      </c>
      <c r="O118" s="295">
        <f t="shared" ref="O118" si="16">G118*K118</f>
        <v>0</v>
      </c>
    </row>
    <row r="119" spans="1:16" ht="14.25" x14ac:dyDescent="0.2">
      <c r="A119" s="246"/>
      <c r="B119" s="275"/>
      <c r="C119" s="276" t="s">
        <v>378</v>
      </c>
      <c r="D119" s="277"/>
      <c r="E119" s="57"/>
      <c r="F119" s="57"/>
      <c r="G119" s="57"/>
      <c r="H119" s="57"/>
      <c r="I119" s="282"/>
      <c r="J119" s="282"/>
      <c r="K119" s="282"/>
      <c r="L119" s="282"/>
      <c r="M119" s="296"/>
      <c r="N119" s="296"/>
      <c r="O119" s="296"/>
    </row>
    <row r="120" spans="1:16" ht="14.25" x14ac:dyDescent="0.2">
      <c r="A120" s="246"/>
      <c r="B120" s="268"/>
      <c r="C120" s="274" t="s">
        <v>375</v>
      </c>
      <c r="D120" s="269"/>
      <c r="E120" s="61"/>
      <c r="F120" s="61"/>
      <c r="G120" s="61"/>
      <c r="H120" s="61"/>
      <c r="I120" s="284"/>
      <c r="J120" s="284"/>
      <c r="K120" s="284"/>
      <c r="L120" s="284"/>
      <c r="M120" s="298">
        <f>SUM(M121:M121)</f>
        <v>0</v>
      </c>
      <c r="N120" s="298">
        <f>SUM(N121:N121)</f>
        <v>0</v>
      </c>
      <c r="O120" s="298">
        <f>SUM(O121:O121)</f>
        <v>0</v>
      </c>
    </row>
    <row r="121" spans="1:16" ht="14.25" x14ac:dyDescent="0.2">
      <c r="B121" s="253"/>
      <c r="C121" s="30" t="s">
        <v>394</v>
      </c>
      <c r="D121" s="41"/>
      <c r="E121" s="270"/>
      <c r="F121" s="270"/>
      <c r="G121" s="270"/>
      <c r="H121" s="28"/>
      <c r="I121" s="283"/>
      <c r="J121" s="283"/>
      <c r="K121" s="283"/>
      <c r="L121" s="280"/>
      <c r="M121" s="285">
        <f>E121*I121</f>
        <v>0</v>
      </c>
      <c r="N121" s="285">
        <f t="shared" ref="N121" si="17">F121*J121</f>
        <v>0</v>
      </c>
      <c r="O121" s="285">
        <f t="shared" ref="O121" si="18">G121*K121</f>
        <v>0</v>
      </c>
    </row>
    <row r="122" spans="1:16" ht="14.25" x14ac:dyDescent="0.2">
      <c r="B122" s="268"/>
      <c r="C122" s="274" t="s">
        <v>376</v>
      </c>
      <c r="D122" s="269"/>
      <c r="E122" s="61"/>
      <c r="F122" s="61"/>
      <c r="G122" s="61"/>
      <c r="H122" s="61"/>
      <c r="I122" s="284"/>
      <c r="J122" s="284"/>
      <c r="K122" s="284"/>
      <c r="L122" s="284"/>
      <c r="M122" s="298">
        <f>SUM(M123:M123)</f>
        <v>0</v>
      </c>
      <c r="N122" s="298">
        <f>SUM(N123:N123)</f>
        <v>0</v>
      </c>
      <c r="O122" s="298">
        <f>SUM(O123:O123)</f>
        <v>0</v>
      </c>
    </row>
    <row r="123" spans="1:16" ht="14.25" x14ac:dyDescent="0.2">
      <c r="B123" s="253"/>
      <c r="C123" s="30" t="s">
        <v>394</v>
      </c>
      <c r="D123" s="41"/>
      <c r="E123" s="270"/>
      <c r="F123" s="270"/>
      <c r="G123" s="270"/>
      <c r="H123" s="28"/>
      <c r="I123" s="283"/>
      <c r="J123" s="283"/>
      <c r="K123" s="283"/>
      <c r="L123" s="280"/>
      <c r="M123" s="285">
        <f>E123*I123</f>
        <v>0</v>
      </c>
      <c r="N123" s="285">
        <f t="shared" ref="N123" si="19">F123*J123</f>
        <v>0</v>
      </c>
      <c r="O123" s="285">
        <f>G123*K123</f>
        <v>0</v>
      </c>
    </row>
    <row r="124" spans="1:16" ht="14.25" x14ac:dyDescent="0.2">
      <c r="B124" s="268"/>
      <c r="C124" s="274" t="s">
        <v>379</v>
      </c>
      <c r="D124" s="269"/>
      <c r="E124" s="61"/>
      <c r="F124" s="61"/>
      <c r="G124" s="61"/>
      <c r="H124" s="61"/>
      <c r="I124" s="284"/>
      <c r="J124" s="284"/>
      <c r="K124" s="284"/>
      <c r="L124" s="284"/>
      <c r="M124" s="298">
        <f>SUM(M125:M125)</f>
        <v>0</v>
      </c>
      <c r="N124" s="298">
        <f>SUM(N125:N125)</f>
        <v>0</v>
      </c>
      <c r="O124" s="298">
        <f>SUM(O125:O125)</f>
        <v>0</v>
      </c>
    </row>
    <row r="125" spans="1:16" ht="14.25" x14ac:dyDescent="0.2">
      <c r="B125" s="253"/>
      <c r="C125" s="30" t="s">
        <v>394</v>
      </c>
      <c r="D125" s="41"/>
      <c r="E125" s="270"/>
      <c r="F125" s="270"/>
      <c r="G125" s="270"/>
      <c r="H125" s="28"/>
      <c r="I125" s="283"/>
      <c r="J125" s="283"/>
      <c r="K125" s="283"/>
      <c r="L125" s="280"/>
      <c r="M125" s="285">
        <f>E125*I125</f>
        <v>0</v>
      </c>
      <c r="N125" s="285">
        <f t="shared" ref="N125" si="20">F125*J125</f>
        <v>0</v>
      </c>
      <c r="O125" s="285">
        <f>G125*K125</f>
        <v>0</v>
      </c>
    </row>
    <row r="126" spans="1:16" ht="14.25" x14ac:dyDescent="0.2">
      <c r="B126" s="271"/>
      <c r="C126" s="274" t="s">
        <v>380</v>
      </c>
      <c r="D126" s="272"/>
      <c r="E126" s="61"/>
      <c r="F126" s="61"/>
      <c r="G126" s="61"/>
      <c r="H126" s="61"/>
      <c r="I126" s="284"/>
      <c r="J126" s="284"/>
      <c r="K126" s="284"/>
      <c r="L126" s="284"/>
      <c r="M126" s="298">
        <f>SUM(M127:M127)</f>
        <v>0</v>
      </c>
      <c r="N126" s="298">
        <f>SUM(N127:N127)</f>
        <v>0</v>
      </c>
      <c r="O126" s="298">
        <f>SUM(O127:O127)</f>
        <v>0</v>
      </c>
    </row>
    <row r="127" spans="1:16" ht="14.25" x14ac:dyDescent="0.2">
      <c r="B127" s="253"/>
      <c r="C127" s="30" t="s">
        <v>394</v>
      </c>
      <c r="D127" s="41"/>
      <c r="E127" s="270"/>
      <c r="F127" s="270"/>
      <c r="G127" s="270"/>
      <c r="H127" s="28"/>
      <c r="I127" s="283"/>
      <c r="J127" s="283"/>
      <c r="K127" s="283"/>
      <c r="L127" s="280"/>
      <c r="M127" s="285">
        <f>E127*I127</f>
        <v>0</v>
      </c>
      <c r="N127" s="285">
        <f t="shared" ref="N127" si="21">F127*J127</f>
        <v>0</v>
      </c>
      <c r="O127" s="285">
        <f>G127*K127</f>
        <v>0</v>
      </c>
    </row>
    <row r="128" spans="1:16" ht="14.25" x14ac:dyDescent="0.2">
      <c r="B128" s="271"/>
      <c r="C128" s="274" t="s">
        <v>381</v>
      </c>
      <c r="D128" s="272"/>
      <c r="E128" s="61"/>
      <c r="F128" s="61"/>
      <c r="G128" s="61"/>
      <c r="H128" s="61"/>
      <c r="I128" s="284"/>
      <c r="J128" s="284"/>
      <c r="K128" s="284"/>
      <c r="L128" s="284"/>
      <c r="M128" s="298">
        <f>SUM(M129:M129)</f>
        <v>0</v>
      </c>
      <c r="N128" s="298">
        <f>SUM(N129:N129)</f>
        <v>0</v>
      </c>
      <c r="O128" s="298">
        <f>SUM(O129:O129)</f>
        <v>0</v>
      </c>
    </row>
    <row r="129" spans="1:15" ht="14.25" x14ac:dyDescent="0.2">
      <c r="B129" s="253"/>
      <c r="C129" s="30" t="s">
        <v>394</v>
      </c>
      <c r="D129" s="41"/>
      <c r="E129" s="270"/>
      <c r="F129" s="270"/>
      <c r="G129" s="270"/>
      <c r="H129" s="28"/>
      <c r="I129" s="283"/>
      <c r="J129" s="283"/>
      <c r="K129" s="283"/>
      <c r="L129" s="280"/>
      <c r="M129" s="285">
        <f>E129*I129</f>
        <v>0</v>
      </c>
      <c r="N129" s="285">
        <f>F129*J129</f>
        <v>0</v>
      </c>
      <c r="O129" s="285">
        <f>G129*K129</f>
        <v>0</v>
      </c>
    </row>
    <row r="130" spans="1:15" ht="14.25" x14ac:dyDescent="0.2">
      <c r="B130" s="268"/>
      <c r="C130" s="274" t="s">
        <v>377</v>
      </c>
      <c r="D130" s="269"/>
      <c r="E130" s="61"/>
      <c r="F130" s="61"/>
      <c r="G130" s="61"/>
      <c r="H130" s="61"/>
      <c r="I130" s="284"/>
      <c r="J130" s="284"/>
      <c r="K130" s="284"/>
      <c r="L130" s="284"/>
      <c r="M130" s="298">
        <f>SUM(M131:M131)</f>
        <v>0</v>
      </c>
      <c r="N130" s="298">
        <f>SUM(N131:N131)</f>
        <v>0</v>
      </c>
      <c r="O130" s="298">
        <f>SUM(O131:O131)</f>
        <v>0</v>
      </c>
    </row>
    <row r="131" spans="1:15" ht="14.25" x14ac:dyDescent="0.2">
      <c r="B131" s="253"/>
      <c r="C131" s="30" t="s">
        <v>394</v>
      </c>
      <c r="D131" s="41"/>
      <c r="E131" s="270"/>
      <c r="F131" s="270"/>
      <c r="G131" s="270"/>
      <c r="H131" s="28"/>
      <c r="I131" s="283"/>
      <c r="J131" s="283"/>
      <c r="K131" s="283"/>
      <c r="L131" s="280"/>
      <c r="M131" s="285">
        <f>E131*I131</f>
        <v>0</v>
      </c>
      <c r="N131" s="285">
        <f t="shared" ref="N131" si="22">F131*J131</f>
        <v>0</v>
      </c>
      <c r="O131" s="285">
        <f>G131*K131</f>
        <v>0</v>
      </c>
    </row>
    <row r="132" spans="1:15" ht="14.25" x14ac:dyDescent="0.2">
      <c r="B132" s="268"/>
      <c r="C132" s="274" t="s">
        <v>382</v>
      </c>
      <c r="D132" s="269"/>
      <c r="E132" s="61"/>
      <c r="F132" s="61"/>
      <c r="G132" s="61"/>
      <c r="H132" s="61"/>
      <c r="I132" s="284"/>
      <c r="J132" s="284"/>
      <c r="K132" s="284"/>
      <c r="L132" s="284"/>
      <c r="M132" s="298">
        <f>SUM(M133:M133)</f>
        <v>0</v>
      </c>
      <c r="N132" s="298">
        <f>SUM(N133:N133)</f>
        <v>0</v>
      </c>
      <c r="O132" s="298">
        <f>SUM(O133:O133)</f>
        <v>0</v>
      </c>
    </row>
    <row r="133" spans="1:15" ht="14.25" x14ac:dyDescent="0.2">
      <c r="B133" s="253"/>
      <c r="C133" s="30" t="s">
        <v>394</v>
      </c>
      <c r="D133" s="41"/>
      <c r="E133" s="270"/>
      <c r="F133" s="270"/>
      <c r="G133" s="270"/>
      <c r="H133" s="28"/>
      <c r="I133" s="283"/>
      <c r="J133" s="283"/>
      <c r="K133" s="283"/>
      <c r="L133" s="280"/>
      <c r="M133" s="285">
        <f>E133*I133</f>
        <v>0</v>
      </c>
      <c r="N133" s="285">
        <f t="shared" ref="N133" si="23">F133*J133</f>
        <v>0</v>
      </c>
      <c r="O133" s="285">
        <f>G133*K133</f>
        <v>0</v>
      </c>
    </row>
    <row r="134" spans="1:15" ht="14.25" x14ac:dyDescent="0.2">
      <c r="A134" s="246"/>
      <c r="B134" s="275"/>
      <c r="C134" s="276" t="s">
        <v>383</v>
      </c>
      <c r="D134" s="277"/>
      <c r="E134" s="57"/>
      <c r="F134" s="57"/>
      <c r="G134" s="57"/>
      <c r="H134" s="57"/>
      <c r="I134" s="282"/>
      <c r="J134" s="282"/>
      <c r="K134" s="282"/>
      <c r="L134" s="282"/>
      <c r="M134" s="296"/>
      <c r="N134" s="296"/>
      <c r="O134" s="296"/>
    </row>
    <row r="135" spans="1:15" ht="14.25" x14ac:dyDescent="0.2">
      <c r="B135" s="271"/>
      <c r="C135" s="274" t="s">
        <v>384</v>
      </c>
      <c r="D135" s="272"/>
      <c r="E135" s="61"/>
      <c r="F135" s="61"/>
      <c r="G135" s="61"/>
      <c r="H135" s="61"/>
      <c r="I135" s="284"/>
      <c r="J135" s="284"/>
      <c r="K135" s="284"/>
      <c r="L135" s="284"/>
      <c r="M135" s="298">
        <f>SUM(M136:M136)</f>
        <v>0</v>
      </c>
      <c r="N135" s="298">
        <f>SUM(N136:N136)</f>
        <v>0</v>
      </c>
      <c r="O135" s="298">
        <f>SUM(O136:O136)</f>
        <v>0</v>
      </c>
    </row>
    <row r="136" spans="1:15" ht="14.25" x14ac:dyDescent="0.2">
      <c r="B136" s="253"/>
      <c r="C136" s="30" t="s">
        <v>394</v>
      </c>
      <c r="D136" s="41"/>
      <c r="E136" s="270"/>
      <c r="F136" s="270"/>
      <c r="G136" s="270"/>
      <c r="H136" s="28"/>
      <c r="I136" s="283"/>
      <c r="J136" s="283"/>
      <c r="K136" s="283"/>
      <c r="L136" s="280"/>
      <c r="M136" s="285">
        <f>E136*I136</f>
        <v>0</v>
      </c>
      <c r="N136" s="285">
        <f t="shared" ref="N136" si="24">F136*J136</f>
        <v>0</v>
      </c>
      <c r="O136" s="285">
        <f>G136*K136</f>
        <v>0</v>
      </c>
    </row>
    <row r="137" spans="1:15" ht="14.25" x14ac:dyDescent="0.2">
      <c r="B137" s="271"/>
      <c r="C137" s="274" t="s">
        <v>385</v>
      </c>
      <c r="D137" s="272"/>
      <c r="E137" s="61"/>
      <c r="F137" s="61"/>
      <c r="G137" s="61"/>
      <c r="H137" s="61"/>
      <c r="I137" s="284"/>
      <c r="J137" s="284"/>
      <c r="K137" s="284"/>
      <c r="L137" s="284"/>
      <c r="M137" s="298">
        <f>SUM(M138:M138)</f>
        <v>0</v>
      </c>
      <c r="N137" s="298">
        <f>SUM(N138:N138)</f>
        <v>0</v>
      </c>
      <c r="O137" s="298">
        <f>SUM(O138:O138)</f>
        <v>0</v>
      </c>
    </row>
    <row r="138" spans="1:15" ht="14.25" x14ac:dyDescent="0.2">
      <c r="B138" s="253"/>
      <c r="C138" s="30" t="s">
        <v>394</v>
      </c>
      <c r="D138" s="41"/>
      <c r="E138" s="270"/>
      <c r="F138" s="270"/>
      <c r="G138" s="270"/>
      <c r="H138" s="28"/>
      <c r="I138" s="283"/>
      <c r="J138" s="283"/>
      <c r="K138" s="283"/>
      <c r="L138" s="280"/>
      <c r="M138" s="285">
        <f>E138*I138</f>
        <v>0</v>
      </c>
      <c r="N138" s="285">
        <f t="shared" ref="N138" si="25">F138*J138</f>
        <v>0</v>
      </c>
      <c r="O138" s="285">
        <f>G138*K138</f>
        <v>0</v>
      </c>
    </row>
    <row r="139" spans="1:15" ht="14.25" x14ac:dyDescent="0.2">
      <c r="A139" s="246"/>
      <c r="B139" s="288"/>
      <c r="C139" s="289" t="s">
        <v>386</v>
      </c>
      <c r="D139" s="290"/>
      <c r="E139" s="291"/>
      <c r="F139" s="291"/>
      <c r="G139" s="291"/>
      <c r="H139" s="291"/>
      <c r="I139" s="292"/>
      <c r="J139" s="292"/>
      <c r="K139" s="292"/>
      <c r="L139" s="292"/>
      <c r="M139" s="297"/>
      <c r="N139" s="297"/>
      <c r="O139" s="297"/>
    </row>
    <row r="140" spans="1:15" ht="14.25" x14ac:dyDescent="0.2">
      <c r="B140" s="271"/>
      <c r="C140" s="274" t="s">
        <v>387</v>
      </c>
      <c r="D140" s="272"/>
      <c r="E140" s="61"/>
      <c r="F140" s="61"/>
      <c r="G140" s="61"/>
      <c r="H140" s="61"/>
      <c r="I140" s="284"/>
      <c r="J140" s="284"/>
      <c r="K140" s="284"/>
      <c r="L140" s="284"/>
      <c r="M140" s="298">
        <f>SUM(M141:M141)</f>
        <v>0</v>
      </c>
      <c r="N140" s="298">
        <f>SUM(N141:N141)</f>
        <v>0</v>
      </c>
      <c r="O140" s="298">
        <f>SUM(O141:O141)</f>
        <v>0</v>
      </c>
    </row>
    <row r="141" spans="1:15" ht="14.25" x14ac:dyDescent="0.2">
      <c r="B141" s="253"/>
      <c r="C141" s="30" t="s">
        <v>394</v>
      </c>
      <c r="D141" s="41"/>
      <c r="E141" s="270"/>
      <c r="F141" s="270"/>
      <c r="G141" s="270"/>
      <c r="H141" s="28"/>
      <c r="I141" s="283"/>
      <c r="J141" s="283"/>
      <c r="K141" s="283"/>
      <c r="L141" s="280"/>
      <c r="M141" s="285">
        <f>E141*I141</f>
        <v>0</v>
      </c>
      <c r="N141" s="285">
        <f t="shared" ref="N141" si="26">F141*J141</f>
        <v>0</v>
      </c>
      <c r="O141" s="285">
        <f>G141*K141</f>
        <v>0</v>
      </c>
    </row>
    <row r="142" spans="1:15" ht="14.25" x14ac:dyDescent="0.2">
      <c r="B142" s="271"/>
      <c r="C142" s="274" t="s">
        <v>388</v>
      </c>
      <c r="D142" s="272"/>
      <c r="E142" s="61"/>
      <c r="F142" s="61"/>
      <c r="G142" s="61"/>
      <c r="H142" s="61"/>
      <c r="I142" s="284"/>
      <c r="J142" s="284"/>
      <c r="K142" s="284"/>
      <c r="L142" s="284"/>
      <c r="M142" s="298">
        <f>SUM(M143:M143)</f>
        <v>0</v>
      </c>
      <c r="N142" s="298">
        <f>SUM(N143:N143)</f>
        <v>0</v>
      </c>
      <c r="O142" s="298">
        <f>SUM(O143:O143)</f>
        <v>0</v>
      </c>
    </row>
    <row r="143" spans="1:15" ht="14.25" x14ac:dyDescent="0.2">
      <c r="B143" s="253"/>
      <c r="C143" s="30" t="s">
        <v>394</v>
      </c>
      <c r="D143" s="41"/>
      <c r="E143" s="270"/>
      <c r="F143" s="270"/>
      <c r="G143" s="270"/>
      <c r="H143" s="28"/>
      <c r="I143" s="283"/>
      <c r="J143" s="283"/>
      <c r="K143" s="283"/>
      <c r="L143" s="280"/>
      <c r="M143" s="285">
        <f>E143*I143</f>
        <v>0</v>
      </c>
      <c r="N143" s="285">
        <f t="shared" ref="N143" si="27">F143*J143</f>
        <v>0</v>
      </c>
      <c r="O143" s="285">
        <f>G143*K143</f>
        <v>0</v>
      </c>
    </row>
    <row r="144" spans="1:15" ht="14.25" x14ac:dyDescent="0.2">
      <c r="B144" s="273"/>
      <c r="C144" s="3"/>
      <c r="D144" s="3"/>
      <c r="E144" s="3"/>
      <c r="I144" s="278"/>
      <c r="J144" s="278"/>
      <c r="K144" s="278"/>
      <c r="L144" s="278"/>
      <c r="M144" s="278"/>
      <c r="N144" s="278"/>
      <c r="O144" s="278"/>
    </row>
    <row r="145" spans="1:16" ht="15.75" thickBot="1" x14ac:dyDescent="0.3">
      <c r="A145" s="246"/>
      <c r="B145" s="273"/>
      <c r="C145" s="3"/>
      <c r="D145" s="3"/>
      <c r="E145" s="3"/>
      <c r="I145" s="278"/>
      <c r="J145" s="278"/>
      <c r="K145" s="278"/>
      <c r="L145" s="286" t="s">
        <v>390</v>
      </c>
      <c r="M145" s="287">
        <f>SUM(M118:M138)/2</f>
        <v>0</v>
      </c>
      <c r="N145" s="287">
        <f>SUM(N118:N138)/2</f>
        <v>0</v>
      </c>
      <c r="O145" s="287">
        <f>SUM(O118:O138)/2</f>
        <v>0</v>
      </c>
    </row>
    <row r="146" spans="1:16" ht="16.5" thickTop="1" thickBot="1" x14ac:dyDescent="0.3">
      <c r="B146" s="273"/>
      <c r="C146" s="3"/>
      <c r="D146" s="3"/>
      <c r="E146" s="3"/>
      <c r="I146" s="278"/>
      <c r="J146" s="278"/>
      <c r="K146" s="278"/>
      <c r="L146" s="286" t="s">
        <v>389</v>
      </c>
      <c r="M146" s="287">
        <f>SUM(M140:M143)/2</f>
        <v>0</v>
      </c>
      <c r="N146" s="287">
        <f>SUM(N140:N143)/2</f>
        <v>0</v>
      </c>
      <c r="O146" s="287">
        <f>SUM(O140:O143)/2</f>
        <v>0</v>
      </c>
    </row>
    <row r="147" spans="1:16" ht="15.75" thickTop="1" x14ac:dyDescent="0.25">
      <c r="B147" s="3"/>
      <c r="F147"/>
    </row>
    <row r="148" spans="1:16" s="28" customFormat="1" ht="15.75" x14ac:dyDescent="0.25">
      <c r="A148" s="263"/>
      <c r="B148" s="315"/>
      <c r="C148" s="316">
        <f>B69</f>
        <v>0</v>
      </c>
      <c r="D148" s="315"/>
      <c r="E148" s="315"/>
      <c r="F148" s="315"/>
      <c r="G148" s="315"/>
      <c r="H148" s="317"/>
      <c r="I148" s="318"/>
      <c r="J148" s="318"/>
      <c r="K148" s="318"/>
      <c r="L148" s="318"/>
      <c r="M148" s="318"/>
      <c r="N148" s="318"/>
      <c r="O148" s="318"/>
      <c r="P148" s="254"/>
    </row>
    <row r="149" spans="1:16" ht="15.75" x14ac:dyDescent="0.25">
      <c r="A149" s="246"/>
      <c r="B149" s="303" t="s">
        <v>346</v>
      </c>
      <c r="C149" s="304" t="s">
        <v>369</v>
      </c>
      <c r="D149" s="305" t="s">
        <v>370</v>
      </c>
      <c r="E149" s="306"/>
      <c r="F149" s="306" t="s">
        <v>392</v>
      </c>
      <c r="G149" s="306"/>
      <c r="H149" s="306"/>
      <c r="I149" s="307"/>
      <c r="J149" s="307" t="s">
        <v>391</v>
      </c>
      <c r="K149" s="307"/>
      <c r="L149" s="279"/>
      <c r="M149" s="307"/>
      <c r="N149" s="307" t="s">
        <v>369</v>
      </c>
      <c r="O149" s="307"/>
    </row>
    <row r="150" spans="1:16" ht="15.75" x14ac:dyDescent="0.25">
      <c r="A150" s="246"/>
      <c r="B150" s="266"/>
      <c r="C150" s="264"/>
      <c r="D150" s="266"/>
      <c r="E150" s="267" t="s">
        <v>371</v>
      </c>
      <c r="F150" s="267" t="s">
        <v>372</v>
      </c>
      <c r="G150" s="267" t="s">
        <v>373</v>
      </c>
      <c r="I150" s="281" t="s">
        <v>371</v>
      </c>
      <c r="J150" s="281" t="s">
        <v>372</v>
      </c>
      <c r="K150" s="281" t="s">
        <v>373</v>
      </c>
      <c r="L150" s="278"/>
      <c r="M150" s="293" t="s">
        <v>371</v>
      </c>
      <c r="N150" s="293" t="s">
        <v>372</v>
      </c>
      <c r="O150" s="293" t="s">
        <v>373</v>
      </c>
      <c r="P150" s="254"/>
    </row>
    <row r="151" spans="1:16" ht="14.25" x14ac:dyDescent="0.2">
      <c r="A151" s="246"/>
      <c r="B151" s="275"/>
      <c r="C151" s="276" t="s">
        <v>374</v>
      </c>
      <c r="D151" s="277"/>
      <c r="E151" s="57"/>
      <c r="F151" s="57"/>
      <c r="G151" s="57"/>
      <c r="H151" s="57"/>
      <c r="I151" s="282"/>
      <c r="J151" s="282"/>
      <c r="K151" s="282"/>
      <c r="L151" s="282"/>
      <c r="M151" s="294">
        <f>SUM(M152:M152)</f>
        <v>0</v>
      </c>
      <c r="N151" s="294">
        <f>SUM(N152:N152)</f>
        <v>0</v>
      </c>
      <c r="O151" s="294">
        <f>SUM(O152:O152)</f>
        <v>0</v>
      </c>
    </row>
    <row r="152" spans="1:16" ht="14.25" x14ac:dyDescent="0.2">
      <c r="A152" s="246"/>
      <c r="B152" s="253"/>
      <c r="C152" s="30" t="s">
        <v>394</v>
      </c>
      <c r="D152" s="41"/>
      <c r="E152" s="270"/>
      <c r="F152" s="270"/>
      <c r="G152" s="270"/>
      <c r="H152" s="28"/>
      <c r="I152" s="283"/>
      <c r="J152" s="283"/>
      <c r="K152" s="283"/>
      <c r="L152" s="280"/>
      <c r="M152" s="295">
        <f>E152*I152</f>
        <v>0</v>
      </c>
      <c r="N152" s="295">
        <f t="shared" ref="N152" si="28">F152*J152</f>
        <v>0</v>
      </c>
      <c r="O152" s="295">
        <f t="shared" ref="O152" si="29">G152*K152</f>
        <v>0</v>
      </c>
    </row>
    <row r="153" spans="1:16" ht="14.25" x14ac:dyDescent="0.2">
      <c r="A153" s="246"/>
      <c r="B153" s="275"/>
      <c r="C153" s="276" t="s">
        <v>378</v>
      </c>
      <c r="D153" s="277"/>
      <c r="E153" s="57"/>
      <c r="F153" s="57"/>
      <c r="G153" s="57"/>
      <c r="H153" s="57"/>
      <c r="I153" s="282"/>
      <c r="J153" s="282"/>
      <c r="K153" s="282"/>
      <c r="L153" s="282"/>
      <c r="M153" s="296"/>
      <c r="N153" s="296"/>
      <c r="O153" s="296"/>
    </row>
    <row r="154" spans="1:16" ht="14.25" x14ac:dyDescent="0.2">
      <c r="A154" s="246"/>
      <c r="B154" s="268"/>
      <c r="C154" s="274" t="s">
        <v>375</v>
      </c>
      <c r="D154" s="269"/>
      <c r="E154" s="61"/>
      <c r="F154" s="61"/>
      <c r="G154" s="61"/>
      <c r="H154" s="61"/>
      <c r="I154" s="284"/>
      <c r="J154" s="284"/>
      <c r="K154" s="284"/>
      <c r="L154" s="284"/>
      <c r="M154" s="298">
        <f>SUM(M155:M155)</f>
        <v>0</v>
      </c>
      <c r="N154" s="298">
        <f>SUM(N155:N155)</f>
        <v>0</v>
      </c>
      <c r="O154" s="298">
        <f>SUM(O155:O155)</f>
        <v>0</v>
      </c>
    </row>
    <row r="155" spans="1:16" ht="14.25" x14ac:dyDescent="0.2">
      <c r="B155" s="253"/>
      <c r="C155" s="30" t="s">
        <v>394</v>
      </c>
      <c r="D155" s="41"/>
      <c r="E155" s="270"/>
      <c r="F155" s="270"/>
      <c r="G155" s="270"/>
      <c r="H155" s="28"/>
      <c r="I155" s="283"/>
      <c r="J155" s="283"/>
      <c r="K155" s="283"/>
      <c r="L155" s="280"/>
      <c r="M155" s="285">
        <f>E155*I155</f>
        <v>0</v>
      </c>
      <c r="N155" s="285">
        <f t="shared" ref="N155" si="30">F155*J155</f>
        <v>0</v>
      </c>
      <c r="O155" s="285">
        <f t="shared" ref="O155" si="31">G155*K155</f>
        <v>0</v>
      </c>
    </row>
    <row r="156" spans="1:16" ht="14.25" x14ac:dyDescent="0.2">
      <c r="B156" s="268"/>
      <c r="C156" s="274" t="s">
        <v>376</v>
      </c>
      <c r="D156" s="269"/>
      <c r="E156" s="61"/>
      <c r="F156" s="61"/>
      <c r="G156" s="61"/>
      <c r="H156" s="61"/>
      <c r="I156" s="284"/>
      <c r="J156" s="284"/>
      <c r="K156" s="284"/>
      <c r="L156" s="284"/>
      <c r="M156" s="298">
        <f>SUM(M157:M157)</f>
        <v>0</v>
      </c>
      <c r="N156" s="298">
        <f>SUM(N157:N157)</f>
        <v>0</v>
      </c>
      <c r="O156" s="298">
        <f>SUM(O157:O157)</f>
        <v>0</v>
      </c>
    </row>
    <row r="157" spans="1:16" ht="14.25" x14ac:dyDescent="0.2">
      <c r="B157" s="253"/>
      <c r="C157" s="30" t="s">
        <v>394</v>
      </c>
      <c r="D157" s="41"/>
      <c r="E157" s="270"/>
      <c r="F157" s="270"/>
      <c r="G157" s="270"/>
      <c r="H157" s="28"/>
      <c r="I157" s="283"/>
      <c r="J157" s="283"/>
      <c r="K157" s="283"/>
      <c r="L157" s="280"/>
      <c r="M157" s="285">
        <f>E157*I157</f>
        <v>0</v>
      </c>
      <c r="N157" s="285">
        <f t="shared" ref="N157" si="32">F157*J157</f>
        <v>0</v>
      </c>
      <c r="O157" s="285">
        <f>G157*K157</f>
        <v>0</v>
      </c>
    </row>
    <row r="158" spans="1:16" ht="14.25" x14ac:dyDescent="0.2">
      <c r="B158" s="268"/>
      <c r="C158" s="274" t="s">
        <v>379</v>
      </c>
      <c r="D158" s="269"/>
      <c r="E158" s="61"/>
      <c r="F158" s="61"/>
      <c r="G158" s="61"/>
      <c r="H158" s="61"/>
      <c r="I158" s="284"/>
      <c r="J158" s="284"/>
      <c r="K158" s="284"/>
      <c r="L158" s="284"/>
      <c r="M158" s="298">
        <f>SUM(M159:M159)</f>
        <v>0</v>
      </c>
      <c r="N158" s="298">
        <f>SUM(N159:N159)</f>
        <v>0</v>
      </c>
      <c r="O158" s="298">
        <f>SUM(O159:O159)</f>
        <v>0</v>
      </c>
    </row>
    <row r="159" spans="1:16" ht="14.25" x14ac:dyDescent="0.2">
      <c r="B159" s="253"/>
      <c r="C159" s="30" t="s">
        <v>394</v>
      </c>
      <c r="D159" s="41"/>
      <c r="E159" s="270"/>
      <c r="F159" s="270"/>
      <c r="G159" s="270"/>
      <c r="H159" s="28"/>
      <c r="I159" s="283"/>
      <c r="J159" s="283"/>
      <c r="K159" s="283"/>
      <c r="L159" s="280"/>
      <c r="M159" s="285">
        <f>E159*I159</f>
        <v>0</v>
      </c>
      <c r="N159" s="285">
        <f t="shared" ref="N159" si="33">F159*J159</f>
        <v>0</v>
      </c>
      <c r="O159" s="285">
        <f>G159*K159</f>
        <v>0</v>
      </c>
    </row>
    <row r="160" spans="1:16" ht="14.25" x14ac:dyDescent="0.2">
      <c r="B160" s="271"/>
      <c r="C160" s="274" t="s">
        <v>380</v>
      </c>
      <c r="D160" s="272"/>
      <c r="E160" s="61"/>
      <c r="F160" s="61"/>
      <c r="G160" s="61"/>
      <c r="H160" s="61"/>
      <c r="I160" s="284"/>
      <c r="J160" s="284"/>
      <c r="K160" s="284"/>
      <c r="L160" s="284"/>
      <c r="M160" s="298">
        <f>SUM(M161:M161)</f>
        <v>0</v>
      </c>
      <c r="N160" s="298">
        <f>SUM(N161:N161)</f>
        <v>0</v>
      </c>
      <c r="O160" s="298">
        <f>SUM(O161:O161)</f>
        <v>0</v>
      </c>
    </row>
    <row r="161" spans="1:15" ht="14.25" x14ac:dyDescent="0.2">
      <c r="B161" s="253"/>
      <c r="C161" s="30" t="s">
        <v>394</v>
      </c>
      <c r="D161" s="41"/>
      <c r="E161" s="270"/>
      <c r="F161" s="270"/>
      <c r="G161" s="270"/>
      <c r="H161" s="28"/>
      <c r="I161" s="283"/>
      <c r="J161" s="283"/>
      <c r="K161" s="283"/>
      <c r="L161" s="280"/>
      <c r="M161" s="285">
        <f>E161*I161</f>
        <v>0</v>
      </c>
      <c r="N161" s="285">
        <f t="shared" ref="N161" si="34">F161*J161</f>
        <v>0</v>
      </c>
      <c r="O161" s="285">
        <f>G161*K161</f>
        <v>0</v>
      </c>
    </row>
    <row r="162" spans="1:15" ht="14.25" x14ac:dyDescent="0.2">
      <c r="B162" s="271"/>
      <c r="C162" s="274" t="s">
        <v>381</v>
      </c>
      <c r="D162" s="272"/>
      <c r="E162" s="61"/>
      <c r="F162" s="61"/>
      <c r="G162" s="61"/>
      <c r="H162" s="61"/>
      <c r="I162" s="284"/>
      <c r="J162" s="284"/>
      <c r="K162" s="284"/>
      <c r="L162" s="284"/>
      <c r="M162" s="298">
        <f>SUM(M163:M163)</f>
        <v>0</v>
      </c>
      <c r="N162" s="298">
        <f>SUM(N163:N163)</f>
        <v>0</v>
      </c>
      <c r="O162" s="298">
        <f>SUM(O163:O163)</f>
        <v>0</v>
      </c>
    </row>
    <row r="163" spans="1:15" ht="14.25" x14ac:dyDescent="0.2">
      <c r="B163" s="253"/>
      <c r="C163" s="30" t="s">
        <v>394</v>
      </c>
      <c r="D163" s="41"/>
      <c r="E163" s="270"/>
      <c r="F163" s="270"/>
      <c r="G163" s="270"/>
      <c r="H163" s="28"/>
      <c r="I163" s="283"/>
      <c r="J163" s="283"/>
      <c r="K163" s="283"/>
      <c r="L163" s="280"/>
      <c r="M163" s="285">
        <f>E163*I163</f>
        <v>0</v>
      </c>
      <c r="N163" s="285">
        <f>F163*J163</f>
        <v>0</v>
      </c>
      <c r="O163" s="285">
        <f>G163*K163</f>
        <v>0</v>
      </c>
    </row>
    <row r="164" spans="1:15" ht="14.25" x14ac:dyDescent="0.2">
      <c r="B164" s="268"/>
      <c r="C164" s="274" t="s">
        <v>377</v>
      </c>
      <c r="D164" s="269"/>
      <c r="E164" s="61"/>
      <c r="F164" s="61"/>
      <c r="G164" s="61"/>
      <c r="H164" s="61"/>
      <c r="I164" s="284"/>
      <c r="J164" s="284"/>
      <c r="K164" s="284"/>
      <c r="L164" s="284"/>
      <c r="M164" s="298">
        <f>SUM(M165:M165)</f>
        <v>0</v>
      </c>
      <c r="N164" s="298">
        <f>SUM(N165:N165)</f>
        <v>0</v>
      </c>
      <c r="O164" s="298">
        <f>SUM(O165:O165)</f>
        <v>0</v>
      </c>
    </row>
    <row r="165" spans="1:15" ht="14.25" x14ac:dyDescent="0.2">
      <c r="B165" s="253"/>
      <c r="C165" s="30" t="s">
        <v>394</v>
      </c>
      <c r="D165" s="41"/>
      <c r="E165" s="270"/>
      <c r="F165" s="270"/>
      <c r="G165" s="270"/>
      <c r="H165" s="28"/>
      <c r="I165" s="283"/>
      <c r="J165" s="283"/>
      <c r="K165" s="283"/>
      <c r="L165" s="280"/>
      <c r="M165" s="285">
        <f>E165*I165</f>
        <v>0</v>
      </c>
      <c r="N165" s="285">
        <f t="shared" ref="N165" si="35">F165*J165</f>
        <v>0</v>
      </c>
      <c r="O165" s="285">
        <f>G165*K165</f>
        <v>0</v>
      </c>
    </row>
    <row r="166" spans="1:15" ht="14.25" x14ac:dyDescent="0.2">
      <c r="B166" s="268"/>
      <c r="C166" s="274" t="s">
        <v>382</v>
      </c>
      <c r="D166" s="269"/>
      <c r="E166" s="61"/>
      <c r="F166" s="61"/>
      <c r="G166" s="61"/>
      <c r="H166" s="61"/>
      <c r="I166" s="284"/>
      <c r="J166" s="284"/>
      <c r="K166" s="284"/>
      <c r="L166" s="284"/>
      <c r="M166" s="298">
        <f>SUM(M167:M167)</f>
        <v>0</v>
      </c>
      <c r="N166" s="298">
        <f>SUM(N167:N167)</f>
        <v>0</v>
      </c>
      <c r="O166" s="298">
        <f>SUM(O167:O167)</f>
        <v>0</v>
      </c>
    </row>
    <row r="167" spans="1:15" ht="14.25" x14ac:dyDescent="0.2">
      <c r="B167" s="253"/>
      <c r="C167" s="30" t="s">
        <v>394</v>
      </c>
      <c r="D167" s="41"/>
      <c r="E167" s="270"/>
      <c r="F167" s="270"/>
      <c r="G167" s="270"/>
      <c r="H167" s="28"/>
      <c r="I167" s="283"/>
      <c r="J167" s="283"/>
      <c r="K167" s="283"/>
      <c r="L167" s="280"/>
      <c r="M167" s="285">
        <f>E167*I167</f>
        <v>0</v>
      </c>
      <c r="N167" s="285">
        <f t="shared" ref="N167" si="36">F167*J167</f>
        <v>0</v>
      </c>
      <c r="O167" s="285">
        <f>G167*K167</f>
        <v>0</v>
      </c>
    </row>
    <row r="168" spans="1:15" ht="14.25" x14ac:dyDescent="0.2">
      <c r="A168" s="246"/>
      <c r="B168" s="275"/>
      <c r="C168" s="276" t="s">
        <v>383</v>
      </c>
      <c r="D168" s="277"/>
      <c r="E168" s="57"/>
      <c r="F168" s="57"/>
      <c r="G168" s="57"/>
      <c r="H168" s="57"/>
      <c r="I168" s="282"/>
      <c r="J168" s="282"/>
      <c r="K168" s="282"/>
      <c r="L168" s="282"/>
      <c r="M168" s="296"/>
      <c r="N168" s="296"/>
      <c r="O168" s="296"/>
    </row>
    <row r="169" spans="1:15" ht="14.25" x14ac:dyDescent="0.2">
      <c r="B169" s="271"/>
      <c r="C169" s="274" t="s">
        <v>384</v>
      </c>
      <c r="D169" s="272"/>
      <c r="E169" s="61"/>
      <c r="F169" s="61"/>
      <c r="G169" s="61"/>
      <c r="H169" s="61"/>
      <c r="I169" s="284"/>
      <c r="J169" s="284"/>
      <c r="K169" s="284"/>
      <c r="L169" s="284"/>
      <c r="M169" s="298">
        <f>SUM(M170:M170)</f>
        <v>0</v>
      </c>
      <c r="N169" s="298">
        <f>SUM(N170:N170)</f>
        <v>0</v>
      </c>
      <c r="O169" s="298">
        <f>SUM(O170:O170)</f>
        <v>0</v>
      </c>
    </row>
    <row r="170" spans="1:15" ht="14.25" x14ac:dyDescent="0.2">
      <c r="B170" s="253"/>
      <c r="C170" s="30" t="s">
        <v>394</v>
      </c>
      <c r="D170" s="41"/>
      <c r="E170" s="270"/>
      <c r="F170" s="270"/>
      <c r="G170" s="270"/>
      <c r="H170" s="28"/>
      <c r="I170" s="283"/>
      <c r="J170" s="283"/>
      <c r="K170" s="283"/>
      <c r="L170" s="280"/>
      <c r="M170" s="285">
        <f>E170*I170</f>
        <v>0</v>
      </c>
      <c r="N170" s="285">
        <f t="shared" ref="N170" si="37">F170*J170</f>
        <v>0</v>
      </c>
      <c r="O170" s="285">
        <f>G170*K170</f>
        <v>0</v>
      </c>
    </row>
    <row r="171" spans="1:15" ht="14.25" x14ac:dyDescent="0.2">
      <c r="B171" s="271"/>
      <c r="C171" s="274" t="s">
        <v>385</v>
      </c>
      <c r="D171" s="272"/>
      <c r="E171" s="61"/>
      <c r="F171" s="61"/>
      <c r="G171" s="61"/>
      <c r="H171" s="61"/>
      <c r="I171" s="284"/>
      <c r="J171" s="284"/>
      <c r="K171" s="284"/>
      <c r="L171" s="284"/>
      <c r="M171" s="298">
        <f>SUM(M172:M172)</f>
        <v>0</v>
      </c>
      <c r="N171" s="298">
        <f>SUM(N172:N172)</f>
        <v>0</v>
      </c>
      <c r="O171" s="298">
        <f>SUM(O172:O172)</f>
        <v>0</v>
      </c>
    </row>
    <row r="172" spans="1:15" ht="14.25" x14ac:dyDescent="0.2">
      <c r="B172" s="253"/>
      <c r="C172" s="30" t="s">
        <v>394</v>
      </c>
      <c r="D172" s="41"/>
      <c r="E172" s="270"/>
      <c r="F172" s="270"/>
      <c r="G172" s="270"/>
      <c r="H172" s="28"/>
      <c r="I172" s="283"/>
      <c r="J172" s="283"/>
      <c r="K172" s="283"/>
      <c r="L172" s="280"/>
      <c r="M172" s="285">
        <f>E172*I172</f>
        <v>0</v>
      </c>
      <c r="N172" s="285">
        <f t="shared" ref="N172" si="38">F172*J172</f>
        <v>0</v>
      </c>
      <c r="O172" s="285">
        <f>G172*K172</f>
        <v>0</v>
      </c>
    </row>
    <row r="173" spans="1:15" ht="14.25" x14ac:dyDescent="0.2">
      <c r="A173" s="246"/>
      <c r="B173" s="288"/>
      <c r="C173" s="289" t="s">
        <v>386</v>
      </c>
      <c r="D173" s="290"/>
      <c r="E173" s="291"/>
      <c r="F173" s="291"/>
      <c r="G173" s="291"/>
      <c r="H173" s="291"/>
      <c r="I173" s="292"/>
      <c r="J173" s="292"/>
      <c r="K173" s="292"/>
      <c r="L173" s="292"/>
      <c r="M173" s="297"/>
      <c r="N173" s="297"/>
      <c r="O173" s="297"/>
    </row>
    <row r="174" spans="1:15" ht="14.25" x14ac:dyDescent="0.2">
      <c r="B174" s="271"/>
      <c r="C174" s="274" t="s">
        <v>387</v>
      </c>
      <c r="D174" s="272"/>
      <c r="E174" s="61"/>
      <c r="F174" s="61"/>
      <c r="G174" s="61"/>
      <c r="H174" s="61"/>
      <c r="I174" s="284"/>
      <c r="J174" s="284"/>
      <c r="K174" s="284"/>
      <c r="L174" s="284"/>
      <c r="M174" s="298">
        <f>SUM(M175:M175)</f>
        <v>0</v>
      </c>
      <c r="N174" s="298">
        <f>SUM(N175:N175)</f>
        <v>0</v>
      </c>
      <c r="O174" s="298">
        <f>SUM(O175:O175)</f>
        <v>0</v>
      </c>
    </row>
    <row r="175" spans="1:15" ht="14.25" x14ac:dyDescent="0.2">
      <c r="B175" s="253"/>
      <c r="C175" s="30" t="s">
        <v>394</v>
      </c>
      <c r="D175" s="41"/>
      <c r="E175" s="270"/>
      <c r="F175" s="270"/>
      <c r="G175" s="270"/>
      <c r="H175" s="28"/>
      <c r="I175" s="283"/>
      <c r="J175" s="283"/>
      <c r="K175" s="283"/>
      <c r="L175" s="280"/>
      <c r="M175" s="285">
        <f>E175*I175</f>
        <v>0</v>
      </c>
      <c r="N175" s="285">
        <f t="shared" ref="N175" si="39">F175*J175</f>
        <v>0</v>
      </c>
      <c r="O175" s="285">
        <f>G175*K175</f>
        <v>0</v>
      </c>
    </row>
    <row r="176" spans="1:15" ht="14.25" x14ac:dyDescent="0.2">
      <c r="B176" s="271"/>
      <c r="C176" s="274" t="s">
        <v>388</v>
      </c>
      <c r="D176" s="272"/>
      <c r="E176" s="61"/>
      <c r="F176" s="61"/>
      <c r="G176" s="61"/>
      <c r="H176" s="61"/>
      <c r="I176" s="284"/>
      <c r="J176" s="284"/>
      <c r="K176" s="284"/>
      <c r="L176" s="284"/>
      <c r="M176" s="298">
        <f>SUM(M177:M177)</f>
        <v>0</v>
      </c>
      <c r="N176" s="298">
        <f>SUM(N177:N177)</f>
        <v>0</v>
      </c>
      <c r="O176" s="298">
        <f>SUM(O177:O177)</f>
        <v>0</v>
      </c>
    </row>
    <row r="177" spans="1:16" ht="14.25" x14ac:dyDescent="0.2">
      <c r="B177" s="253"/>
      <c r="C177" s="30" t="s">
        <v>394</v>
      </c>
      <c r="D177" s="41"/>
      <c r="E177" s="270"/>
      <c r="F177" s="270"/>
      <c r="G177" s="270"/>
      <c r="H177" s="28"/>
      <c r="I177" s="283"/>
      <c r="J177" s="283"/>
      <c r="K177" s="283"/>
      <c r="L177" s="280"/>
      <c r="M177" s="285">
        <f>E177*I177</f>
        <v>0</v>
      </c>
      <c r="N177" s="285">
        <f t="shared" ref="N177" si="40">F177*J177</f>
        <v>0</v>
      </c>
      <c r="O177" s="285">
        <f>G177*K177</f>
        <v>0</v>
      </c>
    </row>
    <row r="178" spans="1:16" ht="14.25" x14ac:dyDescent="0.2">
      <c r="B178" s="273"/>
      <c r="C178" s="3"/>
      <c r="D178" s="3"/>
      <c r="E178" s="3"/>
      <c r="I178" s="278"/>
      <c r="J178" s="278"/>
      <c r="K178" s="278"/>
      <c r="L178" s="278"/>
      <c r="M178" s="278"/>
      <c r="N178" s="278"/>
      <c r="O178" s="278"/>
    </row>
    <row r="179" spans="1:16" ht="15.75" thickBot="1" x14ac:dyDescent="0.3">
      <c r="A179" s="246"/>
      <c r="B179" s="273"/>
      <c r="C179" s="3"/>
      <c r="D179" s="3"/>
      <c r="E179" s="3"/>
      <c r="I179" s="278"/>
      <c r="J179" s="278"/>
      <c r="K179" s="278"/>
      <c r="L179" s="286" t="s">
        <v>390</v>
      </c>
      <c r="M179" s="287">
        <f>SUM(M152:M172)/2</f>
        <v>0</v>
      </c>
      <c r="N179" s="287">
        <f>SUM(N152:N172)/2</f>
        <v>0</v>
      </c>
      <c r="O179" s="287">
        <f>SUM(O152:O172)/2</f>
        <v>0</v>
      </c>
    </row>
    <row r="180" spans="1:16" ht="16.5" thickTop="1" thickBot="1" x14ac:dyDescent="0.3">
      <c r="B180" s="273"/>
      <c r="C180" s="3"/>
      <c r="D180" s="3"/>
      <c r="E180" s="3"/>
      <c r="I180" s="278"/>
      <c r="J180" s="278"/>
      <c r="K180" s="278"/>
      <c r="L180" s="286" t="s">
        <v>389</v>
      </c>
      <c r="M180" s="287">
        <f>SUM(M174:M177)/2</f>
        <v>0</v>
      </c>
      <c r="N180" s="287">
        <f>SUM(N174:N177)/2</f>
        <v>0</v>
      </c>
      <c r="O180" s="287">
        <f>SUM(O174:O177)/2</f>
        <v>0</v>
      </c>
    </row>
    <row r="181" spans="1:16" ht="15.75" thickTop="1" x14ac:dyDescent="0.25">
      <c r="B181" s="3"/>
      <c r="F181"/>
    </row>
    <row r="182" spans="1:16" x14ac:dyDescent="0.25">
      <c r="B182" s="3"/>
      <c r="F182"/>
    </row>
    <row r="183" spans="1:16" x14ac:dyDescent="0.25">
      <c r="B183" s="3"/>
      <c r="F183"/>
    </row>
    <row r="184" spans="1:16" x14ac:dyDescent="0.25">
      <c r="B184" s="3"/>
      <c r="F184"/>
    </row>
    <row r="185" spans="1:16" x14ac:dyDescent="0.25">
      <c r="B185" s="3"/>
      <c r="F185"/>
    </row>
    <row r="186" spans="1:16" s="28" customFormat="1" ht="15.75" x14ac:dyDescent="0.25">
      <c r="A186" s="263"/>
      <c r="B186" s="315"/>
      <c r="C186" s="316">
        <f>B107</f>
        <v>0</v>
      </c>
      <c r="D186" s="315"/>
      <c r="E186" s="315"/>
      <c r="F186" s="315"/>
      <c r="G186" s="315"/>
      <c r="H186" s="317"/>
      <c r="I186" s="318"/>
      <c r="J186" s="318"/>
      <c r="K186" s="318"/>
      <c r="L186" s="318"/>
      <c r="M186" s="318"/>
      <c r="N186" s="318"/>
      <c r="O186" s="318"/>
      <c r="P186" s="254"/>
    </row>
    <row r="187" spans="1:16" ht="15.75" x14ac:dyDescent="0.25">
      <c r="A187" s="246"/>
      <c r="B187" s="303" t="s">
        <v>346</v>
      </c>
      <c r="C187" s="304" t="s">
        <v>369</v>
      </c>
      <c r="D187" s="305" t="s">
        <v>370</v>
      </c>
      <c r="E187" s="306"/>
      <c r="F187" s="306" t="s">
        <v>392</v>
      </c>
      <c r="G187" s="306"/>
      <c r="H187" s="306"/>
      <c r="I187" s="307"/>
      <c r="J187" s="307" t="s">
        <v>391</v>
      </c>
      <c r="K187" s="307"/>
      <c r="L187" s="279"/>
      <c r="M187" s="307"/>
      <c r="N187" s="307" t="s">
        <v>369</v>
      </c>
      <c r="O187" s="307"/>
    </row>
    <row r="188" spans="1:16" ht="15.75" x14ac:dyDescent="0.25">
      <c r="A188" s="246"/>
      <c r="B188" s="266"/>
      <c r="C188" s="264"/>
      <c r="D188" s="266"/>
      <c r="E188" s="267" t="s">
        <v>371</v>
      </c>
      <c r="F188" s="267" t="s">
        <v>372</v>
      </c>
      <c r="G188" s="267" t="s">
        <v>373</v>
      </c>
      <c r="I188" s="281" t="s">
        <v>371</v>
      </c>
      <c r="J188" s="281" t="s">
        <v>372</v>
      </c>
      <c r="K188" s="281" t="s">
        <v>373</v>
      </c>
      <c r="L188" s="278"/>
      <c r="M188" s="293" t="s">
        <v>371</v>
      </c>
      <c r="N188" s="293" t="s">
        <v>372</v>
      </c>
      <c r="O188" s="293" t="s">
        <v>373</v>
      </c>
      <c r="P188" s="254"/>
    </row>
    <row r="189" spans="1:16" ht="14.25" x14ac:dyDescent="0.2">
      <c r="A189" s="246"/>
      <c r="B189" s="275"/>
      <c r="C189" s="276" t="s">
        <v>374</v>
      </c>
      <c r="D189" s="277"/>
      <c r="E189" s="57"/>
      <c r="F189" s="57"/>
      <c r="G189" s="57"/>
      <c r="H189" s="57"/>
      <c r="I189" s="282"/>
      <c r="J189" s="282"/>
      <c r="K189" s="282"/>
      <c r="L189" s="282"/>
      <c r="M189" s="294">
        <f>SUM(M190:M190)</f>
        <v>0</v>
      </c>
      <c r="N189" s="294">
        <f>SUM(N190:N190)</f>
        <v>0</v>
      </c>
      <c r="O189" s="294">
        <f>SUM(O190:O190)</f>
        <v>0</v>
      </c>
    </row>
    <row r="190" spans="1:16" ht="14.25" x14ac:dyDescent="0.2">
      <c r="A190" s="246"/>
      <c r="B190" s="253"/>
      <c r="C190" s="30" t="s">
        <v>394</v>
      </c>
      <c r="D190" s="41"/>
      <c r="E190" s="270"/>
      <c r="F190" s="270"/>
      <c r="G190" s="270"/>
      <c r="H190" s="28"/>
      <c r="I190" s="283"/>
      <c r="J190" s="283"/>
      <c r="K190" s="283"/>
      <c r="L190" s="280"/>
      <c r="M190" s="295">
        <f>E190*I190</f>
        <v>0</v>
      </c>
      <c r="N190" s="295">
        <f t="shared" ref="N190" si="41">F190*J190</f>
        <v>0</v>
      </c>
      <c r="O190" s="295">
        <f t="shared" ref="O190" si="42">G190*K190</f>
        <v>0</v>
      </c>
    </row>
    <row r="191" spans="1:16" ht="14.25" x14ac:dyDescent="0.2">
      <c r="A191" s="246"/>
      <c r="B191" s="275"/>
      <c r="C191" s="276" t="s">
        <v>378</v>
      </c>
      <c r="D191" s="277"/>
      <c r="E191" s="57"/>
      <c r="F191" s="57"/>
      <c r="G191" s="57"/>
      <c r="H191" s="57"/>
      <c r="I191" s="282"/>
      <c r="J191" s="282"/>
      <c r="K191" s="282"/>
      <c r="L191" s="282"/>
      <c r="M191" s="296"/>
      <c r="N191" s="296"/>
      <c r="O191" s="296"/>
    </row>
    <row r="192" spans="1:16" ht="14.25" x14ac:dyDescent="0.2">
      <c r="A192" s="246"/>
      <c r="B192" s="268"/>
      <c r="C192" s="274" t="s">
        <v>375</v>
      </c>
      <c r="D192" s="269"/>
      <c r="E192" s="61"/>
      <c r="F192" s="61"/>
      <c r="G192" s="61"/>
      <c r="H192" s="61"/>
      <c r="I192" s="284"/>
      <c r="J192" s="284"/>
      <c r="K192" s="284"/>
      <c r="L192" s="284"/>
      <c r="M192" s="298">
        <f>SUM(M193:M193)</f>
        <v>0</v>
      </c>
      <c r="N192" s="298">
        <f>SUM(N193:N193)</f>
        <v>0</v>
      </c>
      <c r="O192" s="298">
        <f>SUM(O193:O193)</f>
        <v>0</v>
      </c>
    </row>
    <row r="193" spans="1:15" ht="14.25" x14ac:dyDescent="0.2">
      <c r="B193" s="253"/>
      <c r="C193" s="30" t="s">
        <v>394</v>
      </c>
      <c r="D193" s="41"/>
      <c r="E193" s="270"/>
      <c r="F193" s="270"/>
      <c r="G193" s="270"/>
      <c r="H193" s="28"/>
      <c r="I193" s="283"/>
      <c r="J193" s="283"/>
      <c r="K193" s="283"/>
      <c r="L193" s="280"/>
      <c r="M193" s="285">
        <f>E193*I193</f>
        <v>0</v>
      </c>
      <c r="N193" s="285">
        <f t="shared" ref="N193" si="43">F193*J193</f>
        <v>0</v>
      </c>
      <c r="O193" s="285">
        <f t="shared" ref="O193" si="44">G193*K193</f>
        <v>0</v>
      </c>
    </row>
    <row r="194" spans="1:15" ht="14.25" x14ac:dyDescent="0.2">
      <c r="B194" s="268"/>
      <c r="C194" s="274" t="s">
        <v>376</v>
      </c>
      <c r="D194" s="269"/>
      <c r="E194" s="61"/>
      <c r="F194" s="61"/>
      <c r="G194" s="61"/>
      <c r="H194" s="61"/>
      <c r="I194" s="284"/>
      <c r="J194" s="284"/>
      <c r="K194" s="284"/>
      <c r="L194" s="284"/>
      <c r="M194" s="298">
        <f>SUM(M195:M195)</f>
        <v>0</v>
      </c>
      <c r="N194" s="298">
        <f>SUM(N195:N195)</f>
        <v>0</v>
      </c>
      <c r="O194" s="298">
        <f>SUM(O195:O195)</f>
        <v>0</v>
      </c>
    </row>
    <row r="195" spans="1:15" ht="14.25" x14ac:dyDescent="0.2">
      <c r="B195" s="253"/>
      <c r="C195" s="30" t="s">
        <v>394</v>
      </c>
      <c r="D195" s="41"/>
      <c r="E195" s="270"/>
      <c r="F195" s="270"/>
      <c r="G195" s="270"/>
      <c r="H195" s="28"/>
      <c r="I195" s="283"/>
      <c r="J195" s="283"/>
      <c r="K195" s="283"/>
      <c r="L195" s="280"/>
      <c r="M195" s="285">
        <f>E195*I195</f>
        <v>0</v>
      </c>
      <c r="N195" s="285">
        <f t="shared" ref="N195" si="45">F195*J195</f>
        <v>0</v>
      </c>
      <c r="O195" s="285">
        <f>G195*K195</f>
        <v>0</v>
      </c>
    </row>
    <row r="196" spans="1:15" ht="14.25" x14ac:dyDescent="0.2">
      <c r="B196" s="268"/>
      <c r="C196" s="274" t="s">
        <v>379</v>
      </c>
      <c r="D196" s="269"/>
      <c r="E196" s="61"/>
      <c r="F196" s="61"/>
      <c r="G196" s="61"/>
      <c r="H196" s="61"/>
      <c r="I196" s="284"/>
      <c r="J196" s="284"/>
      <c r="K196" s="284"/>
      <c r="L196" s="284"/>
      <c r="M196" s="298">
        <f>SUM(M197:M197)</f>
        <v>0</v>
      </c>
      <c r="N196" s="298">
        <f>SUM(N197:N197)</f>
        <v>0</v>
      </c>
      <c r="O196" s="298">
        <f>SUM(O197:O197)</f>
        <v>0</v>
      </c>
    </row>
    <row r="197" spans="1:15" ht="14.25" x14ac:dyDescent="0.2">
      <c r="B197" s="253"/>
      <c r="C197" s="30" t="s">
        <v>394</v>
      </c>
      <c r="D197" s="41"/>
      <c r="E197" s="270"/>
      <c r="F197" s="270"/>
      <c r="G197" s="270"/>
      <c r="H197" s="28"/>
      <c r="I197" s="283"/>
      <c r="J197" s="283"/>
      <c r="K197" s="283"/>
      <c r="L197" s="280"/>
      <c r="M197" s="285">
        <f>E197*I197</f>
        <v>0</v>
      </c>
      <c r="N197" s="285">
        <f t="shared" ref="N197" si="46">F197*J197</f>
        <v>0</v>
      </c>
      <c r="O197" s="285">
        <f>G197*K197</f>
        <v>0</v>
      </c>
    </row>
    <row r="198" spans="1:15" ht="14.25" x14ac:dyDescent="0.2">
      <c r="B198" s="271"/>
      <c r="C198" s="274" t="s">
        <v>380</v>
      </c>
      <c r="D198" s="272"/>
      <c r="E198" s="61"/>
      <c r="F198" s="61"/>
      <c r="G198" s="61"/>
      <c r="H198" s="61"/>
      <c r="I198" s="284"/>
      <c r="J198" s="284"/>
      <c r="K198" s="284"/>
      <c r="L198" s="284"/>
      <c r="M198" s="298">
        <f>SUM(M199:M199)</f>
        <v>0</v>
      </c>
      <c r="N198" s="298">
        <f>SUM(N199:N199)</f>
        <v>0</v>
      </c>
      <c r="O198" s="298">
        <f>SUM(O199:O199)</f>
        <v>0</v>
      </c>
    </row>
    <row r="199" spans="1:15" ht="14.25" x14ac:dyDescent="0.2">
      <c r="B199" s="253"/>
      <c r="C199" s="30" t="s">
        <v>394</v>
      </c>
      <c r="D199" s="41"/>
      <c r="E199" s="270"/>
      <c r="F199" s="270"/>
      <c r="G199" s="270"/>
      <c r="H199" s="28"/>
      <c r="I199" s="283"/>
      <c r="J199" s="283"/>
      <c r="K199" s="283"/>
      <c r="L199" s="280"/>
      <c r="M199" s="285">
        <f>E199*I199</f>
        <v>0</v>
      </c>
      <c r="N199" s="285">
        <f t="shared" ref="N199" si="47">F199*J199</f>
        <v>0</v>
      </c>
      <c r="O199" s="285">
        <f>G199*K199</f>
        <v>0</v>
      </c>
    </row>
    <row r="200" spans="1:15" ht="14.25" x14ac:dyDescent="0.2">
      <c r="B200" s="271"/>
      <c r="C200" s="274" t="s">
        <v>381</v>
      </c>
      <c r="D200" s="272"/>
      <c r="E200" s="61"/>
      <c r="F200" s="61"/>
      <c r="G200" s="61"/>
      <c r="H200" s="61"/>
      <c r="I200" s="284"/>
      <c r="J200" s="284"/>
      <c r="K200" s="284"/>
      <c r="L200" s="284"/>
      <c r="M200" s="298">
        <f>SUM(M201:M201)</f>
        <v>0</v>
      </c>
      <c r="N200" s="298">
        <f>SUM(N201:N201)</f>
        <v>0</v>
      </c>
      <c r="O200" s="298">
        <f>SUM(O201:O201)</f>
        <v>0</v>
      </c>
    </row>
    <row r="201" spans="1:15" ht="14.25" x14ac:dyDescent="0.2">
      <c r="B201" s="253"/>
      <c r="C201" s="30" t="s">
        <v>394</v>
      </c>
      <c r="D201" s="41"/>
      <c r="E201" s="270"/>
      <c r="F201" s="270"/>
      <c r="G201" s="270"/>
      <c r="H201" s="28"/>
      <c r="I201" s="283"/>
      <c r="J201" s="283"/>
      <c r="K201" s="283"/>
      <c r="L201" s="280"/>
      <c r="M201" s="285">
        <f>E201*I201</f>
        <v>0</v>
      </c>
      <c r="N201" s="285">
        <f>F201*J201</f>
        <v>0</v>
      </c>
      <c r="O201" s="285">
        <f>G201*K201</f>
        <v>0</v>
      </c>
    </row>
    <row r="202" spans="1:15" ht="14.25" x14ac:dyDescent="0.2">
      <c r="B202" s="268"/>
      <c r="C202" s="274" t="s">
        <v>377</v>
      </c>
      <c r="D202" s="269"/>
      <c r="E202" s="61"/>
      <c r="F202" s="61"/>
      <c r="G202" s="61"/>
      <c r="H202" s="61"/>
      <c r="I202" s="284"/>
      <c r="J202" s="284"/>
      <c r="K202" s="284"/>
      <c r="L202" s="284"/>
      <c r="M202" s="298">
        <f>SUM(M203:M203)</f>
        <v>0</v>
      </c>
      <c r="N202" s="298">
        <f>SUM(N203:N203)</f>
        <v>0</v>
      </c>
      <c r="O202" s="298">
        <f>SUM(O203:O203)</f>
        <v>0</v>
      </c>
    </row>
    <row r="203" spans="1:15" ht="14.25" x14ac:dyDescent="0.2">
      <c r="B203" s="253"/>
      <c r="C203" s="30" t="s">
        <v>394</v>
      </c>
      <c r="D203" s="41"/>
      <c r="E203" s="270"/>
      <c r="F203" s="270"/>
      <c r="G203" s="270"/>
      <c r="H203" s="28"/>
      <c r="I203" s="283"/>
      <c r="J203" s="283"/>
      <c r="K203" s="283"/>
      <c r="L203" s="280"/>
      <c r="M203" s="285">
        <f>E203*I203</f>
        <v>0</v>
      </c>
      <c r="N203" s="285">
        <f t="shared" ref="N203" si="48">F203*J203</f>
        <v>0</v>
      </c>
      <c r="O203" s="285">
        <f>G203*K203</f>
        <v>0</v>
      </c>
    </row>
    <row r="204" spans="1:15" ht="14.25" x14ac:dyDescent="0.2">
      <c r="B204" s="268"/>
      <c r="C204" s="274" t="s">
        <v>382</v>
      </c>
      <c r="D204" s="269"/>
      <c r="E204" s="61"/>
      <c r="F204" s="61"/>
      <c r="G204" s="61"/>
      <c r="H204" s="61"/>
      <c r="I204" s="284"/>
      <c r="J204" s="284"/>
      <c r="K204" s="284"/>
      <c r="L204" s="284"/>
      <c r="M204" s="298">
        <f>SUM(M205:M205)</f>
        <v>0</v>
      </c>
      <c r="N204" s="298">
        <f>SUM(N205:N205)</f>
        <v>0</v>
      </c>
      <c r="O204" s="298">
        <f>SUM(O205:O205)</f>
        <v>0</v>
      </c>
    </row>
    <row r="205" spans="1:15" ht="14.25" x14ac:dyDescent="0.2">
      <c r="B205" s="253"/>
      <c r="C205" s="30" t="s">
        <v>394</v>
      </c>
      <c r="D205" s="41"/>
      <c r="E205" s="270"/>
      <c r="F205" s="270"/>
      <c r="G205" s="270"/>
      <c r="H205" s="28"/>
      <c r="I205" s="283"/>
      <c r="J205" s="283"/>
      <c r="K205" s="283"/>
      <c r="L205" s="280"/>
      <c r="M205" s="285">
        <f>E205*I205</f>
        <v>0</v>
      </c>
      <c r="N205" s="285">
        <f t="shared" ref="N205" si="49">F205*J205</f>
        <v>0</v>
      </c>
      <c r="O205" s="285">
        <f>G205*K205</f>
        <v>0</v>
      </c>
    </row>
    <row r="206" spans="1:15" ht="14.25" x14ac:dyDescent="0.2">
      <c r="A206" s="246"/>
      <c r="B206" s="275"/>
      <c r="C206" s="276" t="s">
        <v>383</v>
      </c>
      <c r="D206" s="277"/>
      <c r="E206" s="57"/>
      <c r="F206" s="57"/>
      <c r="G206" s="57"/>
      <c r="H206" s="57"/>
      <c r="I206" s="282"/>
      <c r="J206" s="282"/>
      <c r="K206" s="282"/>
      <c r="L206" s="282"/>
      <c r="M206" s="296"/>
      <c r="N206" s="296"/>
      <c r="O206" s="296"/>
    </row>
    <row r="207" spans="1:15" ht="14.25" x14ac:dyDescent="0.2">
      <c r="B207" s="271"/>
      <c r="C207" s="274" t="s">
        <v>384</v>
      </c>
      <c r="D207" s="272"/>
      <c r="E207" s="61"/>
      <c r="F207" s="61"/>
      <c r="G207" s="61"/>
      <c r="H207" s="61"/>
      <c r="I207" s="284"/>
      <c r="J207" s="284"/>
      <c r="K207" s="284"/>
      <c r="L207" s="284"/>
      <c r="M207" s="298">
        <f>SUM(M208:M208)</f>
        <v>0</v>
      </c>
      <c r="N207" s="298">
        <f>SUM(N208:N208)</f>
        <v>0</v>
      </c>
      <c r="O207" s="298">
        <f>SUM(O208:O208)</f>
        <v>0</v>
      </c>
    </row>
    <row r="208" spans="1:15" ht="14.25" x14ac:dyDescent="0.2">
      <c r="B208" s="253"/>
      <c r="C208" s="30" t="s">
        <v>394</v>
      </c>
      <c r="D208" s="41"/>
      <c r="E208" s="270"/>
      <c r="F208" s="270"/>
      <c r="G208" s="270"/>
      <c r="H208" s="28"/>
      <c r="I208" s="283"/>
      <c r="J208" s="283"/>
      <c r="K208" s="283"/>
      <c r="L208" s="280"/>
      <c r="M208" s="285">
        <f>E208*I208</f>
        <v>0</v>
      </c>
      <c r="N208" s="285">
        <f t="shared" ref="N208" si="50">F208*J208</f>
        <v>0</v>
      </c>
      <c r="O208" s="285">
        <f>G208*K208</f>
        <v>0</v>
      </c>
    </row>
    <row r="209" spans="1:15" ht="14.25" x14ac:dyDescent="0.2">
      <c r="B209" s="271"/>
      <c r="C209" s="274" t="s">
        <v>385</v>
      </c>
      <c r="D209" s="272"/>
      <c r="E209" s="61"/>
      <c r="F209" s="61"/>
      <c r="G209" s="61"/>
      <c r="H209" s="61"/>
      <c r="I209" s="284"/>
      <c r="J209" s="284"/>
      <c r="K209" s="284"/>
      <c r="L209" s="284"/>
      <c r="M209" s="298">
        <f>SUM(M210:M210)</f>
        <v>0</v>
      </c>
      <c r="N209" s="298">
        <f>SUM(N210:N210)</f>
        <v>0</v>
      </c>
      <c r="O209" s="298">
        <f>SUM(O210:O210)</f>
        <v>0</v>
      </c>
    </row>
    <row r="210" spans="1:15" ht="14.25" x14ac:dyDescent="0.2">
      <c r="B210" s="253"/>
      <c r="C210" s="30" t="s">
        <v>394</v>
      </c>
      <c r="D210" s="41"/>
      <c r="E210" s="270"/>
      <c r="F210" s="270"/>
      <c r="G210" s="270"/>
      <c r="H210" s="28"/>
      <c r="I210" s="283"/>
      <c r="J210" s="283"/>
      <c r="K210" s="283"/>
      <c r="L210" s="280"/>
      <c r="M210" s="285">
        <f>E210*I210</f>
        <v>0</v>
      </c>
      <c r="N210" s="285">
        <f t="shared" ref="N210" si="51">F210*J210</f>
        <v>0</v>
      </c>
      <c r="O210" s="285">
        <f>G210*K210</f>
        <v>0</v>
      </c>
    </row>
    <row r="211" spans="1:15" ht="14.25" x14ac:dyDescent="0.2">
      <c r="A211" s="246"/>
      <c r="B211" s="288"/>
      <c r="C211" s="289" t="s">
        <v>386</v>
      </c>
      <c r="D211" s="290"/>
      <c r="E211" s="291"/>
      <c r="F211" s="291"/>
      <c r="G211" s="291"/>
      <c r="H211" s="291"/>
      <c r="I211" s="292"/>
      <c r="J211" s="292"/>
      <c r="K211" s="292"/>
      <c r="L211" s="292"/>
      <c r="M211" s="297"/>
      <c r="N211" s="297"/>
      <c r="O211" s="297"/>
    </row>
    <row r="212" spans="1:15" ht="14.25" x14ac:dyDescent="0.2">
      <c r="B212" s="271"/>
      <c r="C212" s="274" t="s">
        <v>387</v>
      </c>
      <c r="D212" s="272"/>
      <c r="E212" s="61"/>
      <c r="F212" s="61"/>
      <c r="G212" s="61"/>
      <c r="H212" s="61"/>
      <c r="I212" s="284"/>
      <c r="J212" s="284"/>
      <c r="K212" s="284"/>
      <c r="L212" s="284"/>
      <c r="M212" s="298">
        <f>SUM(M213:M213)</f>
        <v>0</v>
      </c>
      <c r="N212" s="298">
        <f>SUM(N213:N213)</f>
        <v>0</v>
      </c>
      <c r="O212" s="298">
        <f>SUM(O213:O213)</f>
        <v>0</v>
      </c>
    </row>
    <row r="213" spans="1:15" ht="14.25" x14ac:dyDescent="0.2">
      <c r="B213" s="253"/>
      <c r="C213" s="30" t="s">
        <v>394</v>
      </c>
      <c r="D213" s="41"/>
      <c r="E213" s="270"/>
      <c r="F213" s="270"/>
      <c r="G213" s="270"/>
      <c r="H213" s="28"/>
      <c r="I213" s="283"/>
      <c r="J213" s="283"/>
      <c r="K213" s="283"/>
      <c r="L213" s="280"/>
      <c r="M213" s="285">
        <f>E213*I213</f>
        <v>0</v>
      </c>
      <c r="N213" s="285">
        <f t="shared" ref="N213" si="52">F213*J213</f>
        <v>0</v>
      </c>
      <c r="O213" s="285">
        <f>G213*K213</f>
        <v>0</v>
      </c>
    </row>
    <row r="214" spans="1:15" ht="14.25" x14ac:dyDescent="0.2">
      <c r="B214" s="271"/>
      <c r="C214" s="274" t="s">
        <v>388</v>
      </c>
      <c r="D214" s="272"/>
      <c r="E214" s="61"/>
      <c r="F214" s="61"/>
      <c r="G214" s="61"/>
      <c r="H214" s="61"/>
      <c r="I214" s="284"/>
      <c r="J214" s="284"/>
      <c r="K214" s="284"/>
      <c r="L214" s="284"/>
      <c r="M214" s="298">
        <f>SUM(M215:M215)</f>
        <v>0</v>
      </c>
      <c r="N214" s="298">
        <f>SUM(N215:N215)</f>
        <v>0</v>
      </c>
      <c r="O214" s="298">
        <f>SUM(O215:O215)</f>
        <v>0</v>
      </c>
    </row>
    <row r="215" spans="1:15" ht="14.25" x14ac:dyDescent="0.2">
      <c r="B215" s="253"/>
      <c r="C215" s="30" t="s">
        <v>394</v>
      </c>
      <c r="D215" s="41"/>
      <c r="E215" s="270"/>
      <c r="F215" s="270"/>
      <c r="G215" s="270"/>
      <c r="H215" s="28"/>
      <c r="I215" s="283"/>
      <c r="J215" s="283"/>
      <c r="K215" s="283"/>
      <c r="L215" s="280"/>
      <c r="M215" s="285">
        <f>E215*I215</f>
        <v>0</v>
      </c>
      <c r="N215" s="285">
        <f t="shared" ref="N215" si="53">F215*J215</f>
        <v>0</v>
      </c>
      <c r="O215" s="285">
        <f>G215*K215</f>
        <v>0</v>
      </c>
    </row>
    <row r="216" spans="1:15" ht="14.25" x14ac:dyDescent="0.2">
      <c r="B216" s="273"/>
      <c r="C216" s="3"/>
      <c r="D216" s="3"/>
      <c r="E216" s="3"/>
      <c r="I216" s="278"/>
      <c r="J216" s="278"/>
      <c r="K216" s="278"/>
      <c r="L216" s="278"/>
      <c r="M216" s="278"/>
      <c r="N216" s="278"/>
      <c r="O216" s="278"/>
    </row>
    <row r="217" spans="1:15" ht="15.75" thickBot="1" x14ac:dyDescent="0.3">
      <c r="A217" s="246"/>
      <c r="B217" s="273"/>
      <c r="C217" s="3"/>
      <c r="D217" s="3"/>
      <c r="E217" s="3"/>
      <c r="I217" s="278"/>
      <c r="J217" s="278"/>
      <c r="K217" s="278"/>
      <c r="L217" s="286" t="s">
        <v>390</v>
      </c>
      <c r="M217" s="287">
        <f>SUM(M190:M210)/2</f>
        <v>0</v>
      </c>
      <c r="N217" s="287">
        <f>SUM(N190:N210)/2</f>
        <v>0</v>
      </c>
      <c r="O217" s="287">
        <f>SUM(O190:O210)/2</f>
        <v>0</v>
      </c>
    </row>
    <row r="218" spans="1:15" ht="16.5" thickTop="1" thickBot="1" x14ac:dyDescent="0.3">
      <c r="B218" s="273"/>
      <c r="C218" s="3"/>
      <c r="D218" s="3"/>
      <c r="E218" s="3"/>
      <c r="I218" s="278"/>
      <c r="J218" s="278"/>
      <c r="K218" s="278"/>
      <c r="L218" s="286" t="s">
        <v>389</v>
      </c>
      <c r="M218" s="287">
        <f>SUM(M212:M215)/2</f>
        <v>0</v>
      </c>
      <c r="N218" s="287">
        <f>SUM(N212:N215)/2</f>
        <v>0</v>
      </c>
      <c r="O218" s="287">
        <f>SUM(O212:O215)/2</f>
        <v>0</v>
      </c>
    </row>
    <row r="219" spans="1:15" ht="15.75" thickTop="1" x14ac:dyDescent="0.25">
      <c r="B219" s="3"/>
      <c r="F219"/>
    </row>
    <row r="220" spans="1:15" x14ac:dyDescent="0.25">
      <c r="B220" s="3"/>
      <c r="F220"/>
    </row>
    <row r="221" spans="1:15" x14ac:dyDescent="0.25">
      <c r="B221" s="3"/>
      <c r="F221"/>
    </row>
    <row r="222" spans="1:15" x14ac:dyDescent="0.25">
      <c r="B222" s="3"/>
      <c r="F222"/>
    </row>
    <row r="223" spans="1:15" x14ac:dyDescent="0.25">
      <c r="B223" s="3"/>
      <c r="F223"/>
    </row>
    <row r="224" spans="1:15" x14ac:dyDescent="0.25">
      <c r="B224" s="3"/>
      <c r="F224"/>
    </row>
    <row r="225" spans="2:6" x14ac:dyDescent="0.25">
      <c r="B225" s="3"/>
      <c r="F225"/>
    </row>
    <row r="226" spans="2:6" x14ac:dyDescent="0.25">
      <c r="B226" s="3"/>
      <c r="F226"/>
    </row>
    <row r="227" spans="2:6" x14ac:dyDescent="0.25">
      <c r="B227" s="3"/>
      <c r="F227"/>
    </row>
    <row r="228" spans="2:6" x14ac:dyDescent="0.25">
      <c r="B228" s="3"/>
      <c r="F228"/>
    </row>
    <row r="229" spans="2:6" x14ac:dyDescent="0.25">
      <c r="B229" s="3"/>
      <c r="F229"/>
    </row>
    <row r="230" spans="2:6" x14ac:dyDescent="0.25">
      <c r="B230" s="3"/>
      <c r="F230"/>
    </row>
    <row r="231" spans="2:6" x14ac:dyDescent="0.25">
      <c r="B231" s="3"/>
      <c r="F231"/>
    </row>
    <row r="232" spans="2:6" x14ac:dyDescent="0.25">
      <c r="B232" s="3"/>
      <c r="F232"/>
    </row>
    <row r="233" spans="2:6" x14ac:dyDescent="0.25">
      <c r="B233" s="3"/>
      <c r="F233"/>
    </row>
    <row r="234" spans="2:6" x14ac:dyDescent="0.25">
      <c r="B234" s="3"/>
      <c r="F234"/>
    </row>
    <row r="235" spans="2:6" x14ac:dyDescent="0.25">
      <c r="B235" s="3"/>
      <c r="F235"/>
    </row>
    <row r="236" spans="2:6" x14ac:dyDescent="0.25">
      <c r="B236" s="3"/>
      <c r="F236"/>
    </row>
    <row r="237" spans="2:6" x14ac:dyDescent="0.25">
      <c r="B237" s="3"/>
      <c r="F237"/>
    </row>
    <row r="238" spans="2:6" x14ac:dyDescent="0.25">
      <c r="B238" s="3"/>
      <c r="F238"/>
    </row>
    <row r="239" spans="2:6" x14ac:dyDescent="0.25">
      <c r="B239" s="3"/>
      <c r="F239"/>
    </row>
    <row r="240" spans="2:6" x14ac:dyDescent="0.25">
      <c r="B240" s="3"/>
      <c r="F240"/>
    </row>
    <row r="241" spans="2:6" x14ac:dyDescent="0.25">
      <c r="B241" s="3"/>
      <c r="F241"/>
    </row>
    <row r="242" spans="2:6" x14ac:dyDescent="0.25">
      <c r="B242" s="3"/>
      <c r="F242"/>
    </row>
    <row r="243" spans="2:6" x14ac:dyDescent="0.25">
      <c r="B243" s="3"/>
      <c r="F243"/>
    </row>
    <row r="244" spans="2:6" x14ac:dyDescent="0.25">
      <c r="B244" s="3"/>
      <c r="F244"/>
    </row>
    <row r="245" spans="2:6" x14ac:dyDescent="0.25">
      <c r="B245" s="3"/>
      <c r="F245"/>
    </row>
    <row r="246" spans="2:6" x14ac:dyDescent="0.25">
      <c r="B246" s="3"/>
      <c r="F246"/>
    </row>
    <row r="247" spans="2:6" x14ac:dyDescent="0.25">
      <c r="B247" s="3"/>
      <c r="F247"/>
    </row>
    <row r="248" spans="2:6" x14ac:dyDescent="0.25">
      <c r="B248" s="3"/>
      <c r="F248"/>
    </row>
    <row r="249" spans="2:6" x14ac:dyDescent="0.25">
      <c r="B249" s="3"/>
      <c r="F249"/>
    </row>
    <row r="250" spans="2:6" x14ac:dyDescent="0.25">
      <c r="B250" s="3"/>
      <c r="F250"/>
    </row>
    <row r="251" spans="2:6" x14ac:dyDescent="0.25">
      <c r="B251" s="3"/>
      <c r="F251"/>
    </row>
    <row r="252" spans="2:6" x14ac:dyDescent="0.25">
      <c r="B252" s="3"/>
      <c r="F252"/>
    </row>
    <row r="253" spans="2:6" x14ac:dyDescent="0.25">
      <c r="B253" s="3"/>
      <c r="F253"/>
    </row>
    <row r="254" spans="2:6" x14ac:dyDescent="0.25">
      <c r="B254" s="3"/>
      <c r="F254"/>
    </row>
    <row r="255" spans="2:6" x14ac:dyDescent="0.25">
      <c r="B255" s="3"/>
      <c r="F255"/>
    </row>
    <row r="256" spans="2:6" x14ac:dyDescent="0.25">
      <c r="B256" s="3"/>
      <c r="F256"/>
    </row>
    <row r="257" spans="2:6" x14ac:dyDescent="0.25">
      <c r="B257" s="3"/>
      <c r="F257"/>
    </row>
    <row r="258" spans="2:6" x14ac:dyDescent="0.25">
      <c r="B258" s="3"/>
      <c r="F258"/>
    </row>
    <row r="259" spans="2:6" x14ac:dyDescent="0.25">
      <c r="B259" s="3"/>
      <c r="F259"/>
    </row>
    <row r="260" spans="2:6" x14ac:dyDescent="0.25">
      <c r="B260" s="3"/>
      <c r="F260"/>
    </row>
    <row r="261" spans="2:6" x14ac:dyDescent="0.25">
      <c r="B261" s="3"/>
      <c r="F261"/>
    </row>
    <row r="262" spans="2:6" x14ac:dyDescent="0.25">
      <c r="B262" s="3"/>
      <c r="F262"/>
    </row>
    <row r="263" spans="2:6" x14ac:dyDescent="0.25">
      <c r="B263" s="3"/>
      <c r="F263"/>
    </row>
    <row r="264" spans="2:6" x14ac:dyDescent="0.25">
      <c r="B264" s="3"/>
      <c r="F264"/>
    </row>
    <row r="265" spans="2:6" x14ac:dyDescent="0.25">
      <c r="B265" s="3"/>
      <c r="F265"/>
    </row>
    <row r="266" spans="2:6" x14ac:dyDescent="0.25">
      <c r="B266" s="3"/>
      <c r="F266"/>
    </row>
    <row r="267" spans="2:6" x14ac:dyDescent="0.25">
      <c r="B267" s="3"/>
      <c r="F267"/>
    </row>
    <row r="268" spans="2:6" x14ac:dyDescent="0.25">
      <c r="B268" s="3"/>
      <c r="F268"/>
    </row>
    <row r="269" spans="2:6" x14ac:dyDescent="0.25">
      <c r="B269" s="3"/>
      <c r="F269"/>
    </row>
    <row r="270" spans="2:6" x14ac:dyDescent="0.25">
      <c r="B270" s="3"/>
      <c r="F270"/>
    </row>
  </sheetData>
  <mergeCells count="3">
    <mergeCell ref="D13:G13"/>
    <mergeCell ref="D15:G15"/>
    <mergeCell ref="D17:O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270"/>
  <sheetViews>
    <sheetView showGridLines="0" workbookViewId="0">
      <pane ySplit="1" topLeftCell="A74" activePane="bottomLeft" state="frozen"/>
      <selection activeCell="G35" sqref="G35"/>
      <selection pane="bottomLeft" activeCell="G35" sqref="G35"/>
    </sheetView>
  </sheetViews>
  <sheetFormatPr defaultRowHeight="15" x14ac:dyDescent="0.25"/>
  <cols>
    <col min="1" max="1" width="4.5703125" style="3" customWidth="1"/>
    <col min="2" max="2" width="3.85546875" customWidth="1"/>
    <col min="3" max="3" width="41.7109375" customWidth="1"/>
    <col min="4" max="4" width="18" customWidth="1"/>
    <col min="5" max="5" width="12.85546875" customWidth="1"/>
    <col min="6" max="7" width="12.85546875" style="3" customWidth="1"/>
    <col min="8" max="8" width="2.42578125" style="3" customWidth="1"/>
    <col min="9" max="11" width="12.85546875" style="3" customWidth="1"/>
    <col min="12" max="12" width="2.42578125" style="3" customWidth="1"/>
    <col min="13" max="15" width="12.85546875" style="3" customWidth="1"/>
    <col min="16" max="16384" width="9.140625" style="3"/>
  </cols>
  <sheetData>
    <row r="1" spans="1:16" ht="15.75" x14ac:dyDescent="0.25">
      <c r="A1" s="314"/>
      <c r="B1" s="313" t="e">
        <f>'Service Descriptions'!#REF!</f>
        <v>#REF!</v>
      </c>
      <c r="C1" s="192"/>
      <c r="D1" s="192"/>
      <c r="E1" s="192"/>
    </row>
    <row r="2" spans="1:16" ht="15.75" customHeight="1" x14ac:dyDescent="0.25">
      <c r="A2" s="246"/>
      <c r="B2" s="310"/>
      <c r="C2" s="311" t="s">
        <v>395</v>
      </c>
      <c r="D2" s="310"/>
      <c r="E2" s="308"/>
      <c r="F2" s="308"/>
      <c r="G2" s="308"/>
      <c r="H2" s="308"/>
      <c r="I2" s="309"/>
      <c r="J2" s="309"/>
      <c r="K2" s="309"/>
      <c r="L2" s="309"/>
      <c r="M2" s="309"/>
      <c r="N2" s="309"/>
      <c r="O2" s="309"/>
    </row>
    <row r="3" spans="1:16" s="319" customFormat="1" ht="15.75" x14ac:dyDescent="0.25">
      <c r="A3" s="231"/>
      <c r="B3" s="320"/>
      <c r="C3" s="321"/>
      <c r="D3" s="321"/>
      <c r="E3" s="321"/>
    </row>
    <row r="4" spans="1:16" s="319" customFormat="1" ht="15.75" x14ac:dyDescent="0.25">
      <c r="A4" s="231"/>
      <c r="B4" s="320"/>
      <c r="C4" s="321"/>
      <c r="D4" s="321"/>
      <c r="E4" s="321"/>
    </row>
    <row r="5" spans="1:16" s="319" customFormat="1" ht="15.75" x14ac:dyDescent="0.25">
      <c r="A5" s="231"/>
      <c r="B5" s="320"/>
      <c r="C5" s="321"/>
      <c r="D5" s="321"/>
      <c r="E5" s="321"/>
    </row>
    <row r="6" spans="1:16" s="319" customFormat="1" ht="15.75" x14ac:dyDescent="0.25">
      <c r="A6" s="231"/>
      <c r="B6" s="320"/>
      <c r="C6" s="321"/>
      <c r="D6" s="321"/>
      <c r="E6" s="321"/>
    </row>
    <row r="7" spans="1:16" s="319" customFormat="1" ht="15.75" x14ac:dyDescent="0.25">
      <c r="A7" s="231"/>
      <c r="B7" s="320"/>
      <c r="C7" s="321"/>
      <c r="D7" s="321"/>
      <c r="E7" s="321"/>
    </row>
    <row r="8" spans="1:16" s="319" customFormat="1" ht="15.75" x14ac:dyDescent="0.25">
      <c r="A8" s="231"/>
      <c r="B8" s="320"/>
      <c r="C8" s="321"/>
      <c r="D8" s="321"/>
      <c r="E8" s="321"/>
    </row>
    <row r="9" spans="1:16" s="319" customFormat="1" ht="15.75" x14ac:dyDescent="0.25">
      <c r="A9" s="231"/>
      <c r="B9" s="320"/>
      <c r="C9" s="321"/>
      <c r="D9" s="321"/>
      <c r="E9" s="321"/>
    </row>
    <row r="10" spans="1:16" s="319" customFormat="1" ht="15.75" x14ac:dyDescent="0.25">
      <c r="A10" s="231"/>
      <c r="B10" s="320"/>
      <c r="C10" s="321"/>
      <c r="D10" s="321"/>
      <c r="E10" s="321"/>
    </row>
    <row r="11" spans="1:16" ht="15.75" customHeight="1" x14ac:dyDescent="0.25">
      <c r="A11" s="246"/>
      <c r="B11" s="310"/>
      <c r="C11" s="311" t="s">
        <v>396</v>
      </c>
      <c r="D11" s="310"/>
      <c r="E11" s="308"/>
      <c r="F11" s="308"/>
      <c r="G11" s="308"/>
      <c r="H11" s="308"/>
      <c r="I11" s="309"/>
      <c r="J11" s="309"/>
      <c r="K11" s="309"/>
      <c r="L11" s="309"/>
      <c r="M11" s="309"/>
      <c r="N11" s="309"/>
      <c r="O11" s="309"/>
    </row>
    <row r="12" spans="1:16" s="28" customFormat="1" ht="15.75" customHeight="1" x14ac:dyDescent="0.2">
      <c r="A12" s="247"/>
      <c r="B12" s="253"/>
      <c r="I12" s="280"/>
      <c r="J12" s="280"/>
      <c r="K12" s="280"/>
      <c r="L12" s="280"/>
      <c r="M12" s="280"/>
      <c r="N12" s="280"/>
      <c r="O12" s="280"/>
      <c r="P12" s="254"/>
    </row>
    <row r="13" spans="1:16" s="28" customFormat="1" ht="15.75" customHeight="1" x14ac:dyDescent="0.2">
      <c r="A13" s="255">
        <v>1</v>
      </c>
      <c r="B13" s="256" t="s">
        <v>366</v>
      </c>
      <c r="C13" s="256"/>
      <c r="D13" s="944"/>
      <c r="E13" s="944"/>
      <c r="F13" s="944"/>
      <c r="G13" s="944"/>
      <c r="I13" s="280"/>
      <c r="J13" s="280"/>
      <c r="K13" s="280"/>
      <c r="L13" s="280"/>
      <c r="M13" s="280"/>
      <c r="N13" s="280"/>
      <c r="O13" s="280"/>
    </row>
    <row r="14" spans="1:16" s="28" customFormat="1" ht="15.75" customHeight="1" x14ac:dyDescent="0.2">
      <c r="A14" s="255"/>
      <c r="B14" s="255" t="s">
        <v>367</v>
      </c>
      <c r="C14" s="256"/>
      <c r="D14" s="257"/>
      <c r="E14" s="255"/>
      <c r="F14" s="255"/>
      <c r="G14" s="255"/>
      <c r="I14" s="280"/>
      <c r="J14" s="280"/>
      <c r="K14" s="280"/>
      <c r="L14" s="280"/>
      <c r="M14" s="280"/>
      <c r="N14" s="280"/>
      <c r="O14" s="280"/>
      <c r="P14" s="258"/>
    </row>
    <row r="15" spans="1:16" s="28" customFormat="1" ht="15.75" customHeight="1" x14ac:dyDescent="0.2">
      <c r="A15" s="255"/>
      <c r="B15" s="255" t="s">
        <v>368</v>
      </c>
      <c r="C15" s="256"/>
      <c r="D15" s="945"/>
      <c r="E15" s="945"/>
      <c r="F15" s="945"/>
      <c r="G15" s="945"/>
      <c r="I15" s="280"/>
      <c r="J15" s="280"/>
      <c r="K15" s="280"/>
      <c r="L15" s="280"/>
      <c r="M15" s="280"/>
      <c r="N15" s="280"/>
      <c r="O15" s="280"/>
      <c r="P15" s="254"/>
    </row>
    <row r="16" spans="1:16" s="28" customFormat="1" ht="15.75" customHeight="1" x14ac:dyDescent="0.2">
      <c r="A16" s="255"/>
      <c r="B16" s="255"/>
      <c r="C16" s="255"/>
      <c r="D16" s="255"/>
      <c r="E16" s="255"/>
      <c r="F16" s="255"/>
      <c r="G16" s="255"/>
      <c r="I16" s="280"/>
      <c r="J16" s="280"/>
      <c r="K16" s="280"/>
      <c r="L16" s="280"/>
      <c r="M16" s="280"/>
      <c r="N16" s="280"/>
      <c r="O16" s="280"/>
      <c r="P16" s="254"/>
    </row>
    <row r="17" spans="1:16" s="28" customFormat="1" ht="15.75" customHeight="1" x14ac:dyDescent="0.2">
      <c r="A17" s="255">
        <v>2</v>
      </c>
      <c r="B17" s="256" t="s">
        <v>366</v>
      </c>
      <c r="C17" s="255"/>
      <c r="D17" s="944"/>
      <c r="E17" s="944"/>
      <c r="F17" s="944"/>
      <c r="G17" s="944"/>
      <c r="H17" s="944"/>
      <c r="I17" s="944"/>
      <c r="J17" s="944"/>
      <c r="K17" s="944"/>
      <c r="L17" s="944"/>
      <c r="M17" s="944"/>
      <c r="N17" s="944"/>
      <c r="O17" s="944"/>
      <c r="P17" s="260"/>
    </row>
    <row r="18" spans="1:16" s="28" customFormat="1" ht="15.75" customHeight="1" x14ac:dyDescent="0.2">
      <c r="A18" s="255"/>
      <c r="B18" s="256"/>
      <c r="C18" s="255"/>
      <c r="D18" s="255"/>
      <c r="E18" s="255"/>
      <c r="F18" s="255"/>
      <c r="G18" s="255"/>
      <c r="I18" s="280"/>
      <c r="J18" s="280"/>
      <c r="K18" s="280"/>
      <c r="L18" s="280"/>
      <c r="M18" s="280"/>
      <c r="N18" s="280"/>
      <c r="O18" s="280"/>
      <c r="P18" s="260"/>
    </row>
    <row r="19" spans="1:16" s="28" customFormat="1" ht="15.75" customHeight="1" x14ac:dyDescent="0.2">
      <c r="A19" s="255">
        <v>3</v>
      </c>
      <c r="B19" s="255" t="s">
        <v>366</v>
      </c>
      <c r="C19" s="261"/>
      <c r="D19" s="255"/>
      <c r="E19" s="255"/>
      <c r="F19" s="255"/>
      <c r="G19" s="255"/>
      <c r="I19" s="280"/>
      <c r="J19" s="280"/>
      <c r="K19" s="280"/>
      <c r="L19" s="280"/>
      <c r="M19" s="280"/>
      <c r="N19" s="280"/>
      <c r="O19" s="280"/>
      <c r="P19" s="262"/>
    </row>
    <row r="20" spans="1:16" ht="15.75" customHeight="1" x14ac:dyDescent="0.25">
      <c r="A20" s="246"/>
      <c r="B20" s="299"/>
      <c r="C20" s="300" t="s">
        <v>393</v>
      </c>
      <c r="D20" s="299" t="s">
        <v>365</v>
      </c>
      <c r="E20" s="299" t="s">
        <v>365</v>
      </c>
      <c r="F20" s="301"/>
      <c r="G20" s="301"/>
      <c r="H20" s="301"/>
      <c r="I20" s="302"/>
      <c r="J20" s="302"/>
      <c r="K20" s="302"/>
      <c r="L20" s="302"/>
      <c r="M20" s="302"/>
      <c r="N20" s="302"/>
      <c r="O20" s="302"/>
    </row>
    <row r="21" spans="1:16" ht="14.25" x14ac:dyDescent="0.2">
      <c r="A21" s="28"/>
      <c r="B21" s="28"/>
      <c r="C21" s="38" t="s">
        <v>323</v>
      </c>
      <c r="D21" s="50"/>
      <c r="E21" s="50"/>
      <c r="F21" s="50"/>
    </row>
    <row r="22" spans="1:16" ht="14.25" x14ac:dyDescent="0.2">
      <c r="A22" s="28"/>
      <c r="B22" s="28"/>
      <c r="C22" s="65" t="s">
        <v>326</v>
      </c>
      <c r="D22" s="63">
        <f>D196+D197</f>
        <v>0</v>
      </c>
      <c r="E22" s="63">
        <f>E196+E197</f>
        <v>0</v>
      </c>
      <c r="F22" s="63">
        <f>F196+F197</f>
        <v>0</v>
      </c>
    </row>
    <row r="23" spans="1:16" ht="14.25" x14ac:dyDescent="0.2">
      <c r="A23" s="28"/>
      <c r="B23" s="28"/>
      <c r="C23" s="29"/>
      <c r="D23" s="28"/>
      <c r="E23" s="28"/>
      <c r="F23" s="28"/>
    </row>
    <row r="24" spans="1:16" ht="14.25" x14ac:dyDescent="0.2">
      <c r="A24" s="226" t="s">
        <v>158</v>
      </c>
      <c r="B24" s="226"/>
      <c r="C24" s="227"/>
      <c r="D24" s="227"/>
      <c r="E24" s="227"/>
      <c r="F24" s="227"/>
    </row>
    <row r="25" spans="1:16" x14ac:dyDescent="0.25">
      <c r="A25"/>
      <c r="C25" s="49" t="s">
        <v>22</v>
      </c>
      <c r="D25" s="37"/>
      <c r="E25" s="37"/>
      <c r="F25" s="37"/>
    </row>
    <row r="26" spans="1:16" ht="14.25" x14ac:dyDescent="0.2">
      <c r="A26" s="28"/>
      <c r="B26" s="28"/>
      <c r="C26" s="67" t="s">
        <v>159</v>
      </c>
      <c r="D26" s="96">
        <v>0.8</v>
      </c>
      <c r="E26" s="97">
        <v>0.8</v>
      </c>
      <c r="F26" s="97">
        <v>0.8</v>
      </c>
    </row>
    <row r="27" spans="1:16" ht="14.25" x14ac:dyDescent="0.2">
      <c r="A27" s="28"/>
      <c r="B27" s="28"/>
      <c r="C27" s="35" t="s">
        <v>160</v>
      </c>
      <c r="D27" s="217">
        <v>2500</v>
      </c>
      <c r="E27" s="200">
        <v>2500</v>
      </c>
      <c r="F27" s="200">
        <v>2500</v>
      </c>
    </row>
    <row r="28" spans="1:16" ht="14.25" x14ac:dyDescent="0.2">
      <c r="A28" s="28"/>
      <c r="B28" s="28"/>
      <c r="C28" s="71" t="s">
        <v>317</v>
      </c>
      <c r="D28" s="73">
        <v>3</v>
      </c>
      <c r="E28" s="81">
        <v>3</v>
      </c>
      <c r="F28" s="81">
        <v>3</v>
      </c>
    </row>
    <row r="29" spans="1:16" s="28" customFormat="1" ht="15.75" customHeight="1" x14ac:dyDescent="0.2">
      <c r="A29" s="263"/>
      <c r="B29" s="263"/>
      <c r="C29" s="256"/>
      <c r="D29" s="259"/>
      <c r="E29" s="263"/>
      <c r="F29" s="263"/>
      <c r="G29" s="263"/>
      <c r="I29" s="280"/>
      <c r="J29" s="280"/>
      <c r="K29" s="280"/>
      <c r="L29" s="280"/>
      <c r="M29" s="280"/>
      <c r="N29" s="280"/>
      <c r="O29" s="280"/>
      <c r="P29" s="258"/>
    </row>
    <row r="30" spans="1:16" s="28" customFormat="1" ht="15.75" customHeight="1" x14ac:dyDescent="0.2">
      <c r="A30" s="263"/>
      <c r="B30" s="263"/>
      <c r="C30" s="256"/>
      <c r="D30" s="259"/>
      <c r="E30" s="263"/>
      <c r="F30" s="263"/>
      <c r="G30" s="263"/>
      <c r="I30" s="280"/>
      <c r="J30" s="280"/>
      <c r="K30" s="280"/>
      <c r="L30" s="280"/>
      <c r="M30" s="280"/>
      <c r="N30" s="280"/>
      <c r="O30" s="280"/>
      <c r="P30" s="258"/>
    </row>
    <row r="31" spans="1:16" s="28" customFormat="1" ht="15.75" customHeight="1" x14ac:dyDescent="0.2">
      <c r="A31" s="263"/>
      <c r="B31" s="263"/>
      <c r="C31" s="256"/>
      <c r="D31" s="259"/>
      <c r="E31" s="263"/>
      <c r="F31" s="263"/>
      <c r="G31" s="263"/>
      <c r="I31" s="280"/>
      <c r="J31" s="280"/>
      <c r="K31" s="280"/>
      <c r="L31" s="280"/>
      <c r="M31" s="280"/>
      <c r="N31" s="280"/>
      <c r="O31" s="280"/>
      <c r="P31" s="258"/>
    </row>
    <row r="32" spans="1:16" s="28" customFormat="1" ht="15.75" customHeight="1" x14ac:dyDescent="0.2">
      <c r="A32" s="263"/>
      <c r="B32" s="263"/>
      <c r="C32" s="256"/>
      <c r="D32" s="259"/>
      <c r="E32" s="263"/>
      <c r="F32" s="263"/>
      <c r="G32" s="263"/>
      <c r="I32" s="280"/>
      <c r="J32" s="280"/>
      <c r="K32" s="280"/>
      <c r="L32" s="280"/>
      <c r="M32" s="280"/>
      <c r="N32" s="280"/>
      <c r="O32" s="280"/>
      <c r="P32" s="258"/>
    </row>
    <row r="33" spans="1:16" s="28" customFormat="1" ht="15.75" customHeight="1" x14ac:dyDescent="0.2">
      <c r="A33" s="263"/>
      <c r="B33" s="263"/>
      <c r="C33" s="256"/>
      <c r="D33" s="259"/>
      <c r="E33" s="263"/>
      <c r="F33" s="263"/>
      <c r="G33" s="263"/>
      <c r="I33" s="280"/>
      <c r="J33" s="280"/>
      <c r="K33" s="280"/>
      <c r="L33" s="280"/>
      <c r="M33" s="280"/>
      <c r="N33" s="280"/>
      <c r="O33" s="280"/>
      <c r="P33" s="258"/>
    </row>
    <row r="34" spans="1:16" s="28" customFormat="1" ht="15.75" customHeight="1" x14ac:dyDescent="0.2">
      <c r="A34" s="263"/>
      <c r="B34" s="263"/>
      <c r="C34" s="256"/>
      <c r="D34" s="259"/>
      <c r="E34" s="263"/>
      <c r="F34" s="263"/>
      <c r="G34" s="263"/>
      <c r="I34" s="280"/>
      <c r="J34" s="280"/>
      <c r="K34" s="280"/>
      <c r="L34" s="280"/>
      <c r="M34" s="280"/>
      <c r="N34" s="280"/>
      <c r="O34" s="280"/>
      <c r="P34" s="258"/>
    </row>
    <row r="35" spans="1:16" s="28" customFormat="1" ht="15.75" customHeight="1" x14ac:dyDescent="0.2">
      <c r="A35" s="263"/>
      <c r="B35" s="263"/>
      <c r="C35" s="256"/>
      <c r="D35" s="259"/>
      <c r="E35" s="263"/>
      <c r="F35" s="263"/>
      <c r="G35" s="263"/>
      <c r="I35" s="280"/>
      <c r="J35" s="280"/>
      <c r="K35" s="280"/>
      <c r="L35" s="280"/>
      <c r="M35" s="280"/>
      <c r="N35" s="280"/>
      <c r="O35" s="280"/>
      <c r="P35" s="258"/>
    </row>
    <row r="36" spans="1:16" s="28" customFormat="1" ht="15.75" customHeight="1" x14ac:dyDescent="0.2">
      <c r="A36" s="263"/>
      <c r="B36" s="263"/>
      <c r="C36" s="256"/>
      <c r="D36" s="259"/>
      <c r="E36" s="263"/>
      <c r="F36" s="263"/>
      <c r="G36" s="263"/>
      <c r="I36" s="280"/>
      <c r="J36" s="280"/>
      <c r="K36" s="280"/>
      <c r="L36" s="280"/>
      <c r="M36" s="280"/>
      <c r="N36" s="280"/>
      <c r="O36" s="280"/>
      <c r="P36" s="258"/>
    </row>
    <row r="37" spans="1:16" s="28" customFormat="1" ht="15.75" customHeight="1" x14ac:dyDescent="0.2">
      <c r="A37" s="263"/>
      <c r="B37" s="263"/>
      <c r="C37" s="256"/>
      <c r="D37" s="259"/>
      <c r="E37" s="263"/>
      <c r="F37" s="263"/>
      <c r="G37" s="263"/>
      <c r="I37" s="280"/>
      <c r="J37" s="280"/>
      <c r="K37" s="280"/>
      <c r="L37" s="280"/>
      <c r="M37" s="280"/>
      <c r="N37" s="280"/>
      <c r="O37" s="280"/>
      <c r="P37" s="258"/>
    </row>
    <row r="38" spans="1:16" s="28" customFormat="1" ht="15.75" customHeight="1" x14ac:dyDescent="0.2">
      <c r="A38" s="263"/>
      <c r="B38" s="263"/>
      <c r="C38" s="256"/>
      <c r="D38" s="259"/>
      <c r="E38" s="263"/>
      <c r="F38" s="263"/>
      <c r="G38" s="263"/>
      <c r="I38" s="280"/>
      <c r="J38" s="280"/>
      <c r="K38" s="280"/>
      <c r="L38" s="280"/>
      <c r="M38" s="280"/>
      <c r="N38" s="280"/>
      <c r="O38" s="280"/>
      <c r="P38" s="258"/>
    </row>
    <row r="39" spans="1:16" s="28" customFormat="1" ht="15.75" customHeight="1" x14ac:dyDescent="0.2">
      <c r="A39" s="263"/>
      <c r="B39" s="263"/>
      <c r="C39" s="256"/>
      <c r="D39" s="259"/>
      <c r="E39" s="263"/>
      <c r="F39" s="263"/>
      <c r="G39" s="263"/>
      <c r="I39" s="280"/>
      <c r="J39" s="280"/>
      <c r="K39" s="280"/>
      <c r="L39" s="280"/>
      <c r="M39" s="280"/>
      <c r="N39" s="280"/>
      <c r="O39" s="280"/>
      <c r="P39" s="258"/>
    </row>
    <row r="40" spans="1:16" s="28" customFormat="1" ht="15.75" customHeight="1" x14ac:dyDescent="0.2">
      <c r="A40" s="263"/>
      <c r="B40" s="263"/>
      <c r="C40" s="256"/>
      <c r="D40" s="259"/>
      <c r="E40" s="263"/>
      <c r="F40" s="263"/>
      <c r="G40" s="263"/>
      <c r="I40" s="280"/>
      <c r="J40" s="280"/>
      <c r="K40" s="280"/>
      <c r="L40" s="280"/>
      <c r="M40" s="280"/>
      <c r="N40" s="280"/>
      <c r="O40" s="280"/>
      <c r="P40" s="258"/>
    </row>
    <row r="41" spans="1:16" s="28" customFormat="1" ht="15.75" customHeight="1" x14ac:dyDescent="0.2">
      <c r="A41" s="263"/>
      <c r="B41" s="263"/>
      <c r="C41" s="256"/>
      <c r="D41" s="259"/>
      <c r="E41" s="263"/>
      <c r="F41" s="263"/>
      <c r="G41" s="263"/>
      <c r="I41" s="280"/>
      <c r="J41" s="280"/>
      <c r="K41" s="280"/>
      <c r="L41" s="280"/>
      <c r="M41" s="280"/>
      <c r="N41" s="280"/>
      <c r="O41" s="280"/>
      <c r="P41" s="258"/>
    </row>
    <row r="42" spans="1:16" s="28" customFormat="1" ht="15.75" customHeight="1" x14ac:dyDescent="0.2">
      <c r="A42" s="263"/>
      <c r="B42" s="263"/>
      <c r="C42" s="256"/>
      <c r="D42" s="259"/>
      <c r="E42" s="263"/>
      <c r="F42" s="263"/>
      <c r="G42" s="263"/>
      <c r="I42" s="280"/>
      <c r="J42" s="280"/>
      <c r="K42" s="280"/>
      <c r="L42" s="280"/>
      <c r="M42" s="280"/>
      <c r="N42" s="280"/>
      <c r="O42" s="280"/>
      <c r="P42" s="258"/>
    </row>
    <row r="43" spans="1:16" s="28" customFormat="1" ht="15.75" customHeight="1" x14ac:dyDescent="0.2">
      <c r="A43" s="263"/>
      <c r="B43" s="263"/>
      <c r="C43" s="256"/>
      <c r="D43" s="259"/>
      <c r="E43" s="263"/>
      <c r="F43" s="263"/>
      <c r="G43" s="263"/>
      <c r="I43" s="280"/>
      <c r="J43" s="280"/>
      <c r="K43" s="280"/>
      <c r="L43" s="280"/>
      <c r="M43" s="280"/>
      <c r="N43" s="280"/>
      <c r="O43" s="280"/>
      <c r="P43" s="258"/>
    </row>
    <row r="44" spans="1:16" s="28" customFormat="1" ht="15.75" customHeight="1" x14ac:dyDescent="0.2">
      <c r="A44" s="263"/>
      <c r="B44" s="263"/>
      <c r="C44" s="256"/>
      <c r="D44" s="259"/>
      <c r="E44" s="263"/>
      <c r="F44" s="263"/>
      <c r="G44" s="263"/>
      <c r="I44" s="280"/>
      <c r="J44" s="280"/>
      <c r="K44" s="280"/>
      <c r="L44" s="280"/>
      <c r="M44" s="280"/>
      <c r="N44" s="280"/>
      <c r="O44" s="280"/>
      <c r="P44" s="258"/>
    </row>
    <row r="45" spans="1:16" s="28" customFormat="1" ht="15.75" customHeight="1" x14ac:dyDescent="0.2">
      <c r="A45" s="263"/>
      <c r="B45" s="263"/>
      <c r="C45" s="256"/>
      <c r="D45" s="259"/>
      <c r="E45" s="263"/>
      <c r="F45" s="263"/>
      <c r="G45" s="263"/>
      <c r="I45" s="280"/>
      <c r="J45" s="280"/>
      <c r="K45" s="280"/>
      <c r="L45" s="280"/>
      <c r="M45" s="280"/>
      <c r="N45" s="280"/>
      <c r="O45" s="280"/>
      <c r="P45" s="258"/>
    </row>
    <row r="46" spans="1:16" s="28" customFormat="1" ht="15.75" customHeight="1" x14ac:dyDescent="0.2">
      <c r="A46" s="263"/>
      <c r="B46" s="263"/>
      <c r="C46" s="256"/>
      <c r="D46" s="259"/>
      <c r="E46" s="263"/>
      <c r="F46" s="263"/>
      <c r="G46" s="263"/>
      <c r="I46" s="280"/>
      <c r="J46" s="280"/>
      <c r="K46" s="280"/>
      <c r="L46" s="280"/>
      <c r="M46" s="280"/>
      <c r="N46" s="280"/>
      <c r="O46" s="280"/>
      <c r="P46" s="258"/>
    </row>
    <row r="47" spans="1:16" s="28" customFormat="1" ht="15.75" customHeight="1" x14ac:dyDescent="0.2">
      <c r="A47" s="263"/>
      <c r="B47" s="263"/>
      <c r="C47" s="256"/>
      <c r="D47" s="259"/>
      <c r="E47" s="263"/>
      <c r="F47" s="263"/>
      <c r="G47" s="263"/>
      <c r="I47" s="280"/>
      <c r="J47" s="280"/>
      <c r="K47" s="280"/>
      <c r="L47" s="280"/>
      <c r="M47" s="280"/>
      <c r="N47" s="280"/>
      <c r="O47" s="280"/>
      <c r="P47" s="258"/>
    </row>
    <row r="48" spans="1:16" s="28" customFormat="1" ht="15.75" customHeight="1" x14ac:dyDescent="0.2">
      <c r="A48" s="263"/>
      <c r="B48" s="263"/>
      <c r="C48" s="256"/>
      <c r="D48" s="259"/>
      <c r="E48" s="263"/>
      <c r="F48" s="263"/>
      <c r="G48" s="263"/>
      <c r="I48" s="280"/>
      <c r="J48" s="280"/>
      <c r="K48" s="280"/>
      <c r="L48" s="280"/>
      <c r="M48" s="280"/>
      <c r="N48" s="280"/>
      <c r="O48" s="280"/>
      <c r="P48" s="258"/>
    </row>
    <row r="49" spans="1:16" s="28" customFormat="1" ht="15.75" customHeight="1" x14ac:dyDescent="0.2">
      <c r="A49" s="263"/>
      <c r="B49" s="263"/>
      <c r="C49" s="256"/>
      <c r="D49" s="259"/>
      <c r="E49" s="263"/>
      <c r="F49" s="263"/>
      <c r="G49" s="263"/>
      <c r="I49" s="280"/>
      <c r="J49" s="280"/>
      <c r="K49" s="280"/>
      <c r="L49" s="280"/>
      <c r="M49" s="280"/>
      <c r="N49" s="280"/>
      <c r="O49" s="280"/>
      <c r="P49" s="258"/>
    </row>
    <row r="50" spans="1:16" s="28" customFormat="1" ht="15.75" customHeight="1" x14ac:dyDescent="0.2">
      <c r="A50" s="263"/>
      <c r="B50" s="263"/>
      <c r="C50" s="256"/>
      <c r="D50" s="259"/>
      <c r="E50" s="263"/>
      <c r="F50" s="263"/>
      <c r="G50" s="263"/>
      <c r="I50" s="280"/>
      <c r="J50" s="280"/>
      <c r="K50" s="280"/>
      <c r="L50" s="280"/>
      <c r="M50" s="280"/>
      <c r="N50" s="280"/>
      <c r="O50" s="280"/>
      <c r="P50" s="258"/>
    </row>
    <row r="51" spans="1:16" s="28" customFormat="1" ht="15.75" customHeight="1" x14ac:dyDescent="0.2">
      <c r="A51" s="263"/>
      <c r="B51" s="263"/>
      <c r="C51" s="256"/>
      <c r="D51" s="259"/>
      <c r="E51" s="263"/>
      <c r="F51" s="263"/>
      <c r="G51" s="263"/>
      <c r="I51" s="280"/>
      <c r="J51" s="280"/>
      <c r="K51" s="280"/>
      <c r="L51" s="280"/>
      <c r="M51" s="280"/>
      <c r="N51" s="280"/>
      <c r="O51" s="280"/>
      <c r="P51" s="258"/>
    </row>
    <row r="52" spans="1:16" s="28" customFormat="1" ht="15.75" customHeight="1" x14ac:dyDescent="0.2">
      <c r="A52" s="263"/>
      <c r="B52" s="263"/>
      <c r="C52" s="256"/>
      <c r="D52" s="259"/>
      <c r="E52" s="263"/>
      <c r="F52" s="263"/>
      <c r="G52" s="263"/>
      <c r="I52" s="280"/>
      <c r="J52" s="280"/>
      <c r="K52" s="280"/>
      <c r="L52" s="280"/>
      <c r="M52" s="280"/>
      <c r="N52" s="280"/>
      <c r="O52" s="280"/>
      <c r="P52" s="258"/>
    </row>
    <row r="53" spans="1:16" s="28" customFormat="1" ht="15.75" customHeight="1" x14ac:dyDescent="0.2">
      <c r="A53" s="263"/>
      <c r="B53" s="263"/>
      <c r="C53" s="256"/>
      <c r="D53" s="259"/>
      <c r="E53" s="263"/>
      <c r="F53" s="263"/>
      <c r="G53" s="263"/>
      <c r="I53" s="280"/>
      <c r="J53" s="280"/>
      <c r="K53" s="280"/>
      <c r="L53" s="280"/>
      <c r="M53" s="280"/>
      <c r="N53" s="280"/>
      <c r="O53" s="280"/>
      <c r="P53" s="258"/>
    </row>
    <row r="54" spans="1:16" s="28" customFormat="1" ht="15.75" customHeight="1" x14ac:dyDescent="0.2">
      <c r="A54" s="263"/>
      <c r="B54" s="263"/>
      <c r="C54" s="256"/>
      <c r="D54" s="259"/>
      <c r="E54" s="263"/>
      <c r="F54" s="263"/>
      <c r="G54" s="263"/>
      <c r="I54" s="280"/>
      <c r="J54" s="280"/>
      <c r="K54" s="280"/>
      <c r="L54" s="280"/>
      <c r="M54" s="280"/>
      <c r="N54" s="280"/>
      <c r="O54" s="280"/>
      <c r="P54" s="258"/>
    </row>
    <row r="55" spans="1:16" s="28" customFormat="1" ht="15.75" customHeight="1" x14ac:dyDescent="0.2">
      <c r="A55" s="263"/>
      <c r="B55" s="263"/>
      <c r="C55" s="256"/>
      <c r="D55" s="259"/>
      <c r="E55" s="263"/>
      <c r="F55" s="263"/>
      <c r="G55" s="263"/>
      <c r="I55" s="280"/>
      <c r="J55" s="280"/>
      <c r="K55" s="280"/>
      <c r="L55" s="280"/>
      <c r="M55" s="280"/>
      <c r="N55" s="280"/>
      <c r="O55" s="280"/>
      <c r="P55" s="258"/>
    </row>
    <row r="56" spans="1:16" s="28" customFormat="1" ht="15.75" customHeight="1" x14ac:dyDescent="0.2">
      <c r="A56" s="263"/>
      <c r="B56" s="263"/>
      <c r="C56" s="256"/>
      <c r="D56" s="259"/>
      <c r="E56" s="263"/>
      <c r="F56" s="263"/>
      <c r="G56" s="263"/>
      <c r="I56" s="280"/>
      <c r="J56" s="280"/>
      <c r="K56" s="280"/>
      <c r="L56" s="280"/>
      <c r="M56" s="280"/>
      <c r="N56" s="280"/>
      <c r="O56" s="280"/>
      <c r="P56" s="258"/>
    </row>
    <row r="57" spans="1:16" s="28" customFormat="1" ht="15.75" customHeight="1" x14ac:dyDescent="0.2">
      <c r="A57" s="263"/>
      <c r="B57" s="263"/>
      <c r="C57" s="256"/>
      <c r="D57" s="259"/>
      <c r="E57" s="263"/>
      <c r="F57" s="263"/>
      <c r="G57" s="263"/>
      <c r="I57" s="280"/>
      <c r="J57" s="280"/>
      <c r="K57" s="280"/>
      <c r="L57" s="280"/>
      <c r="M57" s="280"/>
      <c r="N57" s="280"/>
      <c r="O57" s="280"/>
      <c r="P57" s="258"/>
    </row>
    <row r="58" spans="1:16" s="28" customFormat="1" ht="15.75" customHeight="1" x14ac:dyDescent="0.2">
      <c r="A58" s="263"/>
      <c r="B58" s="263"/>
      <c r="C58" s="256"/>
      <c r="D58" s="259"/>
      <c r="E58" s="263"/>
      <c r="F58" s="263"/>
      <c r="G58" s="263"/>
      <c r="I58" s="280"/>
      <c r="J58" s="280"/>
      <c r="K58" s="280"/>
      <c r="L58" s="280"/>
      <c r="M58" s="280"/>
      <c r="N58" s="280"/>
      <c r="O58" s="280"/>
      <c r="P58" s="258"/>
    </row>
    <row r="59" spans="1:16" s="28" customFormat="1" ht="15.75" customHeight="1" x14ac:dyDescent="0.2">
      <c r="A59" s="263"/>
      <c r="B59" s="263"/>
      <c r="C59" s="256"/>
      <c r="D59" s="259"/>
      <c r="E59" s="263"/>
      <c r="F59" s="263"/>
      <c r="G59" s="263"/>
      <c r="I59" s="280"/>
      <c r="J59" s="280"/>
      <c r="K59" s="280"/>
      <c r="L59" s="280"/>
      <c r="M59" s="280"/>
      <c r="N59" s="280"/>
      <c r="O59" s="280"/>
      <c r="P59" s="258"/>
    </row>
    <row r="60" spans="1:16" s="28" customFormat="1" ht="15.75" customHeight="1" x14ac:dyDescent="0.2">
      <c r="A60" s="263"/>
      <c r="B60" s="263"/>
      <c r="C60" s="256"/>
      <c r="D60" s="259"/>
      <c r="E60" s="263"/>
      <c r="F60" s="263"/>
      <c r="G60" s="263"/>
      <c r="I60" s="280"/>
      <c r="J60" s="280"/>
      <c r="K60" s="280"/>
      <c r="L60" s="280"/>
      <c r="M60" s="280"/>
      <c r="N60" s="280"/>
      <c r="O60" s="280"/>
      <c r="P60" s="258"/>
    </row>
    <row r="61" spans="1:16" s="28" customFormat="1" ht="15.75" customHeight="1" x14ac:dyDescent="0.2">
      <c r="A61" s="263"/>
      <c r="B61" s="263"/>
      <c r="C61" s="256"/>
      <c r="D61" s="259"/>
      <c r="E61" s="263"/>
      <c r="F61" s="263"/>
      <c r="G61" s="263"/>
      <c r="I61" s="280"/>
      <c r="J61" s="280"/>
      <c r="K61" s="280"/>
      <c r="L61" s="280"/>
      <c r="M61" s="280"/>
      <c r="N61" s="280"/>
      <c r="O61" s="280"/>
      <c r="P61" s="258"/>
    </row>
    <row r="62" spans="1:16" s="28" customFormat="1" ht="15.75" customHeight="1" x14ac:dyDescent="0.2">
      <c r="A62" s="263"/>
      <c r="B62" s="263"/>
      <c r="C62" s="256"/>
      <c r="D62" s="259"/>
      <c r="E62" s="263"/>
      <c r="F62" s="263"/>
      <c r="G62" s="263"/>
      <c r="I62" s="280"/>
      <c r="J62" s="280"/>
      <c r="K62" s="280"/>
      <c r="L62" s="280"/>
      <c r="M62" s="280"/>
      <c r="N62" s="280"/>
      <c r="O62" s="280"/>
      <c r="P62" s="258"/>
    </row>
    <row r="63" spans="1:16" s="28" customFormat="1" ht="15.75" customHeight="1" x14ac:dyDescent="0.2">
      <c r="A63" s="263"/>
      <c r="B63" s="263"/>
      <c r="C63" s="256"/>
      <c r="D63" s="259"/>
      <c r="E63" s="263"/>
      <c r="F63" s="263"/>
      <c r="G63" s="263"/>
      <c r="I63" s="280"/>
      <c r="J63" s="280"/>
      <c r="K63" s="280"/>
      <c r="L63" s="280"/>
      <c r="M63" s="280"/>
      <c r="N63" s="280"/>
      <c r="O63" s="280"/>
      <c r="P63" s="258"/>
    </row>
    <row r="64" spans="1:16" s="28" customFormat="1" ht="15.75" customHeight="1" x14ac:dyDescent="0.2">
      <c r="A64" s="263"/>
      <c r="B64" s="263"/>
      <c r="C64" s="256"/>
      <c r="D64" s="259"/>
      <c r="E64" s="263"/>
      <c r="F64" s="263"/>
      <c r="G64" s="263"/>
      <c r="I64" s="280"/>
      <c r="J64" s="280"/>
      <c r="K64" s="280"/>
      <c r="L64" s="280"/>
      <c r="M64" s="280"/>
      <c r="N64" s="280"/>
      <c r="O64" s="280"/>
      <c r="P64" s="258"/>
    </row>
    <row r="65" spans="1:16" s="28" customFormat="1" ht="15.75" customHeight="1" x14ac:dyDescent="0.2">
      <c r="A65" s="263"/>
      <c r="B65" s="263"/>
      <c r="C65" s="256"/>
      <c r="D65" s="259"/>
      <c r="E65" s="263"/>
      <c r="F65" s="263"/>
      <c r="G65" s="263"/>
      <c r="I65" s="280"/>
      <c r="J65" s="280"/>
      <c r="K65" s="280"/>
      <c r="L65" s="280"/>
      <c r="M65" s="280"/>
      <c r="N65" s="280"/>
      <c r="O65" s="280"/>
      <c r="P65" s="258"/>
    </row>
    <row r="66" spans="1:16" s="28" customFormat="1" ht="15.75" customHeight="1" x14ac:dyDescent="0.2">
      <c r="A66" s="263"/>
      <c r="B66" s="263"/>
      <c r="C66" s="256"/>
      <c r="D66" s="259"/>
      <c r="E66" s="263"/>
      <c r="F66" s="263"/>
      <c r="G66" s="263"/>
      <c r="I66" s="280"/>
      <c r="J66" s="280"/>
      <c r="K66" s="280"/>
      <c r="L66" s="280"/>
      <c r="M66" s="280"/>
      <c r="N66" s="280"/>
      <c r="O66" s="280"/>
      <c r="P66" s="258"/>
    </row>
    <row r="67" spans="1:16" s="28" customFormat="1" ht="15.75" customHeight="1" x14ac:dyDescent="0.2">
      <c r="A67" s="263"/>
      <c r="B67" s="263"/>
      <c r="C67" s="256"/>
      <c r="D67" s="259"/>
      <c r="E67" s="263"/>
      <c r="F67" s="263"/>
      <c r="G67" s="263"/>
      <c r="I67" s="280"/>
      <c r="J67" s="280"/>
      <c r="K67" s="280"/>
      <c r="L67" s="280"/>
      <c r="M67" s="280"/>
      <c r="N67" s="280"/>
      <c r="O67" s="280"/>
      <c r="P67" s="258"/>
    </row>
    <row r="68" spans="1:16" s="28" customFormat="1" ht="15.75" customHeight="1" x14ac:dyDescent="0.2">
      <c r="A68" s="263"/>
      <c r="B68" s="263"/>
      <c r="C68" s="256"/>
      <c r="D68" s="259"/>
      <c r="E68" s="263"/>
      <c r="F68" s="263"/>
      <c r="G68" s="263"/>
      <c r="I68" s="280"/>
      <c r="J68" s="280"/>
      <c r="K68" s="280"/>
      <c r="L68" s="280"/>
      <c r="M68" s="280"/>
      <c r="N68" s="280"/>
      <c r="O68" s="280"/>
      <c r="P68" s="258"/>
    </row>
    <row r="69" spans="1:16" s="28" customFormat="1" ht="12.75" x14ac:dyDescent="0.2">
      <c r="A69" s="255"/>
      <c r="B69" s="255"/>
      <c r="C69" s="255"/>
      <c r="D69" s="255"/>
      <c r="E69" s="255"/>
      <c r="F69" s="255"/>
      <c r="G69" s="255"/>
      <c r="I69" s="280"/>
      <c r="J69" s="280"/>
      <c r="K69" s="280"/>
      <c r="L69" s="280"/>
      <c r="M69" s="280"/>
      <c r="N69" s="280"/>
      <c r="O69" s="280"/>
      <c r="P69" s="254"/>
    </row>
    <row r="70" spans="1:16" s="28" customFormat="1" ht="12.75" x14ac:dyDescent="0.2">
      <c r="A70" s="255"/>
      <c r="B70" s="255"/>
      <c r="C70" s="255"/>
      <c r="D70" s="255"/>
      <c r="E70" s="255"/>
      <c r="F70" s="255"/>
      <c r="G70" s="255"/>
      <c r="I70" s="280"/>
      <c r="J70" s="280"/>
      <c r="K70" s="280"/>
      <c r="L70" s="280"/>
      <c r="M70" s="280"/>
      <c r="N70" s="280"/>
      <c r="O70" s="280"/>
      <c r="P70" s="254"/>
    </row>
    <row r="71" spans="1:16" s="28" customFormat="1" ht="12.75" x14ac:dyDescent="0.2">
      <c r="A71" s="255"/>
      <c r="B71" s="255"/>
      <c r="C71" s="255"/>
      <c r="D71" s="255"/>
      <c r="E71" s="255"/>
      <c r="F71" s="255"/>
      <c r="G71" s="255"/>
      <c r="I71" s="280"/>
      <c r="J71" s="280"/>
      <c r="K71" s="280"/>
      <c r="L71" s="280"/>
      <c r="M71" s="280"/>
      <c r="N71" s="280"/>
      <c r="O71" s="280"/>
      <c r="P71" s="254"/>
    </row>
    <row r="72" spans="1:16" s="28" customFormat="1" ht="12.75" x14ac:dyDescent="0.2">
      <c r="A72" s="255"/>
      <c r="B72" s="255"/>
      <c r="C72" s="255"/>
      <c r="D72" s="255"/>
      <c r="E72" s="255"/>
      <c r="F72" s="255"/>
      <c r="G72" s="255"/>
      <c r="I72" s="280"/>
      <c r="J72" s="280"/>
      <c r="K72" s="280"/>
      <c r="L72" s="280"/>
      <c r="M72" s="280"/>
      <c r="N72" s="280"/>
      <c r="O72" s="280"/>
      <c r="P72" s="254"/>
    </row>
    <row r="73" spans="1:16" s="28" customFormat="1" ht="12.75" x14ac:dyDescent="0.2">
      <c r="A73" s="255"/>
      <c r="B73" s="255"/>
      <c r="C73" s="255"/>
      <c r="D73" s="255"/>
      <c r="E73" s="255"/>
      <c r="F73" s="255"/>
      <c r="G73" s="255"/>
      <c r="I73" s="280"/>
      <c r="J73" s="280"/>
      <c r="K73" s="280"/>
      <c r="L73" s="280"/>
      <c r="M73" s="280"/>
      <c r="N73" s="280"/>
      <c r="O73" s="280"/>
      <c r="P73" s="254"/>
    </row>
    <row r="74" spans="1:16" s="28" customFormat="1" ht="12.75" x14ac:dyDescent="0.2">
      <c r="A74" s="255"/>
      <c r="B74" s="255"/>
      <c r="C74" s="255"/>
      <c r="D74" s="255"/>
      <c r="E74" s="255"/>
      <c r="F74" s="255"/>
      <c r="G74" s="255"/>
      <c r="I74" s="280"/>
      <c r="J74" s="280"/>
      <c r="K74" s="280"/>
      <c r="L74" s="280"/>
      <c r="M74" s="280"/>
      <c r="N74" s="280"/>
      <c r="O74" s="280"/>
      <c r="P74" s="254"/>
    </row>
    <row r="75" spans="1:16" s="28" customFormat="1" ht="12.75" x14ac:dyDescent="0.2">
      <c r="A75" s="255"/>
      <c r="B75" s="255"/>
      <c r="C75" s="255"/>
      <c r="D75" s="255"/>
      <c r="E75" s="255"/>
      <c r="F75" s="255"/>
      <c r="G75" s="255"/>
      <c r="I75" s="280"/>
      <c r="J75" s="280"/>
      <c r="K75" s="280"/>
      <c r="L75" s="280"/>
      <c r="M75" s="280"/>
      <c r="N75" s="280"/>
      <c r="O75" s="280"/>
      <c r="P75" s="254"/>
    </row>
    <row r="76" spans="1:16" s="28" customFormat="1" ht="12.75" x14ac:dyDescent="0.2">
      <c r="A76" s="255"/>
      <c r="B76" s="255"/>
      <c r="C76" s="255"/>
      <c r="D76" s="255"/>
      <c r="E76" s="255"/>
      <c r="F76" s="255"/>
      <c r="G76" s="255"/>
      <c r="I76" s="280"/>
      <c r="J76" s="280"/>
      <c r="K76" s="280"/>
      <c r="L76" s="280"/>
      <c r="M76" s="280"/>
      <c r="N76" s="280"/>
      <c r="O76" s="280"/>
      <c r="P76" s="254"/>
    </row>
    <row r="77" spans="1:16" s="28" customFormat="1" ht="12.75" x14ac:dyDescent="0.2">
      <c r="A77" s="255"/>
      <c r="B77" s="255"/>
      <c r="C77" s="255"/>
      <c r="D77" s="255"/>
      <c r="E77" s="255"/>
      <c r="F77" s="255"/>
      <c r="G77" s="255"/>
      <c r="I77" s="280"/>
      <c r="J77" s="280"/>
      <c r="K77" s="280"/>
      <c r="L77" s="280"/>
      <c r="M77" s="280"/>
      <c r="N77" s="280"/>
      <c r="O77" s="280"/>
      <c r="P77" s="254"/>
    </row>
    <row r="78" spans="1:16" s="28" customFormat="1" ht="12.75" x14ac:dyDescent="0.2">
      <c r="A78" s="255"/>
      <c r="B78" s="255"/>
      <c r="C78" s="255"/>
      <c r="D78" s="255"/>
      <c r="E78" s="255"/>
      <c r="F78" s="255"/>
      <c r="G78" s="255"/>
      <c r="I78" s="280"/>
      <c r="J78" s="280"/>
      <c r="K78" s="280"/>
      <c r="L78" s="280"/>
      <c r="M78" s="280"/>
      <c r="N78" s="280"/>
      <c r="O78" s="280"/>
      <c r="P78" s="254"/>
    </row>
    <row r="79" spans="1:16" s="28" customFormat="1" ht="12.75" x14ac:dyDescent="0.2">
      <c r="A79" s="255"/>
      <c r="B79" s="255"/>
      <c r="C79" s="255"/>
      <c r="D79" s="255"/>
      <c r="E79" s="255"/>
      <c r="F79" s="255"/>
      <c r="G79" s="255"/>
      <c r="I79" s="280"/>
      <c r="J79" s="280"/>
      <c r="K79" s="280"/>
      <c r="L79" s="280"/>
      <c r="M79" s="280"/>
      <c r="N79" s="280"/>
      <c r="O79" s="280"/>
      <c r="P79" s="254"/>
    </row>
    <row r="80" spans="1:16" s="28" customFormat="1" ht="15.75" x14ac:dyDescent="0.25">
      <c r="A80" s="255"/>
      <c r="B80" s="315"/>
      <c r="C80" s="316" t="e">
        <f>B1</f>
        <v>#REF!</v>
      </c>
      <c r="D80" s="315"/>
      <c r="E80" s="315"/>
      <c r="F80" s="315"/>
      <c r="G80" s="315"/>
      <c r="H80" s="317"/>
      <c r="I80" s="318"/>
      <c r="J80" s="318"/>
      <c r="K80" s="318"/>
      <c r="L80" s="318"/>
      <c r="M80" s="318"/>
      <c r="N80" s="318"/>
      <c r="O80" s="318"/>
      <c r="P80" s="254"/>
    </row>
    <row r="81" spans="1:16" ht="15.75" x14ac:dyDescent="0.25">
      <c r="A81" s="246"/>
      <c r="B81" s="303" t="s">
        <v>346</v>
      </c>
      <c r="C81" s="304" t="s">
        <v>369</v>
      </c>
      <c r="D81" s="305" t="s">
        <v>370</v>
      </c>
      <c r="E81" s="306"/>
      <c r="F81" s="306" t="s">
        <v>392</v>
      </c>
      <c r="G81" s="306"/>
      <c r="H81" s="306"/>
      <c r="I81" s="307"/>
      <c r="J81" s="307" t="s">
        <v>391</v>
      </c>
      <c r="K81" s="307"/>
      <c r="L81" s="279"/>
      <c r="M81" s="307"/>
      <c r="N81" s="307" t="s">
        <v>369</v>
      </c>
      <c r="O81" s="307"/>
    </row>
    <row r="82" spans="1:16" ht="15.75" x14ac:dyDescent="0.25">
      <c r="A82" s="246"/>
      <c r="B82" s="266"/>
      <c r="C82" s="264"/>
      <c r="D82" s="266"/>
      <c r="E82" s="267" t="s">
        <v>371</v>
      </c>
      <c r="F82" s="267" t="s">
        <v>372</v>
      </c>
      <c r="G82" s="267" t="s">
        <v>373</v>
      </c>
      <c r="I82" s="281" t="s">
        <v>371</v>
      </c>
      <c r="J82" s="281" t="s">
        <v>372</v>
      </c>
      <c r="K82" s="281" t="s">
        <v>373</v>
      </c>
      <c r="L82" s="278"/>
      <c r="M82" s="293" t="s">
        <v>371</v>
      </c>
      <c r="N82" s="293" t="s">
        <v>372</v>
      </c>
      <c r="O82" s="293" t="s">
        <v>373</v>
      </c>
      <c r="P82" s="254"/>
    </row>
    <row r="83" spans="1:16" ht="14.25" x14ac:dyDescent="0.2">
      <c r="A83" s="246"/>
      <c r="B83" s="275"/>
      <c r="C83" s="276" t="s">
        <v>374</v>
      </c>
      <c r="D83" s="277"/>
      <c r="E83" s="57"/>
      <c r="F83" s="57"/>
      <c r="G83" s="57"/>
      <c r="H83" s="57"/>
      <c r="I83" s="282"/>
      <c r="J83" s="282"/>
      <c r="K83" s="282"/>
      <c r="L83" s="282"/>
      <c r="M83" s="294">
        <f>SUM(M84:M84)</f>
        <v>0</v>
      </c>
      <c r="N83" s="294">
        <f>SUM(N84:N84)</f>
        <v>0</v>
      </c>
      <c r="O83" s="294">
        <f>SUM(O84:O84)</f>
        <v>0</v>
      </c>
    </row>
    <row r="84" spans="1:16" ht="14.25" x14ac:dyDescent="0.2">
      <c r="A84" s="246"/>
      <c r="B84" s="253"/>
      <c r="C84" s="30" t="s">
        <v>394</v>
      </c>
      <c r="D84" s="41"/>
      <c r="E84" s="270"/>
      <c r="F84" s="270"/>
      <c r="G84" s="270"/>
      <c r="H84" s="28"/>
      <c r="I84" s="283"/>
      <c r="J84" s="283"/>
      <c r="K84" s="283"/>
      <c r="L84" s="280"/>
      <c r="M84" s="295">
        <f>E84*I84</f>
        <v>0</v>
      </c>
      <c r="N84" s="295">
        <f t="shared" ref="N84:O84" si="0">F84*J84</f>
        <v>0</v>
      </c>
      <c r="O84" s="295">
        <f t="shared" si="0"/>
        <v>0</v>
      </c>
    </row>
    <row r="85" spans="1:16" ht="14.25" x14ac:dyDescent="0.2">
      <c r="A85" s="246"/>
      <c r="B85" s="275"/>
      <c r="C85" s="276" t="s">
        <v>378</v>
      </c>
      <c r="D85" s="277"/>
      <c r="E85" s="57"/>
      <c r="F85" s="57"/>
      <c r="G85" s="57"/>
      <c r="H85" s="57"/>
      <c r="I85" s="282"/>
      <c r="J85" s="282"/>
      <c r="K85" s="282"/>
      <c r="L85" s="282"/>
      <c r="M85" s="296"/>
      <c r="N85" s="296"/>
      <c r="O85" s="296"/>
    </row>
    <row r="86" spans="1:16" ht="14.25" x14ac:dyDescent="0.2">
      <c r="A86" s="246"/>
      <c r="B86" s="268"/>
      <c r="C86" s="274" t="s">
        <v>375</v>
      </c>
      <c r="D86" s="269"/>
      <c r="E86" s="61"/>
      <c r="F86" s="61"/>
      <c r="G86" s="61"/>
      <c r="H86" s="61"/>
      <c r="I86" s="284"/>
      <c r="J86" s="284"/>
      <c r="K86" s="284"/>
      <c r="L86" s="284"/>
      <c r="M86" s="298">
        <f>SUM(M87:M87)</f>
        <v>0</v>
      </c>
      <c r="N86" s="298">
        <f>SUM(N87:N87)</f>
        <v>0</v>
      </c>
      <c r="O86" s="298">
        <f>SUM(O87:O87)</f>
        <v>0</v>
      </c>
    </row>
    <row r="87" spans="1:16" ht="14.25" x14ac:dyDescent="0.2">
      <c r="B87" s="253"/>
      <c r="C87" s="30" t="s">
        <v>394</v>
      </c>
      <c r="D87" s="41"/>
      <c r="E87" s="270"/>
      <c r="F87" s="270"/>
      <c r="G87" s="270"/>
      <c r="H87" s="28"/>
      <c r="I87" s="283"/>
      <c r="J87" s="283"/>
      <c r="K87" s="283"/>
      <c r="L87" s="280"/>
      <c r="M87" s="285">
        <f>E87*I87</f>
        <v>0</v>
      </c>
      <c r="N87" s="285">
        <f t="shared" ref="N87:O87" si="1">F87*J87</f>
        <v>0</v>
      </c>
      <c r="O87" s="285">
        <f t="shared" si="1"/>
        <v>0</v>
      </c>
    </row>
    <row r="88" spans="1:16" ht="14.25" x14ac:dyDescent="0.2">
      <c r="B88" s="268"/>
      <c r="C88" s="274" t="s">
        <v>376</v>
      </c>
      <c r="D88" s="269"/>
      <c r="E88" s="61"/>
      <c r="F88" s="61"/>
      <c r="G88" s="61"/>
      <c r="H88" s="61"/>
      <c r="I88" s="284"/>
      <c r="J88" s="284"/>
      <c r="K88" s="284"/>
      <c r="L88" s="284"/>
      <c r="M88" s="298">
        <f>SUM(M89:M89)</f>
        <v>0</v>
      </c>
      <c r="N88" s="298">
        <f>SUM(N89:N89)</f>
        <v>0</v>
      </c>
      <c r="O88" s="298">
        <f>SUM(O89:O89)</f>
        <v>0</v>
      </c>
    </row>
    <row r="89" spans="1:16" ht="14.25" x14ac:dyDescent="0.2">
      <c r="B89" s="253"/>
      <c r="C89" s="30" t="s">
        <v>394</v>
      </c>
      <c r="D89" s="41"/>
      <c r="E89" s="270"/>
      <c r="F89" s="270"/>
      <c r="G89" s="270"/>
      <c r="H89" s="28"/>
      <c r="I89" s="283"/>
      <c r="J89" s="283"/>
      <c r="K89" s="283"/>
      <c r="L89" s="280"/>
      <c r="M89" s="285">
        <f>E89*I89</f>
        <v>0</v>
      </c>
      <c r="N89" s="285">
        <f t="shared" ref="N89" si="2">F89*J89</f>
        <v>0</v>
      </c>
      <c r="O89" s="285">
        <f>G89*K89</f>
        <v>0</v>
      </c>
    </row>
    <row r="90" spans="1:16" ht="14.25" x14ac:dyDescent="0.2">
      <c r="B90" s="268"/>
      <c r="C90" s="274" t="s">
        <v>379</v>
      </c>
      <c r="D90" s="269"/>
      <c r="E90" s="61"/>
      <c r="F90" s="61"/>
      <c r="G90" s="61"/>
      <c r="H90" s="61"/>
      <c r="I90" s="284"/>
      <c r="J90" s="284"/>
      <c r="K90" s="284"/>
      <c r="L90" s="284"/>
      <c r="M90" s="298">
        <f>SUM(M91:M91)</f>
        <v>0</v>
      </c>
      <c r="N90" s="298">
        <f>SUM(N91:N91)</f>
        <v>0</v>
      </c>
      <c r="O90" s="298">
        <f>SUM(O91:O91)</f>
        <v>0</v>
      </c>
    </row>
    <row r="91" spans="1:16" ht="14.25" x14ac:dyDescent="0.2">
      <c r="B91" s="253"/>
      <c r="C91" s="30" t="s">
        <v>394</v>
      </c>
      <c r="D91" s="41"/>
      <c r="E91" s="270"/>
      <c r="F91" s="270"/>
      <c r="G91" s="270"/>
      <c r="H91" s="28"/>
      <c r="I91" s="283"/>
      <c r="J91" s="283"/>
      <c r="K91" s="283"/>
      <c r="L91" s="280"/>
      <c r="M91" s="285">
        <f>E91*I91</f>
        <v>0</v>
      </c>
      <c r="N91" s="285">
        <f t="shared" ref="N91" si="3">F91*J91</f>
        <v>0</v>
      </c>
      <c r="O91" s="285">
        <f>G91*K91</f>
        <v>0</v>
      </c>
    </row>
    <row r="92" spans="1:16" ht="14.25" x14ac:dyDescent="0.2">
      <c r="B92" s="271"/>
      <c r="C92" s="274" t="s">
        <v>380</v>
      </c>
      <c r="D92" s="272"/>
      <c r="E92" s="61"/>
      <c r="F92" s="61"/>
      <c r="G92" s="61"/>
      <c r="H92" s="61"/>
      <c r="I92" s="284"/>
      <c r="J92" s="284"/>
      <c r="K92" s="284"/>
      <c r="L92" s="284"/>
      <c r="M92" s="298">
        <f>SUM(M93:M93)</f>
        <v>0</v>
      </c>
      <c r="N92" s="298">
        <f>SUM(N93:N93)</f>
        <v>0</v>
      </c>
      <c r="O92" s="298">
        <f>SUM(O93:O93)</f>
        <v>0</v>
      </c>
    </row>
    <row r="93" spans="1:16" ht="14.25" x14ac:dyDescent="0.2">
      <c r="B93" s="253"/>
      <c r="C93" s="30" t="s">
        <v>394</v>
      </c>
      <c r="D93" s="41"/>
      <c r="E93" s="270"/>
      <c r="F93" s="270"/>
      <c r="G93" s="270"/>
      <c r="H93" s="28"/>
      <c r="I93" s="283"/>
      <c r="J93" s="283"/>
      <c r="K93" s="283"/>
      <c r="L93" s="280"/>
      <c r="M93" s="285">
        <f>E93*I93</f>
        <v>0</v>
      </c>
      <c r="N93" s="285">
        <f t="shared" ref="N93" si="4">F93*J93</f>
        <v>0</v>
      </c>
      <c r="O93" s="285">
        <f>G93*K93</f>
        <v>0</v>
      </c>
    </row>
    <row r="94" spans="1:16" ht="14.25" x14ac:dyDescent="0.2">
      <c r="B94" s="271"/>
      <c r="C94" s="274" t="s">
        <v>381</v>
      </c>
      <c r="D94" s="272"/>
      <c r="E94" s="61"/>
      <c r="F94" s="61"/>
      <c r="G94" s="61"/>
      <c r="H94" s="61"/>
      <c r="I94" s="284"/>
      <c r="J94" s="284"/>
      <c r="K94" s="284"/>
      <c r="L94" s="284"/>
      <c r="M94" s="298">
        <f>SUM(M95:M95)</f>
        <v>0</v>
      </c>
      <c r="N94" s="298">
        <f>SUM(N95:N95)</f>
        <v>0</v>
      </c>
      <c r="O94" s="298">
        <f>SUM(O95:O95)</f>
        <v>0</v>
      </c>
    </row>
    <row r="95" spans="1:16" ht="14.25" x14ac:dyDescent="0.2">
      <c r="B95" s="253"/>
      <c r="C95" s="30" t="s">
        <v>394</v>
      </c>
      <c r="D95" s="41"/>
      <c r="E95" s="270"/>
      <c r="F95" s="270"/>
      <c r="G95" s="270"/>
      <c r="H95" s="28"/>
      <c r="I95" s="283"/>
      <c r="J95" s="283"/>
      <c r="K95" s="283"/>
      <c r="L95" s="280"/>
      <c r="M95" s="285">
        <f>E95*I95</f>
        <v>0</v>
      </c>
      <c r="N95" s="285">
        <f>F95*J95</f>
        <v>0</v>
      </c>
      <c r="O95" s="285">
        <f>G95*K95</f>
        <v>0</v>
      </c>
    </row>
    <row r="96" spans="1:16" ht="14.25" x14ac:dyDescent="0.2">
      <c r="B96" s="268"/>
      <c r="C96" s="274" t="s">
        <v>377</v>
      </c>
      <c r="D96" s="269"/>
      <c r="E96" s="61"/>
      <c r="F96" s="61"/>
      <c r="G96" s="61"/>
      <c r="H96" s="61"/>
      <c r="I96" s="284"/>
      <c r="J96" s="284"/>
      <c r="K96" s="284"/>
      <c r="L96" s="284"/>
      <c r="M96" s="298">
        <f>SUM(M97:M97)</f>
        <v>0</v>
      </c>
      <c r="N96" s="298">
        <f>SUM(N97:N97)</f>
        <v>0</v>
      </c>
      <c r="O96" s="298">
        <f>SUM(O97:O97)</f>
        <v>0</v>
      </c>
    </row>
    <row r="97" spans="1:15" ht="14.25" x14ac:dyDescent="0.2">
      <c r="B97" s="253"/>
      <c r="C97" s="30" t="s">
        <v>394</v>
      </c>
      <c r="D97" s="41"/>
      <c r="E97" s="270"/>
      <c r="F97" s="270"/>
      <c r="G97" s="270"/>
      <c r="H97" s="28"/>
      <c r="I97" s="283"/>
      <c r="J97" s="283"/>
      <c r="K97" s="283"/>
      <c r="L97" s="280"/>
      <c r="M97" s="285">
        <f>E97*I97</f>
        <v>0</v>
      </c>
      <c r="N97" s="285">
        <f t="shared" ref="N97" si="5">F97*J97</f>
        <v>0</v>
      </c>
      <c r="O97" s="285">
        <f>G97*K97</f>
        <v>0</v>
      </c>
    </row>
    <row r="98" spans="1:15" ht="14.25" x14ac:dyDescent="0.2">
      <c r="B98" s="268"/>
      <c r="C98" s="274" t="s">
        <v>382</v>
      </c>
      <c r="D98" s="269"/>
      <c r="E98" s="61"/>
      <c r="F98" s="61"/>
      <c r="G98" s="61"/>
      <c r="H98" s="61"/>
      <c r="I98" s="284"/>
      <c r="J98" s="284"/>
      <c r="K98" s="284"/>
      <c r="L98" s="284"/>
      <c r="M98" s="298">
        <f>SUM(M99:M99)</f>
        <v>0</v>
      </c>
      <c r="N98" s="298">
        <f>SUM(N99:N99)</f>
        <v>0</v>
      </c>
      <c r="O98" s="298">
        <f>SUM(O99:O99)</f>
        <v>0</v>
      </c>
    </row>
    <row r="99" spans="1:15" ht="14.25" x14ac:dyDescent="0.2">
      <c r="B99" s="253"/>
      <c r="C99" s="30" t="s">
        <v>394</v>
      </c>
      <c r="D99" s="41"/>
      <c r="E99" s="270"/>
      <c r="F99" s="270"/>
      <c r="G99" s="270"/>
      <c r="H99" s="28"/>
      <c r="I99" s="283"/>
      <c r="J99" s="283"/>
      <c r="K99" s="283"/>
      <c r="L99" s="280"/>
      <c r="M99" s="285">
        <f>E99*I99</f>
        <v>0</v>
      </c>
      <c r="N99" s="285">
        <f t="shared" ref="N99" si="6">F99*J99</f>
        <v>0</v>
      </c>
      <c r="O99" s="285">
        <f>G99*K99</f>
        <v>0</v>
      </c>
    </row>
    <row r="100" spans="1:15" ht="14.25" x14ac:dyDescent="0.2">
      <c r="A100" s="246"/>
      <c r="B100" s="275"/>
      <c r="C100" s="276" t="s">
        <v>383</v>
      </c>
      <c r="D100" s="277"/>
      <c r="E100" s="57"/>
      <c r="F100" s="57"/>
      <c r="G100" s="57"/>
      <c r="H100" s="57"/>
      <c r="I100" s="282"/>
      <c r="J100" s="282"/>
      <c r="K100" s="282"/>
      <c r="L100" s="282"/>
      <c r="M100" s="296"/>
      <c r="N100" s="296"/>
      <c r="O100" s="296"/>
    </row>
    <row r="101" spans="1:15" ht="14.25" x14ac:dyDescent="0.2">
      <c r="B101" s="271"/>
      <c r="C101" s="274" t="s">
        <v>384</v>
      </c>
      <c r="D101" s="272"/>
      <c r="E101" s="61"/>
      <c r="F101" s="61"/>
      <c r="G101" s="61"/>
      <c r="H101" s="61"/>
      <c r="I101" s="284"/>
      <c r="J101" s="284"/>
      <c r="K101" s="284"/>
      <c r="L101" s="284"/>
      <c r="M101" s="298">
        <f>SUM(M102:M102)</f>
        <v>0</v>
      </c>
      <c r="N101" s="298">
        <f>SUM(N102:N102)</f>
        <v>0</v>
      </c>
      <c r="O101" s="298">
        <f>SUM(O102:O102)</f>
        <v>0</v>
      </c>
    </row>
    <row r="102" spans="1:15" ht="14.25" x14ac:dyDescent="0.2">
      <c r="B102" s="253"/>
      <c r="C102" s="30" t="s">
        <v>394</v>
      </c>
      <c r="D102" s="41"/>
      <c r="E102" s="270"/>
      <c r="F102" s="270"/>
      <c r="G102" s="270"/>
      <c r="H102" s="28"/>
      <c r="I102" s="283"/>
      <c r="J102" s="283"/>
      <c r="K102" s="283"/>
      <c r="L102" s="280"/>
      <c r="M102" s="285">
        <f>E102*I102</f>
        <v>0</v>
      </c>
      <c r="N102" s="285">
        <f t="shared" ref="N102" si="7">F102*J102</f>
        <v>0</v>
      </c>
      <c r="O102" s="285">
        <f>G102*K102</f>
        <v>0</v>
      </c>
    </row>
    <row r="103" spans="1:15" ht="14.25" x14ac:dyDescent="0.2">
      <c r="B103" s="271"/>
      <c r="C103" s="274" t="s">
        <v>385</v>
      </c>
      <c r="D103" s="272"/>
      <c r="E103" s="61"/>
      <c r="F103" s="61"/>
      <c r="G103" s="61"/>
      <c r="H103" s="61"/>
      <c r="I103" s="284"/>
      <c r="J103" s="284"/>
      <c r="K103" s="284"/>
      <c r="L103" s="284"/>
      <c r="M103" s="298">
        <f>SUM(M104:M104)</f>
        <v>0</v>
      </c>
      <c r="N103" s="298">
        <f>SUM(N104:N104)</f>
        <v>0</v>
      </c>
      <c r="O103" s="298">
        <f>SUM(O104:O104)</f>
        <v>0</v>
      </c>
    </row>
    <row r="104" spans="1:15" ht="14.25" x14ac:dyDescent="0.2">
      <c r="B104" s="253"/>
      <c r="C104" s="30" t="s">
        <v>394</v>
      </c>
      <c r="D104" s="41"/>
      <c r="E104" s="270"/>
      <c r="F104" s="270"/>
      <c r="G104" s="270"/>
      <c r="H104" s="28"/>
      <c r="I104" s="283"/>
      <c r="J104" s="283"/>
      <c r="K104" s="283"/>
      <c r="L104" s="280"/>
      <c r="M104" s="285">
        <f>E104*I104</f>
        <v>0</v>
      </c>
      <c r="N104" s="285">
        <f t="shared" ref="N104" si="8">F104*J104</f>
        <v>0</v>
      </c>
      <c r="O104" s="285">
        <f>G104*K104</f>
        <v>0</v>
      </c>
    </row>
    <row r="105" spans="1:15" ht="14.25" x14ac:dyDescent="0.2">
      <c r="A105" s="246"/>
      <c r="B105" s="288"/>
      <c r="C105" s="289" t="s">
        <v>386</v>
      </c>
      <c r="D105" s="290"/>
      <c r="E105" s="291"/>
      <c r="F105" s="291"/>
      <c r="G105" s="291"/>
      <c r="H105" s="291"/>
      <c r="I105" s="292"/>
      <c r="J105" s="292"/>
      <c r="K105" s="292"/>
      <c r="L105" s="292"/>
      <c r="M105" s="297"/>
      <c r="N105" s="297"/>
      <c r="O105" s="297"/>
    </row>
    <row r="106" spans="1:15" ht="14.25" x14ac:dyDescent="0.2">
      <c r="B106" s="271"/>
      <c r="C106" s="274" t="s">
        <v>387</v>
      </c>
      <c r="D106" s="272"/>
      <c r="E106" s="61"/>
      <c r="F106" s="61"/>
      <c r="G106" s="61"/>
      <c r="H106" s="61"/>
      <c r="I106" s="284"/>
      <c r="J106" s="284"/>
      <c r="K106" s="284"/>
      <c r="L106" s="284"/>
      <c r="M106" s="298">
        <f>SUM(M107:M107)</f>
        <v>0</v>
      </c>
      <c r="N106" s="298">
        <f>SUM(N107:N107)</f>
        <v>0</v>
      </c>
      <c r="O106" s="298">
        <f>SUM(O107:O107)</f>
        <v>0</v>
      </c>
    </row>
    <row r="107" spans="1:15" ht="14.25" x14ac:dyDescent="0.2">
      <c r="B107" s="253"/>
      <c r="C107" s="30" t="s">
        <v>394</v>
      </c>
      <c r="D107" s="41"/>
      <c r="E107" s="270"/>
      <c r="F107" s="270"/>
      <c r="G107" s="270"/>
      <c r="H107" s="28"/>
      <c r="I107" s="283"/>
      <c r="J107" s="283"/>
      <c r="K107" s="283"/>
      <c r="L107" s="280"/>
      <c r="M107" s="285">
        <f>E107*I107</f>
        <v>0</v>
      </c>
      <c r="N107" s="285">
        <f t="shared" ref="N107" si="9">F107*J107</f>
        <v>0</v>
      </c>
      <c r="O107" s="285">
        <f>G107*K107</f>
        <v>0</v>
      </c>
    </row>
    <row r="108" spans="1:15" ht="14.25" x14ac:dyDescent="0.2">
      <c r="B108" s="271"/>
      <c r="C108" s="274" t="s">
        <v>388</v>
      </c>
      <c r="D108" s="272"/>
      <c r="E108" s="61"/>
      <c r="F108" s="61"/>
      <c r="G108" s="61"/>
      <c r="H108" s="61"/>
      <c r="I108" s="284"/>
      <c r="J108" s="284"/>
      <c r="K108" s="284"/>
      <c r="L108" s="284"/>
      <c r="M108" s="298">
        <f>SUM(M109:M109)</f>
        <v>0</v>
      </c>
      <c r="N108" s="298">
        <f>SUM(N109:N109)</f>
        <v>0</v>
      </c>
      <c r="O108" s="298">
        <f>SUM(O109:O109)</f>
        <v>0</v>
      </c>
    </row>
    <row r="109" spans="1:15" ht="14.25" x14ac:dyDescent="0.2">
      <c r="B109" s="253"/>
      <c r="C109" s="30" t="s">
        <v>394</v>
      </c>
      <c r="D109" s="41"/>
      <c r="E109" s="270"/>
      <c r="F109" s="270"/>
      <c r="G109" s="270"/>
      <c r="H109" s="28"/>
      <c r="I109" s="283"/>
      <c r="J109" s="283"/>
      <c r="K109" s="283"/>
      <c r="L109" s="280"/>
      <c r="M109" s="285">
        <f>E109*I109</f>
        <v>0</v>
      </c>
      <c r="N109" s="285">
        <f t="shared" ref="N109" si="10">F109*J109</f>
        <v>0</v>
      </c>
      <c r="O109" s="285">
        <f>G109*K109</f>
        <v>0</v>
      </c>
    </row>
    <row r="110" spans="1:15" ht="14.25" x14ac:dyDescent="0.2">
      <c r="B110" s="273"/>
      <c r="C110" s="3"/>
      <c r="D110" s="3"/>
      <c r="E110" s="3"/>
      <c r="I110" s="278"/>
      <c r="J110" s="278"/>
      <c r="K110" s="278"/>
      <c r="L110" s="278"/>
      <c r="M110" s="278"/>
      <c r="N110" s="278"/>
      <c r="O110" s="278"/>
    </row>
    <row r="111" spans="1:15" ht="15.75" thickBot="1" x14ac:dyDescent="0.3">
      <c r="A111" s="246"/>
      <c r="B111" s="273"/>
      <c r="C111" s="3"/>
      <c r="D111" s="3"/>
      <c r="E111" s="3"/>
      <c r="I111" s="278"/>
      <c r="J111" s="278"/>
      <c r="K111" s="278"/>
      <c r="L111" s="286" t="s">
        <v>390</v>
      </c>
      <c r="M111" s="287">
        <f>SUM(M84:M104)/2</f>
        <v>0</v>
      </c>
      <c r="N111" s="287">
        <f>SUM(N84:N104)/2</f>
        <v>0</v>
      </c>
      <c r="O111" s="287">
        <f>SUM(O84:O104)/2</f>
        <v>0</v>
      </c>
    </row>
    <row r="112" spans="1:15" ht="16.5" thickTop="1" thickBot="1" x14ac:dyDescent="0.3">
      <c r="B112" s="273"/>
      <c r="C112" s="3"/>
      <c r="D112" s="3"/>
      <c r="E112" s="3"/>
      <c r="I112" s="278"/>
      <c r="J112" s="278"/>
      <c r="K112" s="278"/>
      <c r="L112" s="286" t="s">
        <v>389</v>
      </c>
      <c r="M112" s="287">
        <f>SUM(M106:M109)/2</f>
        <v>0</v>
      </c>
      <c r="N112" s="287">
        <f>SUM(N106:N109)/2</f>
        <v>0</v>
      </c>
      <c r="O112" s="287">
        <f>SUM(O106:O109)/2</f>
        <v>0</v>
      </c>
    </row>
    <row r="113" spans="1:16" ht="15.75" thickTop="1" x14ac:dyDescent="0.25"/>
    <row r="114" spans="1:16" s="28" customFormat="1" ht="15.75" x14ac:dyDescent="0.25">
      <c r="A114" s="263"/>
      <c r="B114" s="315"/>
      <c r="C114" s="316">
        <f>B35</f>
        <v>0</v>
      </c>
      <c r="D114" s="315"/>
      <c r="E114" s="315"/>
      <c r="F114" s="315"/>
      <c r="G114" s="315"/>
      <c r="H114" s="317"/>
      <c r="I114" s="318"/>
      <c r="J114" s="318"/>
      <c r="K114" s="318"/>
      <c r="L114" s="318"/>
      <c r="M114" s="318"/>
      <c r="N114" s="318"/>
      <c r="O114" s="318"/>
      <c r="P114" s="254"/>
    </row>
    <row r="115" spans="1:16" ht="15.75" x14ac:dyDescent="0.25">
      <c r="A115" s="246"/>
      <c r="B115" s="303" t="s">
        <v>346</v>
      </c>
      <c r="C115" s="304" t="s">
        <v>369</v>
      </c>
      <c r="D115" s="305" t="s">
        <v>370</v>
      </c>
      <c r="E115" s="306"/>
      <c r="F115" s="306" t="s">
        <v>392</v>
      </c>
      <c r="G115" s="306"/>
      <c r="H115" s="306"/>
      <c r="I115" s="307"/>
      <c r="J115" s="307" t="s">
        <v>391</v>
      </c>
      <c r="K115" s="307"/>
      <c r="L115" s="279"/>
      <c r="M115" s="307"/>
      <c r="N115" s="307" t="s">
        <v>369</v>
      </c>
      <c r="O115" s="307"/>
    </row>
    <row r="116" spans="1:16" ht="15.75" x14ac:dyDescent="0.25">
      <c r="A116" s="246"/>
      <c r="B116" s="266"/>
      <c r="C116" s="264"/>
      <c r="D116" s="266"/>
      <c r="E116" s="267" t="s">
        <v>371</v>
      </c>
      <c r="F116" s="267" t="s">
        <v>372</v>
      </c>
      <c r="G116" s="267" t="s">
        <v>373</v>
      </c>
      <c r="I116" s="281" t="s">
        <v>371</v>
      </c>
      <c r="J116" s="281" t="s">
        <v>372</v>
      </c>
      <c r="K116" s="281" t="s">
        <v>373</v>
      </c>
      <c r="L116" s="278"/>
      <c r="M116" s="293" t="s">
        <v>371</v>
      </c>
      <c r="N116" s="293" t="s">
        <v>372</v>
      </c>
      <c r="O116" s="293" t="s">
        <v>373</v>
      </c>
      <c r="P116" s="254"/>
    </row>
    <row r="117" spans="1:16" ht="14.25" x14ac:dyDescent="0.2">
      <c r="A117" s="246"/>
      <c r="B117" s="275"/>
      <c r="C117" s="276" t="s">
        <v>374</v>
      </c>
      <c r="D117" s="277"/>
      <c r="E117" s="57"/>
      <c r="F117" s="57"/>
      <c r="G117" s="57"/>
      <c r="H117" s="57"/>
      <c r="I117" s="282"/>
      <c r="J117" s="282"/>
      <c r="K117" s="282"/>
      <c r="L117" s="282"/>
      <c r="M117" s="294">
        <f>SUM(M118:M118)</f>
        <v>0</v>
      </c>
      <c r="N117" s="294">
        <f>SUM(N118:N118)</f>
        <v>0</v>
      </c>
      <c r="O117" s="294">
        <f>SUM(O118:O118)</f>
        <v>0</v>
      </c>
    </row>
    <row r="118" spans="1:16" ht="14.25" x14ac:dyDescent="0.2">
      <c r="A118" s="246"/>
      <c r="B118" s="253"/>
      <c r="C118" s="30" t="s">
        <v>394</v>
      </c>
      <c r="D118" s="41"/>
      <c r="E118" s="270"/>
      <c r="F118" s="270"/>
      <c r="G118" s="270"/>
      <c r="H118" s="28"/>
      <c r="I118" s="283"/>
      <c r="J118" s="283"/>
      <c r="K118" s="283"/>
      <c r="L118" s="280"/>
      <c r="M118" s="295">
        <f>E118*I118</f>
        <v>0</v>
      </c>
      <c r="N118" s="295">
        <f t="shared" ref="N118" si="11">F118*J118</f>
        <v>0</v>
      </c>
      <c r="O118" s="295">
        <f t="shared" ref="O118" si="12">G118*K118</f>
        <v>0</v>
      </c>
    </row>
    <row r="119" spans="1:16" ht="14.25" x14ac:dyDescent="0.2">
      <c r="A119" s="246"/>
      <c r="B119" s="275"/>
      <c r="C119" s="276" t="s">
        <v>378</v>
      </c>
      <c r="D119" s="277"/>
      <c r="E119" s="57"/>
      <c r="F119" s="57"/>
      <c r="G119" s="57"/>
      <c r="H119" s="57"/>
      <c r="I119" s="282"/>
      <c r="J119" s="282"/>
      <c r="K119" s="282"/>
      <c r="L119" s="282"/>
      <c r="M119" s="296"/>
      <c r="N119" s="296"/>
      <c r="O119" s="296"/>
    </row>
    <row r="120" spans="1:16" ht="14.25" x14ac:dyDescent="0.2">
      <c r="A120" s="246"/>
      <c r="B120" s="268"/>
      <c r="C120" s="274" t="s">
        <v>375</v>
      </c>
      <c r="D120" s="269"/>
      <c r="E120" s="61"/>
      <c r="F120" s="61"/>
      <c r="G120" s="61"/>
      <c r="H120" s="61"/>
      <c r="I120" s="284"/>
      <c r="J120" s="284"/>
      <c r="K120" s="284"/>
      <c r="L120" s="284"/>
      <c r="M120" s="298">
        <f>SUM(M121:M121)</f>
        <v>0</v>
      </c>
      <c r="N120" s="298">
        <f>SUM(N121:N121)</f>
        <v>0</v>
      </c>
      <c r="O120" s="298">
        <f>SUM(O121:O121)</f>
        <v>0</v>
      </c>
    </row>
    <row r="121" spans="1:16" ht="14.25" x14ac:dyDescent="0.2">
      <c r="B121" s="253"/>
      <c r="C121" s="30" t="s">
        <v>394</v>
      </c>
      <c r="D121" s="41"/>
      <c r="E121" s="270"/>
      <c r="F121" s="270"/>
      <c r="G121" s="270"/>
      <c r="H121" s="28"/>
      <c r="I121" s="283"/>
      <c r="J121" s="283"/>
      <c r="K121" s="283"/>
      <c r="L121" s="280"/>
      <c r="M121" s="285">
        <f>E121*I121</f>
        <v>0</v>
      </c>
      <c r="N121" s="285">
        <f t="shared" ref="N121" si="13">F121*J121</f>
        <v>0</v>
      </c>
      <c r="O121" s="285">
        <f t="shared" ref="O121" si="14">G121*K121</f>
        <v>0</v>
      </c>
    </row>
    <row r="122" spans="1:16" ht="14.25" x14ac:dyDescent="0.2">
      <c r="B122" s="268"/>
      <c r="C122" s="274" t="s">
        <v>376</v>
      </c>
      <c r="D122" s="269"/>
      <c r="E122" s="61"/>
      <c r="F122" s="61"/>
      <c r="G122" s="61"/>
      <c r="H122" s="61"/>
      <c r="I122" s="284"/>
      <c r="J122" s="284"/>
      <c r="K122" s="284"/>
      <c r="L122" s="284"/>
      <c r="M122" s="298">
        <f>SUM(M123:M123)</f>
        <v>0</v>
      </c>
      <c r="N122" s="298">
        <f>SUM(N123:N123)</f>
        <v>0</v>
      </c>
      <c r="O122" s="298">
        <f>SUM(O123:O123)</f>
        <v>0</v>
      </c>
    </row>
    <row r="123" spans="1:16" ht="14.25" x14ac:dyDescent="0.2">
      <c r="B123" s="253"/>
      <c r="C123" s="30" t="s">
        <v>394</v>
      </c>
      <c r="D123" s="41"/>
      <c r="E123" s="270"/>
      <c r="F123" s="270"/>
      <c r="G123" s="270"/>
      <c r="H123" s="28"/>
      <c r="I123" s="283"/>
      <c r="J123" s="283"/>
      <c r="K123" s="283"/>
      <c r="L123" s="280"/>
      <c r="M123" s="285">
        <f>E123*I123</f>
        <v>0</v>
      </c>
      <c r="N123" s="285">
        <f t="shared" ref="N123" si="15">F123*J123</f>
        <v>0</v>
      </c>
      <c r="O123" s="285">
        <f>G123*K123</f>
        <v>0</v>
      </c>
    </row>
    <row r="124" spans="1:16" ht="14.25" x14ac:dyDescent="0.2">
      <c r="B124" s="268"/>
      <c r="C124" s="274" t="s">
        <v>379</v>
      </c>
      <c r="D124" s="269"/>
      <c r="E124" s="61"/>
      <c r="F124" s="61"/>
      <c r="G124" s="61"/>
      <c r="H124" s="61"/>
      <c r="I124" s="284"/>
      <c r="J124" s="284"/>
      <c r="K124" s="284"/>
      <c r="L124" s="284"/>
      <c r="M124" s="298">
        <f>SUM(M125:M125)</f>
        <v>0</v>
      </c>
      <c r="N124" s="298">
        <f>SUM(N125:N125)</f>
        <v>0</v>
      </c>
      <c r="O124" s="298">
        <f>SUM(O125:O125)</f>
        <v>0</v>
      </c>
    </row>
    <row r="125" spans="1:16" ht="14.25" x14ac:dyDescent="0.2">
      <c r="B125" s="253"/>
      <c r="C125" s="30" t="s">
        <v>394</v>
      </c>
      <c r="D125" s="41"/>
      <c r="E125" s="270"/>
      <c r="F125" s="270"/>
      <c r="G125" s="270"/>
      <c r="H125" s="28"/>
      <c r="I125" s="283"/>
      <c r="J125" s="283"/>
      <c r="K125" s="283"/>
      <c r="L125" s="280"/>
      <c r="M125" s="285">
        <f>E125*I125</f>
        <v>0</v>
      </c>
      <c r="N125" s="285">
        <f t="shared" ref="N125" si="16">F125*J125</f>
        <v>0</v>
      </c>
      <c r="O125" s="285">
        <f>G125*K125</f>
        <v>0</v>
      </c>
    </row>
    <row r="126" spans="1:16" ht="14.25" x14ac:dyDescent="0.2">
      <c r="B126" s="271"/>
      <c r="C126" s="274" t="s">
        <v>380</v>
      </c>
      <c r="D126" s="272"/>
      <c r="E126" s="61"/>
      <c r="F126" s="61"/>
      <c r="G126" s="61"/>
      <c r="H126" s="61"/>
      <c r="I126" s="284"/>
      <c r="J126" s="284"/>
      <c r="K126" s="284"/>
      <c r="L126" s="284"/>
      <c r="M126" s="298">
        <f>SUM(M127:M127)</f>
        <v>0</v>
      </c>
      <c r="N126" s="298">
        <f>SUM(N127:N127)</f>
        <v>0</v>
      </c>
      <c r="O126" s="298">
        <f>SUM(O127:O127)</f>
        <v>0</v>
      </c>
    </row>
    <row r="127" spans="1:16" ht="14.25" x14ac:dyDescent="0.2">
      <c r="B127" s="253"/>
      <c r="C127" s="30" t="s">
        <v>394</v>
      </c>
      <c r="D127" s="41"/>
      <c r="E127" s="270"/>
      <c r="F127" s="270"/>
      <c r="G127" s="270"/>
      <c r="H127" s="28"/>
      <c r="I127" s="283"/>
      <c r="J127" s="283"/>
      <c r="K127" s="283"/>
      <c r="L127" s="280"/>
      <c r="M127" s="285">
        <f>E127*I127</f>
        <v>0</v>
      </c>
      <c r="N127" s="285">
        <f t="shared" ref="N127" si="17">F127*J127</f>
        <v>0</v>
      </c>
      <c r="O127" s="285">
        <f>G127*K127</f>
        <v>0</v>
      </c>
    </row>
    <row r="128" spans="1:16" ht="14.25" x14ac:dyDescent="0.2">
      <c r="B128" s="271"/>
      <c r="C128" s="274" t="s">
        <v>381</v>
      </c>
      <c r="D128" s="272"/>
      <c r="E128" s="61"/>
      <c r="F128" s="61"/>
      <c r="G128" s="61"/>
      <c r="H128" s="61"/>
      <c r="I128" s="284"/>
      <c r="J128" s="284"/>
      <c r="K128" s="284"/>
      <c r="L128" s="284"/>
      <c r="M128" s="298">
        <f>SUM(M129:M129)</f>
        <v>0</v>
      </c>
      <c r="N128" s="298">
        <f>SUM(N129:N129)</f>
        <v>0</v>
      </c>
      <c r="O128" s="298">
        <f>SUM(O129:O129)</f>
        <v>0</v>
      </c>
    </row>
    <row r="129" spans="1:15" ht="14.25" x14ac:dyDescent="0.2">
      <c r="B129" s="253"/>
      <c r="C129" s="30" t="s">
        <v>394</v>
      </c>
      <c r="D129" s="41"/>
      <c r="E129" s="270"/>
      <c r="F129" s="270"/>
      <c r="G129" s="270"/>
      <c r="H129" s="28"/>
      <c r="I129" s="283"/>
      <c r="J129" s="283"/>
      <c r="K129" s="283"/>
      <c r="L129" s="280"/>
      <c r="M129" s="285">
        <f>E129*I129</f>
        <v>0</v>
      </c>
      <c r="N129" s="285">
        <f>F129*J129</f>
        <v>0</v>
      </c>
      <c r="O129" s="285">
        <f>G129*K129</f>
        <v>0</v>
      </c>
    </row>
    <row r="130" spans="1:15" ht="14.25" x14ac:dyDescent="0.2">
      <c r="B130" s="268"/>
      <c r="C130" s="274" t="s">
        <v>377</v>
      </c>
      <c r="D130" s="269"/>
      <c r="E130" s="61"/>
      <c r="F130" s="61"/>
      <c r="G130" s="61"/>
      <c r="H130" s="61"/>
      <c r="I130" s="284"/>
      <c r="J130" s="284"/>
      <c r="K130" s="284"/>
      <c r="L130" s="284"/>
      <c r="M130" s="298">
        <f>SUM(M131:M131)</f>
        <v>0</v>
      </c>
      <c r="N130" s="298">
        <f>SUM(N131:N131)</f>
        <v>0</v>
      </c>
      <c r="O130" s="298">
        <f>SUM(O131:O131)</f>
        <v>0</v>
      </c>
    </row>
    <row r="131" spans="1:15" ht="14.25" x14ac:dyDescent="0.2">
      <c r="B131" s="253"/>
      <c r="C131" s="30" t="s">
        <v>394</v>
      </c>
      <c r="D131" s="41"/>
      <c r="E131" s="270"/>
      <c r="F131" s="270"/>
      <c r="G131" s="270"/>
      <c r="H131" s="28"/>
      <c r="I131" s="283"/>
      <c r="J131" s="283"/>
      <c r="K131" s="283"/>
      <c r="L131" s="280"/>
      <c r="M131" s="285">
        <f>E131*I131</f>
        <v>0</v>
      </c>
      <c r="N131" s="285">
        <f t="shared" ref="N131" si="18">F131*J131</f>
        <v>0</v>
      </c>
      <c r="O131" s="285">
        <f>G131*K131</f>
        <v>0</v>
      </c>
    </row>
    <row r="132" spans="1:15" ht="14.25" x14ac:dyDescent="0.2">
      <c r="B132" s="268"/>
      <c r="C132" s="274" t="s">
        <v>382</v>
      </c>
      <c r="D132" s="269"/>
      <c r="E132" s="61"/>
      <c r="F132" s="61"/>
      <c r="G132" s="61"/>
      <c r="H132" s="61"/>
      <c r="I132" s="284"/>
      <c r="J132" s="284"/>
      <c r="K132" s="284"/>
      <c r="L132" s="284"/>
      <c r="M132" s="298">
        <f>SUM(M133:M133)</f>
        <v>0</v>
      </c>
      <c r="N132" s="298">
        <f>SUM(N133:N133)</f>
        <v>0</v>
      </c>
      <c r="O132" s="298">
        <f>SUM(O133:O133)</f>
        <v>0</v>
      </c>
    </row>
    <row r="133" spans="1:15" ht="14.25" x14ac:dyDescent="0.2">
      <c r="B133" s="253"/>
      <c r="C133" s="30" t="s">
        <v>394</v>
      </c>
      <c r="D133" s="41"/>
      <c r="E133" s="270"/>
      <c r="F133" s="270"/>
      <c r="G133" s="270"/>
      <c r="H133" s="28"/>
      <c r="I133" s="283"/>
      <c r="J133" s="283"/>
      <c r="K133" s="283"/>
      <c r="L133" s="280"/>
      <c r="M133" s="285">
        <f>E133*I133</f>
        <v>0</v>
      </c>
      <c r="N133" s="285">
        <f t="shared" ref="N133" si="19">F133*J133</f>
        <v>0</v>
      </c>
      <c r="O133" s="285">
        <f>G133*K133</f>
        <v>0</v>
      </c>
    </row>
    <row r="134" spans="1:15" ht="14.25" x14ac:dyDescent="0.2">
      <c r="A134" s="246"/>
      <c r="B134" s="275"/>
      <c r="C134" s="276" t="s">
        <v>383</v>
      </c>
      <c r="D134" s="277"/>
      <c r="E134" s="57"/>
      <c r="F134" s="57"/>
      <c r="G134" s="57"/>
      <c r="H134" s="57"/>
      <c r="I134" s="282"/>
      <c r="J134" s="282"/>
      <c r="K134" s="282"/>
      <c r="L134" s="282"/>
      <c r="M134" s="296"/>
      <c r="N134" s="296"/>
      <c r="O134" s="296"/>
    </row>
    <row r="135" spans="1:15" ht="14.25" x14ac:dyDescent="0.2">
      <c r="B135" s="271"/>
      <c r="C135" s="274" t="s">
        <v>384</v>
      </c>
      <c r="D135" s="272"/>
      <c r="E135" s="61"/>
      <c r="F135" s="61"/>
      <c r="G135" s="61"/>
      <c r="H135" s="61"/>
      <c r="I135" s="284"/>
      <c r="J135" s="284"/>
      <c r="K135" s="284"/>
      <c r="L135" s="284"/>
      <c r="M135" s="298">
        <f>SUM(M136:M136)</f>
        <v>0</v>
      </c>
      <c r="N135" s="298">
        <f>SUM(N136:N136)</f>
        <v>0</v>
      </c>
      <c r="O135" s="298">
        <f>SUM(O136:O136)</f>
        <v>0</v>
      </c>
    </row>
    <row r="136" spans="1:15" ht="14.25" x14ac:dyDescent="0.2">
      <c r="B136" s="253"/>
      <c r="C136" s="30" t="s">
        <v>394</v>
      </c>
      <c r="D136" s="41"/>
      <c r="E136" s="270"/>
      <c r="F136" s="270"/>
      <c r="G136" s="270"/>
      <c r="H136" s="28"/>
      <c r="I136" s="283"/>
      <c r="J136" s="283"/>
      <c r="K136" s="283"/>
      <c r="L136" s="280"/>
      <c r="M136" s="285">
        <f>E136*I136</f>
        <v>0</v>
      </c>
      <c r="N136" s="285">
        <f t="shared" ref="N136" si="20">F136*J136</f>
        <v>0</v>
      </c>
      <c r="O136" s="285">
        <f>G136*K136</f>
        <v>0</v>
      </c>
    </row>
    <row r="137" spans="1:15" ht="14.25" x14ac:dyDescent="0.2">
      <c r="B137" s="271"/>
      <c r="C137" s="274" t="s">
        <v>385</v>
      </c>
      <c r="D137" s="272"/>
      <c r="E137" s="61"/>
      <c r="F137" s="61"/>
      <c r="G137" s="61"/>
      <c r="H137" s="61"/>
      <c r="I137" s="284"/>
      <c r="J137" s="284"/>
      <c r="K137" s="284"/>
      <c r="L137" s="284"/>
      <c r="M137" s="298">
        <f>SUM(M138:M138)</f>
        <v>0</v>
      </c>
      <c r="N137" s="298">
        <f>SUM(N138:N138)</f>
        <v>0</v>
      </c>
      <c r="O137" s="298">
        <f>SUM(O138:O138)</f>
        <v>0</v>
      </c>
    </row>
    <row r="138" spans="1:15" ht="14.25" x14ac:dyDescent="0.2">
      <c r="B138" s="253"/>
      <c r="C138" s="30" t="s">
        <v>394</v>
      </c>
      <c r="D138" s="41"/>
      <c r="E138" s="270"/>
      <c r="F138" s="270"/>
      <c r="G138" s="270"/>
      <c r="H138" s="28"/>
      <c r="I138" s="283"/>
      <c r="J138" s="283"/>
      <c r="K138" s="283"/>
      <c r="L138" s="280"/>
      <c r="M138" s="285">
        <f>E138*I138</f>
        <v>0</v>
      </c>
      <c r="N138" s="285">
        <f t="shared" ref="N138" si="21">F138*J138</f>
        <v>0</v>
      </c>
      <c r="O138" s="285">
        <f>G138*K138</f>
        <v>0</v>
      </c>
    </row>
    <row r="139" spans="1:15" ht="14.25" x14ac:dyDescent="0.2">
      <c r="A139" s="246"/>
      <c r="B139" s="288"/>
      <c r="C139" s="289" t="s">
        <v>386</v>
      </c>
      <c r="D139" s="290"/>
      <c r="E139" s="291"/>
      <c r="F139" s="291"/>
      <c r="G139" s="291"/>
      <c r="H139" s="291"/>
      <c r="I139" s="292"/>
      <c r="J139" s="292"/>
      <c r="K139" s="292"/>
      <c r="L139" s="292"/>
      <c r="M139" s="297"/>
      <c r="N139" s="297"/>
      <c r="O139" s="297"/>
    </row>
    <row r="140" spans="1:15" ht="14.25" x14ac:dyDescent="0.2">
      <c r="B140" s="271"/>
      <c r="C140" s="274" t="s">
        <v>387</v>
      </c>
      <c r="D140" s="272"/>
      <c r="E140" s="61"/>
      <c r="F140" s="61"/>
      <c r="G140" s="61"/>
      <c r="H140" s="61"/>
      <c r="I140" s="284"/>
      <c r="J140" s="284"/>
      <c r="K140" s="284"/>
      <c r="L140" s="284"/>
      <c r="M140" s="298">
        <f>SUM(M141:M141)</f>
        <v>0</v>
      </c>
      <c r="N140" s="298">
        <f>SUM(N141:N141)</f>
        <v>0</v>
      </c>
      <c r="O140" s="298">
        <f>SUM(O141:O141)</f>
        <v>0</v>
      </c>
    </row>
    <row r="141" spans="1:15" ht="14.25" x14ac:dyDescent="0.2">
      <c r="B141" s="253"/>
      <c r="C141" s="30" t="s">
        <v>394</v>
      </c>
      <c r="D141" s="41"/>
      <c r="E141" s="270"/>
      <c r="F141" s="270"/>
      <c r="G141" s="270"/>
      <c r="H141" s="28"/>
      <c r="I141" s="283"/>
      <c r="J141" s="283"/>
      <c r="K141" s="283"/>
      <c r="L141" s="280"/>
      <c r="M141" s="285">
        <f>E141*I141</f>
        <v>0</v>
      </c>
      <c r="N141" s="285">
        <f t="shared" ref="N141" si="22">F141*J141</f>
        <v>0</v>
      </c>
      <c r="O141" s="285">
        <f>G141*K141</f>
        <v>0</v>
      </c>
    </row>
    <row r="142" spans="1:15" ht="14.25" x14ac:dyDescent="0.2">
      <c r="B142" s="271"/>
      <c r="C142" s="274" t="s">
        <v>388</v>
      </c>
      <c r="D142" s="272"/>
      <c r="E142" s="61"/>
      <c r="F142" s="61"/>
      <c r="G142" s="61"/>
      <c r="H142" s="61"/>
      <c r="I142" s="284"/>
      <c r="J142" s="284"/>
      <c r="K142" s="284"/>
      <c r="L142" s="284"/>
      <c r="M142" s="298">
        <f>SUM(M143:M143)</f>
        <v>0</v>
      </c>
      <c r="N142" s="298">
        <f>SUM(N143:N143)</f>
        <v>0</v>
      </c>
      <c r="O142" s="298">
        <f>SUM(O143:O143)</f>
        <v>0</v>
      </c>
    </row>
    <row r="143" spans="1:15" ht="14.25" x14ac:dyDescent="0.2">
      <c r="B143" s="253"/>
      <c r="C143" s="30" t="s">
        <v>394</v>
      </c>
      <c r="D143" s="41"/>
      <c r="E143" s="270"/>
      <c r="F143" s="270"/>
      <c r="G143" s="270"/>
      <c r="H143" s="28"/>
      <c r="I143" s="283"/>
      <c r="J143" s="283"/>
      <c r="K143" s="283"/>
      <c r="L143" s="280"/>
      <c r="M143" s="285">
        <f>E143*I143</f>
        <v>0</v>
      </c>
      <c r="N143" s="285">
        <f t="shared" ref="N143" si="23">F143*J143</f>
        <v>0</v>
      </c>
      <c r="O143" s="285">
        <f>G143*K143</f>
        <v>0</v>
      </c>
    </row>
    <row r="144" spans="1:15" ht="14.25" x14ac:dyDescent="0.2">
      <c r="B144" s="273"/>
      <c r="C144" s="3"/>
      <c r="D144" s="3"/>
      <c r="E144" s="3"/>
      <c r="I144" s="278"/>
      <c r="J144" s="278"/>
      <c r="K144" s="278"/>
      <c r="L144" s="278"/>
      <c r="M144" s="278"/>
      <c r="N144" s="278"/>
      <c r="O144" s="278"/>
    </row>
    <row r="145" spans="1:16" ht="15.75" thickBot="1" x14ac:dyDescent="0.3">
      <c r="A145" s="246"/>
      <c r="B145" s="273"/>
      <c r="C145" s="3"/>
      <c r="D145" s="3"/>
      <c r="E145" s="3"/>
      <c r="I145" s="278"/>
      <c r="J145" s="278"/>
      <c r="K145" s="278"/>
      <c r="L145" s="286" t="s">
        <v>390</v>
      </c>
      <c r="M145" s="287">
        <f>SUM(M118:M138)/2</f>
        <v>0</v>
      </c>
      <c r="N145" s="287">
        <f>SUM(N118:N138)/2</f>
        <v>0</v>
      </c>
      <c r="O145" s="287">
        <f>SUM(O118:O138)/2</f>
        <v>0</v>
      </c>
    </row>
    <row r="146" spans="1:16" ht="16.5" thickTop="1" thickBot="1" x14ac:dyDescent="0.3">
      <c r="B146" s="273"/>
      <c r="C146" s="3"/>
      <c r="D146" s="3"/>
      <c r="E146" s="3"/>
      <c r="I146" s="278"/>
      <c r="J146" s="278"/>
      <c r="K146" s="278"/>
      <c r="L146" s="286" t="s">
        <v>389</v>
      </c>
      <c r="M146" s="287">
        <f>SUM(M140:M143)/2</f>
        <v>0</v>
      </c>
      <c r="N146" s="287">
        <f>SUM(N140:N143)/2</f>
        <v>0</v>
      </c>
      <c r="O146" s="287">
        <f>SUM(O140:O143)/2</f>
        <v>0</v>
      </c>
    </row>
    <row r="147" spans="1:16" ht="15.75" thickTop="1" x14ac:dyDescent="0.25">
      <c r="B147" s="3"/>
      <c r="F147"/>
    </row>
    <row r="148" spans="1:16" s="28" customFormat="1" ht="15.75" x14ac:dyDescent="0.25">
      <c r="A148" s="263"/>
      <c r="B148" s="315"/>
      <c r="C148" s="316">
        <f>B69</f>
        <v>0</v>
      </c>
      <c r="D148" s="315"/>
      <c r="E148" s="315"/>
      <c r="F148" s="315"/>
      <c r="G148" s="315"/>
      <c r="H148" s="317"/>
      <c r="I148" s="318"/>
      <c r="J148" s="318"/>
      <c r="K148" s="318"/>
      <c r="L148" s="318"/>
      <c r="M148" s="318"/>
      <c r="N148" s="318"/>
      <c r="O148" s="318"/>
      <c r="P148" s="254"/>
    </row>
    <row r="149" spans="1:16" ht="15.75" x14ac:dyDescent="0.25">
      <c r="A149" s="246"/>
      <c r="B149" s="303" t="s">
        <v>346</v>
      </c>
      <c r="C149" s="304" t="s">
        <v>369</v>
      </c>
      <c r="D149" s="305" t="s">
        <v>370</v>
      </c>
      <c r="E149" s="306"/>
      <c r="F149" s="306" t="s">
        <v>392</v>
      </c>
      <c r="G149" s="306"/>
      <c r="H149" s="306"/>
      <c r="I149" s="307"/>
      <c r="J149" s="307" t="s">
        <v>391</v>
      </c>
      <c r="K149" s="307"/>
      <c r="L149" s="279"/>
      <c r="M149" s="307"/>
      <c r="N149" s="307" t="s">
        <v>369</v>
      </c>
      <c r="O149" s="307"/>
    </row>
    <row r="150" spans="1:16" ht="15.75" x14ac:dyDescent="0.25">
      <c r="A150" s="246"/>
      <c r="B150" s="266"/>
      <c r="C150" s="264"/>
      <c r="D150" s="266"/>
      <c r="E150" s="267" t="s">
        <v>371</v>
      </c>
      <c r="F150" s="267" t="s">
        <v>372</v>
      </c>
      <c r="G150" s="267" t="s">
        <v>373</v>
      </c>
      <c r="I150" s="281" t="s">
        <v>371</v>
      </c>
      <c r="J150" s="281" t="s">
        <v>372</v>
      </c>
      <c r="K150" s="281" t="s">
        <v>373</v>
      </c>
      <c r="L150" s="278"/>
      <c r="M150" s="293" t="s">
        <v>371</v>
      </c>
      <c r="N150" s="293" t="s">
        <v>372</v>
      </c>
      <c r="O150" s="293" t="s">
        <v>373</v>
      </c>
      <c r="P150" s="254"/>
    </row>
    <row r="151" spans="1:16" ht="14.25" x14ac:dyDescent="0.2">
      <c r="A151" s="246"/>
      <c r="B151" s="275"/>
      <c r="C151" s="276" t="s">
        <v>374</v>
      </c>
      <c r="D151" s="277"/>
      <c r="E151" s="57"/>
      <c r="F151" s="57"/>
      <c r="G151" s="57"/>
      <c r="H151" s="57"/>
      <c r="I151" s="282"/>
      <c r="J151" s="282"/>
      <c r="K151" s="282"/>
      <c r="L151" s="282"/>
      <c r="M151" s="294">
        <f>SUM(M152:M152)</f>
        <v>0</v>
      </c>
      <c r="N151" s="294">
        <f>SUM(N152:N152)</f>
        <v>0</v>
      </c>
      <c r="O151" s="294">
        <f>SUM(O152:O152)</f>
        <v>0</v>
      </c>
    </row>
    <row r="152" spans="1:16" ht="14.25" x14ac:dyDescent="0.2">
      <c r="A152" s="246"/>
      <c r="B152" s="253"/>
      <c r="C152" s="30" t="s">
        <v>394</v>
      </c>
      <c r="D152" s="41"/>
      <c r="E152" s="270"/>
      <c r="F152" s="270"/>
      <c r="G152" s="270"/>
      <c r="H152" s="28"/>
      <c r="I152" s="283"/>
      <c r="J152" s="283"/>
      <c r="K152" s="283"/>
      <c r="L152" s="280"/>
      <c r="M152" s="295">
        <f>E152*I152</f>
        <v>0</v>
      </c>
      <c r="N152" s="295">
        <f t="shared" ref="N152" si="24">F152*J152</f>
        <v>0</v>
      </c>
      <c r="O152" s="295">
        <f t="shared" ref="O152" si="25">G152*K152</f>
        <v>0</v>
      </c>
    </row>
    <row r="153" spans="1:16" ht="14.25" x14ac:dyDescent="0.2">
      <c r="A153" s="246"/>
      <c r="B153" s="275"/>
      <c r="C153" s="276" t="s">
        <v>378</v>
      </c>
      <c r="D153" s="277"/>
      <c r="E153" s="57"/>
      <c r="F153" s="57"/>
      <c r="G153" s="57"/>
      <c r="H153" s="57"/>
      <c r="I153" s="282"/>
      <c r="J153" s="282"/>
      <c r="K153" s="282"/>
      <c r="L153" s="282"/>
      <c r="M153" s="296"/>
      <c r="N153" s="296"/>
      <c r="O153" s="296"/>
    </row>
    <row r="154" spans="1:16" ht="14.25" x14ac:dyDescent="0.2">
      <c r="A154" s="246"/>
      <c r="B154" s="268"/>
      <c r="C154" s="274" t="s">
        <v>375</v>
      </c>
      <c r="D154" s="269"/>
      <c r="E154" s="61"/>
      <c r="F154" s="61"/>
      <c r="G154" s="61"/>
      <c r="H154" s="61"/>
      <c r="I154" s="284"/>
      <c r="J154" s="284"/>
      <c r="K154" s="284"/>
      <c r="L154" s="284"/>
      <c r="M154" s="298">
        <f>SUM(M155:M155)</f>
        <v>0</v>
      </c>
      <c r="N154" s="298">
        <f>SUM(N155:N155)</f>
        <v>0</v>
      </c>
      <c r="O154" s="298">
        <f>SUM(O155:O155)</f>
        <v>0</v>
      </c>
    </row>
    <row r="155" spans="1:16" ht="14.25" x14ac:dyDescent="0.2">
      <c r="B155" s="253"/>
      <c r="C155" s="30" t="s">
        <v>394</v>
      </c>
      <c r="D155" s="41"/>
      <c r="E155" s="270"/>
      <c r="F155" s="270"/>
      <c r="G155" s="270"/>
      <c r="H155" s="28"/>
      <c r="I155" s="283"/>
      <c r="J155" s="283"/>
      <c r="K155" s="283"/>
      <c r="L155" s="280"/>
      <c r="M155" s="285">
        <f>E155*I155</f>
        <v>0</v>
      </c>
      <c r="N155" s="285">
        <f t="shared" ref="N155" si="26">F155*J155</f>
        <v>0</v>
      </c>
      <c r="O155" s="285">
        <f t="shared" ref="O155" si="27">G155*K155</f>
        <v>0</v>
      </c>
    </row>
    <row r="156" spans="1:16" ht="14.25" x14ac:dyDescent="0.2">
      <c r="B156" s="268"/>
      <c r="C156" s="274" t="s">
        <v>376</v>
      </c>
      <c r="D156" s="269"/>
      <c r="E156" s="61"/>
      <c r="F156" s="61"/>
      <c r="G156" s="61"/>
      <c r="H156" s="61"/>
      <c r="I156" s="284"/>
      <c r="J156" s="284"/>
      <c r="K156" s="284"/>
      <c r="L156" s="284"/>
      <c r="M156" s="298">
        <f>SUM(M157:M157)</f>
        <v>0</v>
      </c>
      <c r="N156" s="298">
        <f>SUM(N157:N157)</f>
        <v>0</v>
      </c>
      <c r="O156" s="298">
        <f>SUM(O157:O157)</f>
        <v>0</v>
      </c>
    </row>
    <row r="157" spans="1:16" ht="14.25" x14ac:dyDescent="0.2">
      <c r="B157" s="253"/>
      <c r="C157" s="30" t="s">
        <v>394</v>
      </c>
      <c r="D157" s="41"/>
      <c r="E157" s="270"/>
      <c r="F157" s="270"/>
      <c r="G157" s="270"/>
      <c r="H157" s="28"/>
      <c r="I157" s="283"/>
      <c r="J157" s="283"/>
      <c r="K157" s="283"/>
      <c r="L157" s="280"/>
      <c r="M157" s="285">
        <f>E157*I157</f>
        <v>0</v>
      </c>
      <c r="N157" s="285">
        <f t="shared" ref="N157" si="28">F157*J157</f>
        <v>0</v>
      </c>
      <c r="O157" s="285">
        <f>G157*K157</f>
        <v>0</v>
      </c>
    </row>
    <row r="158" spans="1:16" ht="14.25" x14ac:dyDescent="0.2">
      <c r="B158" s="268"/>
      <c r="C158" s="274" t="s">
        <v>379</v>
      </c>
      <c r="D158" s="269"/>
      <c r="E158" s="61"/>
      <c r="F158" s="61"/>
      <c r="G158" s="61"/>
      <c r="H158" s="61"/>
      <c r="I158" s="284"/>
      <c r="J158" s="284"/>
      <c r="K158" s="284"/>
      <c r="L158" s="284"/>
      <c r="M158" s="298">
        <f>SUM(M159:M159)</f>
        <v>0</v>
      </c>
      <c r="N158" s="298">
        <f>SUM(N159:N159)</f>
        <v>0</v>
      </c>
      <c r="O158" s="298">
        <f>SUM(O159:O159)</f>
        <v>0</v>
      </c>
    </row>
    <row r="159" spans="1:16" ht="14.25" x14ac:dyDescent="0.2">
      <c r="B159" s="253"/>
      <c r="C159" s="30" t="s">
        <v>394</v>
      </c>
      <c r="D159" s="41"/>
      <c r="E159" s="270"/>
      <c r="F159" s="270"/>
      <c r="G159" s="270"/>
      <c r="H159" s="28"/>
      <c r="I159" s="283"/>
      <c r="J159" s="283"/>
      <c r="K159" s="283"/>
      <c r="L159" s="280"/>
      <c r="M159" s="285">
        <f>E159*I159</f>
        <v>0</v>
      </c>
      <c r="N159" s="285">
        <f t="shared" ref="N159" si="29">F159*J159</f>
        <v>0</v>
      </c>
      <c r="O159" s="285">
        <f>G159*K159</f>
        <v>0</v>
      </c>
    </row>
    <row r="160" spans="1:16" ht="14.25" x14ac:dyDescent="0.2">
      <c r="B160" s="271"/>
      <c r="C160" s="274" t="s">
        <v>380</v>
      </c>
      <c r="D160" s="272"/>
      <c r="E160" s="61"/>
      <c r="F160" s="61"/>
      <c r="G160" s="61"/>
      <c r="H160" s="61"/>
      <c r="I160" s="284"/>
      <c r="J160" s="284"/>
      <c r="K160" s="284"/>
      <c r="L160" s="284"/>
      <c r="M160" s="298">
        <f>SUM(M161:M161)</f>
        <v>0</v>
      </c>
      <c r="N160" s="298">
        <f>SUM(N161:N161)</f>
        <v>0</v>
      </c>
      <c r="O160" s="298">
        <f>SUM(O161:O161)</f>
        <v>0</v>
      </c>
    </row>
    <row r="161" spans="1:15" ht="14.25" x14ac:dyDescent="0.2">
      <c r="B161" s="253"/>
      <c r="C161" s="30" t="s">
        <v>394</v>
      </c>
      <c r="D161" s="41"/>
      <c r="E161" s="270"/>
      <c r="F161" s="270"/>
      <c r="G161" s="270"/>
      <c r="H161" s="28"/>
      <c r="I161" s="283"/>
      <c r="J161" s="283"/>
      <c r="K161" s="283"/>
      <c r="L161" s="280"/>
      <c r="M161" s="285">
        <f>E161*I161</f>
        <v>0</v>
      </c>
      <c r="N161" s="285">
        <f t="shared" ref="N161" si="30">F161*J161</f>
        <v>0</v>
      </c>
      <c r="O161" s="285">
        <f>G161*K161</f>
        <v>0</v>
      </c>
    </row>
    <row r="162" spans="1:15" ht="14.25" x14ac:dyDescent="0.2">
      <c r="B162" s="271"/>
      <c r="C162" s="274" t="s">
        <v>381</v>
      </c>
      <c r="D162" s="272"/>
      <c r="E162" s="61"/>
      <c r="F162" s="61"/>
      <c r="G162" s="61"/>
      <c r="H162" s="61"/>
      <c r="I162" s="284"/>
      <c r="J162" s="284"/>
      <c r="K162" s="284"/>
      <c r="L162" s="284"/>
      <c r="M162" s="298">
        <f>SUM(M163:M163)</f>
        <v>0</v>
      </c>
      <c r="N162" s="298">
        <f>SUM(N163:N163)</f>
        <v>0</v>
      </c>
      <c r="O162" s="298">
        <f>SUM(O163:O163)</f>
        <v>0</v>
      </c>
    </row>
    <row r="163" spans="1:15" ht="14.25" x14ac:dyDescent="0.2">
      <c r="B163" s="253"/>
      <c r="C163" s="30" t="s">
        <v>394</v>
      </c>
      <c r="D163" s="41"/>
      <c r="E163" s="270"/>
      <c r="F163" s="270"/>
      <c r="G163" s="270"/>
      <c r="H163" s="28"/>
      <c r="I163" s="283"/>
      <c r="J163" s="283"/>
      <c r="K163" s="283"/>
      <c r="L163" s="280"/>
      <c r="M163" s="285">
        <f>E163*I163</f>
        <v>0</v>
      </c>
      <c r="N163" s="285">
        <f>F163*J163</f>
        <v>0</v>
      </c>
      <c r="O163" s="285">
        <f>G163*K163</f>
        <v>0</v>
      </c>
    </row>
    <row r="164" spans="1:15" ht="14.25" x14ac:dyDescent="0.2">
      <c r="B164" s="268"/>
      <c r="C164" s="274" t="s">
        <v>377</v>
      </c>
      <c r="D164" s="269"/>
      <c r="E164" s="61"/>
      <c r="F164" s="61"/>
      <c r="G164" s="61"/>
      <c r="H164" s="61"/>
      <c r="I164" s="284"/>
      <c r="J164" s="284"/>
      <c r="K164" s="284"/>
      <c r="L164" s="284"/>
      <c r="M164" s="298">
        <f>SUM(M165:M165)</f>
        <v>0</v>
      </c>
      <c r="N164" s="298">
        <f>SUM(N165:N165)</f>
        <v>0</v>
      </c>
      <c r="O164" s="298">
        <f>SUM(O165:O165)</f>
        <v>0</v>
      </c>
    </row>
    <row r="165" spans="1:15" ht="14.25" x14ac:dyDescent="0.2">
      <c r="B165" s="253"/>
      <c r="C165" s="30" t="s">
        <v>394</v>
      </c>
      <c r="D165" s="41"/>
      <c r="E165" s="270"/>
      <c r="F165" s="270"/>
      <c r="G165" s="270"/>
      <c r="H165" s="28"/>
      <c r="I165" s="283"/>
      <c r="J165" s="283"/>
      <c r="K165" s="283"/>
      <c r="L165" s="280"/>
      <c r="M165" s="285">
        <f>E165*I165</f>
        <v>0</v>
      </c>
      <c r="N165" s="285">
        <f t="shared" ref="N165" si="31">F165*J165</f>
        <v>0</v>
      </c>
      <c r="O165" s="285">
        <f>G165*K165</f>
        <v>0</v>
      </c>
    </row>
    <row r="166" spans="1:15" ht="14.25" x14ac:dyDescent="0.2">
      <c r="B166" s="268"/>
      <c r="C166" s="274" t="s">
        <v>382</v>
      </c>
      <c r="D166" s="269"/>
      <c r="E166" s="61"/>
      <c r="F166" s="61"/>
      <c r="G166" s="61"/>
      <c r="H166" s="61"/>
      <c r="I166" s="284"/>
      <c r="J166" s="284"/>
      <c r="K166" s="284"/>
      <c r="L166" s="284"/>
      <c r="M166" s="298">
        <f>SUM(M167:M167)</f>
        <v>0</v>
      </c>
      <c r="N166" s="298">
        <f>SUM(N167:N167)</f>
        <v>0</v>
      </c>
      <c r="O166" s="298">
        <f>SUM(O167:O167)</f>
        <v>0</v>
      </c>
    </row>
    <row r="167" spans="1:15" ht="14.25" x14ac:dyDescent="0.2">
      <c r="B167" s="253"/>
      <c r="C167" s="30" t="s">
        <v>394</v>
      </c>
      <c r="D167" s="41"/>
      <c r="E167" s="270"/>
      <c r="F167" s="270"/>
      <c r="G167" s="270"/>
      <c r="H167" s="28"/>
      <c r="I167" s="283"/>
      <c r="J167" s="283"/>
      <c r="K167" s="283"/>
      <c r="L167" s="280"/>
      <c r="M167" s="285">
        <f>E167*I167</f>
        <v>0</v>
      </c>
      <c r="N167" s="285">
        <f t="shared" ref="N167" si="32">F167*J167</f>
        <v>0</v>
      </c>
      <c r="O167" s="285">
        <f>G167*K167</f>
        <v>0</v>
      </c>
    </row>
    <row r="168" spans="1:15" ht="14.25" x14ac:dyDescent="0.2">
      <c r="A168" s="246"/>
      <c r="B168" s="275"/>
      <c r="C168" s="276" t="s">
        <v>383</v>
      </c>
      <c r="D168" s="277"/>
      <c r="E168" s="57"/>
      <c r="F168" s="57"/>
      <c r="G168" s="57"/>
      <c r="H168" s="57"/>
      <c r="I168" s="282"/>
      <c r="J168" s="282"/>
      <c r="K168" s="282"/>
      <c r="L168" s="282"/>
      <c r="M168" s="296"/>
      <c r="N168" s="296"/>
      <c r="O168" s="296"/>
    </row>
    <row r="169" spans="1:15" ht="14.25" x14ac:dyDescent="0.2">
      <c r="B169" s="271"/>
      <c r="C169" s="274" t="s">
        <v>384</v>
      </c>
      <c r="D169" s="272"/>
      <c r="E169" s="61"/>
      <c r="F169" s="61"/>
      <c r="G169" s="61"/>
      <c r="H169" s="61"/>
      <c r="I169" s="284"/>
      <c r="J169" s="284"/>
      <c r="K169" s="284"/>
      <c r="L169" s="284"/>
      <c r="M169" s="298">
        <f>SUM(M170:M170)</f>
        <v>0</v>
      </c>
      <c r="N169" s="298">
        <f>SUM(N170:N170)</f>
        <v>0</v>
      </c>
      <c r="O169" s="298">
        <f>SUM(O170:O170)</f>
        <v>0</v>
      </c>
    </row>
    <row r="170" spans="1:15" ht="14.25" x14ac:dyDescent="0.2">
      <c r="B170" s="253"/>
      <c r="C170" s="30" t="s">
        <v>394</v>
      </c>
      <c r="D170" s="41"/>
      <c r="E170" s="270"/>
      <c r="F170" s="270"/>
      <c r="G170" s="270"/>
      <c r="H170" s="28"/>
      <c r="I170" s="283"/>
      <c r="J170" s="283"/>
      <c r="K170" s="283"/>
      <c r="L170" s="280"/>
      <c r="M170" s="285">
        <f>E170*I170</f>
        <v>0</v>
      </c>
      <c r="N170" s="285">
        <f t="shared" ref="N170" si="33">F170*J170</f>
        <v>0</v>
      </c>
      <c r="O170" s="285">
        <f>G170*K170</f>
        <v>0</v>
      </c>
    </row>
    <row r="171" spans="1:15" ht="14.25" x14ac:dyDescent="0.2">
      <c r="B171" s="271"/>
      <c r="C171" s="274" t="s">
        <v>385</v>
      </c>
      <c r="D171" s="272"/>
      <c r="E171" s="61"/>
      <c r="F171" s="61"/>
      <c r="G171" s="61"/>
      <c r="H171" s="61"/>
      <c r="I171" s="284"/>
      <c r="J171" s="284"/>
      <c r="K171" s="284"/>
      <c r="L171" s="284"/>
      <c r="M171" s="298">
        <f>SUM(M172:M172)</f>
        <v>0</v>
      </c>
      <c r="N171" s="298">
        <f>SUM(N172:N172)</f>
        <v>0</v>
      </c>
      <c r="O171" s="298">
        <f>SUM(O172:O172)</f>
        <v>0</v>
      </c>
    </row>
    <row r="172" spans="1:15" ht="14.25" x14ac:dyDescent="0.2">
      <c r="B172" s="253"/>
      <c r="C172" s="30" t="s">
        <v>394</v>
      </c>
      <c r="D172" s="41"/>
      <c r="E172" s="270"/>
      <c r="F172" s="270"/>
      <c r="G172" s="270"/>
      <c r="H172" s="28"/>
      <c r="I172" s="283"/>
      <c r="J172" s="283"/>
      <c r="K172" s="283"/>
      <c r="L172" s="280"/>
      <c r="M172" s="285">
        <f>E172*I172</f>
        <v>0</v>
      </c>
      <c r="N172" s="285">
        <f t="shared" ref="N172" si="34">F172*J172</f>
        <v>0</v>
      </c>
      <c r="O172" s="285">
        <f>G172*K172</f>
        <v>0</v>
      </c>
    </row>
    <row r="173" spans="1:15" ht="14.25" x14ac:dyDescent="0.2">
      <c r="A173" s="246"/>
      <c r="B173" s="288"/>
      <c r="C173" s="289" t="s">
        <v>386</v>
      </c>
      <c r="D173" s="290"/>
      <c r="E173" s="291"/>
      <c r="F173" s="291"/>
      <c r="G173" s="291"/>
      <c r="H173" s="291"/>
      <c r="I173" s="292"/>
      <c r="J173" s="292"/>
      <c r="K173" s="292"/>
      <c r="L173" s="292"/>
      <c r="M173" s="297"/>
      <c r="N173" s="297"/>
      <c r="O173" s="297"/>
    </row>
    <row r="174" spans="1:15" ht="14.25" x14ac:dyDescent="0.2">
      <c r="B174" s="271"/>
      <c r="C174" s="274" t="s">
        <v>387</v>
      </c>
      <c r="D174" s="272"/>
      <c r="E174" s="61"/>
      <c r="F174" s="61"/>
      <c r="G174" s="61"/>
      <c r="H174" s="61"/>
      <c r="I174" s="284"/>
      <c r="J174" s="284"/>
      <c r="K174" s="284"/>
      <c r="L174" s="284"/>
      <c r="M174" s="298">
        <f>SUM(M175:M175)</f>
        <v>0</v>
      </c>
      <c r="N174" s="298">
        <f>SUM(N175:N175)</f>
        <v>0</v>
      </c>
      <c r="O174" s="298">
        <f>SUM(O175:O175)</f>
        <v>0</v>
      </c>
    </row>
    <row r="175" spans="1:15" ht="14.25" x14ac:dyDescent="0.2">
      <c r="B175" s="253"/>
      <c r="C175" s="30" t="s">
        <v>394</v>
      </c>
      <c r="D175" s="41"/>
      <c r="E175" s="270"/>
      <c r="F175" s="270"/>
      <c r="G175" s="270"/>
      <c r="H175" s="28"/>
      <c r="I175" s="283"/>
      <c r="J175" s="283"/>
      <c r="K175" s="283"/>
      <c r="L175" s="280"/>
      <c r="M175" s="285">
        <f>E175*I175</f>
        <v>0</v>
      </c>
      <c r="N175" s="285">
        <f t="shared" ref="N175" si="35">F175*J175</f>
        <v>0</v>
      </c>
      <c r="O175" s="285">
        <f>G175*K175</f>
        <v>0</v>
      </c>
    </row>
    <row r="176" spans="1:15" ht="14.25" x14ac:dyDescent="0.2">
      <c r="B176" s="271"/>
      <c r="C176" s="274" t="s">
        <v>388</v>
      </c>
      <c r="D176" s="272"/>
      <c r="E176" s="61"/>
      <c r="F176" s="61"/>
      <c r="G176" s="61"/>
      <c r="H176" s="61"/>
      <c r="I176" s="284"/>
      <c r="J176" s="284"/>
      <c r="K176" s="284"/>
      <c r="L176" s="284"/>
      <c r="M176" s="298">
        <f>SUM(M177:M177)</f>
        <v>0</v>
      </c>
      <c r="N176" s="298">
        <f>SUM(N177:N177)</f>
        <v>0</v>
      </c>
      <c r="O176" s="298">
        <f>SUM(O177:O177)</f>
        <v>0</v>
      </c>
    </row>
    <row r="177" spans="1:16" ht="14.25" x14ac:dyDescent="0.2">
      <c r="B177" s="253"/>
      <c r="C177" s="30" t="s">
        <v>394</v>
      </c>
      <c r="D177" s="41"/>
      <c r="E177" s="270"/>
      <c r="F177" s="270"/>
      <c r="G177" s="270"/>
      <c r="H177" s="28"/>
      <c r="I177" s="283"/>
      <c r="J177" s="283"/>
      <c r="K177" s="283"/>
      <c r="L177" s="280"/>
      <c r="M177" s="285">
        <f>E177*I177</f>
        <v>0</v>
      </c>
      <c r="N177" s="285">
        <f t="shared" ref="N177" si="36">F177*J177</f>
        <v>0</v>
      </c>
      <c r="O177" s="285">
        <f>G177*K177</f>
        <v>0</v>
      </c>
    </row>
    <row r="178" spans="1:16" ht="14.25" x14ac:dyDescent="0.2">
      <c r="B178" s="273"/>
      <c r="C178" s="3"/>
      <c r="D178" s="3"/>
      <c r="E178" s="3"/>
      <c r="I178" s="278"/>
      <c r="J178" s="278"/>
      <c r="K178" s="278"/>
      <c r="L178" s="278"/>
      <c r="M178" s="278"/>
      <c r="N178" s="278"/>
      <c r="O178" s="278"/>
    </row>
    <row r="179" spans="1:16" ht="15.75" thickBot="1" x14ac:dyDescent="0.3">
      <c r="A179" s="246"/>
      <c r="B179" s="273"/>
      <c r="C179" s="3"/>
      <c r="D179" s="3"/>
      <c r="E179" s="3"/>
      <c r="I179" s="278"/>
      <c r="J179" s="278"/>
      <c r="K179" s="278"/>
      <c r="L179" s="286" t="s">
        <v>390</v>
      </c>
      <c r="M179" s="287">
        <f>SUM(M152:M172)/2</f>
        <v>0</v>
      </c>
      <c r="N179" s="287">
        <f>SUM(N152:N172)/2</f>
        <v>0</v>
      </c>
      <c r="O179" s="287">
        <f>SUM(O152:O172)/2</f>
        <v>0</v>
      </c>
    </row>
    <row r="180" spans="1:16" ht="16.5" thickTop="1" thickBot="1" x14ac:dyDescent="0.3">
      <c r="B180" s="273"/>
      <c r="C180" s="3"/>
      <c r="D180" s="3"/>
      <c r="E180" s="3"/>
      <c r="I180" s="278"/>
      <c r="J180" s="278"/>
      <c r="K180" s="278"/>
      <c r="L180" s="286" t="s">
        <v>389</v>
      </c>
      <c r="M180" s="287">
        <f>SUM(M174:M177)/2</f>
        <v>0</v>
      </c>
      <c r="N180" s="287">
        <f>SUM(N174:N177)/2</f>
        <v>0</v>
      </c>
      <c r="O180" s="287">
        <f>SUM(O174:O177)/2</f>
        <v>0</v>
      </c>
    </row>
    <row r="181" spans="1:16" ht="15.75" thickTop="1" x14ac:dyDescent="0.25">
      <c r="B181" s="3"/>
      <c r="F181"/>
    </row>
    <row r="182" spans="1:16" x14ac:dyDescent="0.25">
      <c r="B182" s="3"/>
      <c r="F182"/>
    </row>
    <row r="183" spans="1:16" x14ac:dyDescent="0.25">
      <c r="B183" s="3"/>
      <c r="F183"/>
    </row>
    <row r="184" spans="1:16" x14ac:dyDescent="0.25">
      <c r="B184" s="3"/>
      <c r="F184"/>
    </row>
    <row r="185" spans="1:16" hidden="1" x14ac:dyDescent="0.25">
      <c r="B185" s="3"/>
      <c r="F185"/>
    </row>
    <row r="186" spans="1:16" s="28" customFormat="1" ht="15.75" x14ac:dyDescent="0.25">
      <c r="A186" s="263"/>
      <c r="B186" s="315"/>
      <c r="C186" s="316">
        <f>B107</f>
        <v>0</v>
      </c>
      <c r="D186" s="315"/>
      <c r="E186" s="315"/>
      <c r="F186" s="315"/>
      <c r="G186" s="315"/>
      <c r="H186" s="317"/>
      <c r="I186" s="318"/>
      <c r="J186" s="318"/>
      <c r="K186" s="318"/>
      <c r="L186" s="318"/>
      <c r="M186" s="318"/>
      <c r="N186" s="318"/>
      <c r="O186" s="318"/>
      <c r="P186" s="254"/>
    </row>
    <row r="187" spans="1:16" ht="15.75" x14ac:dyDescent="0.25">
      <c r="A187" s="246"/>
      <c r="B187" s="303" t="s">
        <v>346</v>
      </c>
      <c r="C187" s="304" t="s">
        <v>369</v>
      </c>
      <c r="D187" s="305" t="s">
        <v>370</v>
      </c>
      <c r="E187" s="306"/>
      <c r="F187" s="306" t="s">
        <v>392</v>
      </c>
      <c r="G187" s="306"/>
      <c r="H187" s="306"/>
      <c r="I187" s="307"/>
      <c r="J187" s="307" t="s">
        <v>391</v>
      </c>
      <c r="K187" s="307"/>
      <c r="L187" s="279"/>
      <c r="M187" s="307"/>
      <c r="N187" s="307" t="s">
        <v>369</v>
      </c>
      <c r="O187" s="307"/>
    </row>
    <row r="188" spans="1:16" ht="15.75" x14ac:dyDescent="0.25">
      <c r="A188" s="246"/>
      <c r="B188" s="266"/>
      <c r="C188" s="264"/>
      <c r="D188" s="266"/>
      <c r="E188" s="267" t="s">
        <v>371</v>
      </c>
      <c r="F188" s="267" t="s">
        <v>372</v>
      </c>
      <c r="G188" s="267" t="s">
        <v>373</v>
      </c>
      <c r="I188" s="281" t="s">
        <v>371</v>
      </c>
      <c r="J188" s="281" t="s">
        <v>372</v>
      </c>
      <c r="K188" s="281" t="s">
        <v>373</v>
      </c>
      <c r="L188" s="278"/>
      <c r="M188" s="293" t="s">
        <v>371</v>
      </c>
      <c r="N188" s="293" t="s">
        <v>372</v>
      </c>
      <c r="O188" s="293" t="s">
        <v>373</v>
      </c>
      <c r="P188" s="254"/>
    </row>
    <row r="189" spans="1:16" ht="14.25" x14ac:dyDescent="0.2">
      <c r="A189" s="246"/>
      <c r="B189" s="275"/>
      <c r="C189" s="276" t="s">
        <v>374</v>
      </c>
      <c r="D189" s="277"/>
      <c r="E189" s="57"/>
      <c r="F189" s="57"/>
      <c r="G189" s="57"/>
      <c r="H189" s="57"/>
      <c r="I189" s="282"/>
      <c r="J189" s="282"/>
      <c r="K189" s="282"/>
      <c r="L189" s="282"/>
      <c r="M189" s="294">
        <f>SUM(M190:M190)</f>
        <v>0</v>
      </c>
      <c r="N189" s="294">
        <f>SUM(N190:N190)</f>
        <v>0</v>
      </c>
      <c r="O189" s="294">
        <f>SUM(O190:O190)</f>
        <v>0</v>
      </c>
    </row>
    <row r="190" spans="1:16" ht="14.25" x14ac:dyDescent="0.2">
      <c r="A190" s="246"/>
      <c r="B190" s="253"/>
      <c r="C190" s="30" t="s">
        <v>394</v>
      </c>
      <c r="D190" s="41"/>
      <c r="E190" s="270"/>
      <c r="F190" s="270"/>
      <c r="G190" s="270"/>
      <c r="H190" s="28"/>
      <c r="I190" s="283"/>
      <c r="J190" s="283"/>
      <c r="K190" s="283"/>
      <c r="L190" s="280"/>
      <c r="M190" s="295">
        <f>E190*I190</f>
        <v>0</v>
      </c>
      <c r="N190" s="295">
        <f t="shared" ref="N190" si="37">F190*J190</f>
        <v>0</v>
      </c>
      <c r="O190" s="295">
        <f t="shared" ref="O190" si="38">G190*K190</f>
        <v>0</v>
      </c>
    </row>
    <row r="191" spans="1:16" ht="14.25" x14ac:dyDescent="0.2">
      <c r="A191" s="246"/>
      <c r="B191" s="275"/>
      <c r="C191" s="276" t="s">
        <v>378</v>
      </c>
      <c r="D191" s="277"/>
      <c r="E191" s="57"/>
      <c r="F191" s="57"/>
      <c r="G191" s="57"/>
      <c r="H191" s="57"/>
      <c r="I191" s="282"/>
      <c r="J191" s="282"/>
      <c r="K191" s="282"/>
      <c r="L191" s="282"/>
      <c r="M191" s="296"/>
      <c r="N191" s="296"/>
      <c r="O191" s="296"/>
    </row>
    <row r="192" spans="1:16" ht="14.25" x14ac:dyDescent="0.2">
      <c r="A192" s="246"/>
      <c r="B192" s="268"/>
      <c r="C192" s="274" t="s">
        <v>375</v>
      </c>
      <c r="D192" s="269"/>
      <c r="E192" s="61"/>
      <c r="F192" s="61"/>
      <c r="G192" s="61"/>
      <c r="H192" s="61"/>
      <c r="I192" s="284"/>
      <c r="J192" s="284"/>
      <c r="K192" s="284"/>
      <c r="L192" s="284"/>
      <c r="M192" s="298">
        <f>SUM(M193:M193)</f>
        <v>0</v>
      </c>
      <c r="N192" s="298">
        <f>SUM(N193:N193)</f>
        <v>0</v>
      </c>
      <c r="O192" s="298">
        <f>SUM(O193:O193)</f>
        <v>0</v>
      </c>
    </row>
    <row r="193" spans="1:15" ht="14.25" x14ac:dyDescent="0.2">
      <c r="B193" s="253"/>
      <c r="C193" s="30" t="s">
        <v>394</v>
      </c>
      <c r="D193" s="41"/>
      <c r="E193" s="270"/>
      <c r="F193" s="270"/>
      <c r="G193" s="270"/>
      <c r="H193" s="28"/>
      <c r="I193" s="283"/>
      <c r="J193" s="283"/>
      <c r="K193" s="283"/>
      <c r="L193" s="280"/>
      <c r="M193" s="285">
        <f>E193*I193</f>
        <v>0</v>
      </c>
      <c r="N193" s="285">
        <f t="shared" ref="N193" si="39">F193*J193</f>
        <v>0</v>
      </c>
      <c r="O193" s="285">
        <f t="shared" ref="O193" si="40">G193*K193</f>
        <v>0</v>
      </c>
    </row>
    <row r="194" spans="1:15" ht="14.25" x14ac:dyDescent="0.2">
      <c r="B194" s="268"/>
      <c r="C194" s="274" t="s">
        <v>376</v>
      </c>
      <c r="D194" s="269"/>
      <c r="E194" s="61"/>
      <c r="F194" s="61"/>
      <c r="G194" s="61"/>
      <c r="H194" s="61"/>
      <c r="I194" s="284"/>
      <c r="J194" s="284"/>
      <c r="K194" s="284"/>
      <c r="L194" s="284"/>
      <c r="M194" s="298">
        <f>SUM(M195:M195)</f>
        <v>0</v>
      </c>
      <c r="N194" s="298">
        <f>SUM(N195:N195)</f>
        <v>0</v>
      </c>
      <c r="O194" s="298">
        <f>SUM(O195:O195)</f>
        <v>0</v>
      </c>
    </row>
    <row r="195" spans="1:15" ht="14.25" x14ac:dyDescent="0.2">
      <c r="B195" s="253"/>
      <c r="C195" s="30" t="s">
        <v>394</v>
      </c>
      <c r="D195" s="41"/>
      <c r="E195" s="270"/>
      <c r="F195" s="270"/>
      <c r="G195" s="270"/>
      <c r="H195" s="28"/>
      <c r="I195" s="283"/>
      <c r="J195" s="283"/>
      <c r="K195" s="283"/>
      <c r="L195" s="280"/>
      <c r="M195" s="285">
        <f>E195*I195</f>
        <v>0</v>
      </c>
      <c r="N195" s="285">
        <f t="shared" ref="N195" si="41">F195*J195</f>
        <v>0</v>
      </c>
      <c r="O195" s="285">
        <f>G195*K195</f>
        <v>0</v>
      </c>
    </row>
    <row r="196" spans="1:15" ht="14.25" x14ac:dyDescent="0.2">
      <c r="B196" s="268"/>
      <c r="C196" s="274" t="s">
        <v>379</v>
      </c>
      <c r="D196" s="269"/>
      <c r="E196" s="61"/>
      <c r="F196" s="61"/>
      <c r="G196" s="61"/>
      <c r="H196" s="61"/>
      <c r="I196" s="284"/>
      <c r="J196" s="284"/>
      <c r="K196" s="284"/>
      <c r="L196" s="284"/>
      <c r="M196" s="298">
        <f>SUM(M197:M197)</f>
        <v>0</v>
      </c>
      <c r="N196" s="298">
        <f>SUM(N197:N197)</f>
        <v>0</v>
      </c>
      <c r="O196" s="298">
        <f>SUM(O197:O197)</f>
        <v>0</v>
      </c>
    </row>
    <row r="197" spans="1:15" ht="14.25" x14ac:dyDescent="0.2">
      <c r="B197" s="253"/>
      <c r="C197" s="30" t="s">
        <v>394</v>
      </c>
      <c r="D197" s="41"/>
      <c r="E197" s="270"/>
      <c r="F197" s="270"/>
      <c r="G197" s="270"/>
      <c r="H197" s="28"/>
      <c r="I197" s="283"/>
      <c r="J197" s="283"/>
      <c r="K197" s="283"/>
      <c r="L197" s="280"/>
      <c r="M197" s="285">
        <f>E197*I197</f>
        <v>0</v>
      </c>
      <c r="N197" s="285">
        <f t="shared" ref="N197" si="42">F197*J197</f>
        <v>0</v>
      </c>
      <c r="O197" s="285">
        <f>G197*K197</f>
        <v>0</v>
      </c>
    </row>
    <row r="198" spans="1:15" ht="14.25" x14ac:dyDescent="0.2">
      <c r="B198" s="271"/>
      <c r="C198" s="274" t="s">
        <v>380</v>
      </c>
      <c r="D198" s="272"/>
      <c r="E198" s="61"/>
      <c r="F198" s="61"/>
      <c r="G198" s="61"/>
      <c r="H198" s="61"/>
      <c r="I198" s="284"/>
      <c r="J198" s="284"/>
      <c r="K198" s="284"/>
      <c r="L198" s="284"/>
      <c r="M198" s="298">
        <f>SUM(M199:M199)</f>
        <v>0</v>
      </c>
      <c r="N198" s="298">
        <f>SUM(N199:N199)</f>
        <v>0</v>
      </c>
      <c r="O198" s="298">
        <f>SUM(O199:O199)</f>
        <v>0</v>
      </c>
    </row>
    <row r="199" spans="1:15" ht="14.25" x14ac:dyDescent="0.2">
      <c r="B199" s="253"/>
      <c r="C199" s="30" t="s">
        <v>394</v>
      </c>
      <c r="D199" s="41"/>
      <c r="E199" s="270"/>
      <c r="F199" s="270"/>
      <c r="G199" s="270"/>
      <c r="H199" s="28"/>
      <c r="I199" s="283"/>
      <c r="J199" s="283"/>
      <c r="K199" s="283"/>
      <c r="L199" s="280"/>
      <c r="M199" s="285">
        <f>E199*I199</f>
        <v>0</v>
      </c>
      <c r="N199" s="285">
        <f t="shared" ref="N199" si="43">F199*J199</f>
        <v>0</v>
      </c>
      <c r="O199" s="285">
        <f>G199*K199</f>
        <v>0</v>
      </c>
    </row>
    <row r="200" spans="1:15" ht="14.25" x14ac:dyDescent="0.2">
      <c r="B200" s="271"/>
      <c r="C200" s="274" t="s">
        <v>381</v>
      </c>
      <c r="D200" s="272"/>
      <c r="E200" s="61"/>
      <c r="F200" s="61"/>
      <c r="G200" s="61"/>
      <c r="H200" s="61"/>
      <c r="I200" s="284"/>
      <c r="J200" s="284"/>
      <c r="K200" s="284"/>
      <c r="L200" s="284"/>
      <c r="M200" s="298">
        <f>SUM(M201:M201)</f>
        <v>0</v>
      </c>
      <c r="N200" s="298">
        <f>SUM(N201:N201)</f>
        <v>0</v>
      </c>
      <c r="O200" s="298">
        <f>SUM(O201:O201)</f>
        <v>0</v>
      </c>
    </row>
    <row r="201" spans="1:15" ht="14.25" x14ac:dyDescent="0.2">
      <c r="B201" s="253"/>
      <c r="C201" s="30" t="s">
        <v>394</v>
      </c>
      <c r="D201" s="41"/>
      <c r="E201" s="270"/>
      <c r="F201" s="270"/>
      <c r="G201" s="270"/>
      <c r="H201" s="28"/>
      <c r="I201" s="283"/>
      <c r="J201" s="283"/>
      <c r="K201" s="283"/>
      <c r="L201" s="280"/>
      <c r="M201" s="285">
        <f>E201*I201</f>
        <v>0</v>
      </c>
      <c r="N201" s="285">
        <f>F201*J201</f>
        <v>0</v>
      </c>
      <c r="O201" s="285">
        <f>G201*K201</f>
        <v>0</v>
      </c>
    </row>
    <row r="202" spans="1:15" ht="14.25" x14ac:dyDescent="0.2">
      <c r="B202" s="268"/>
      <c r="C202" s="274" t="s">
        <v>377</v>
      </c>
      <c r="D202" s="269"/>
      <c r="E202" s="61"/>
      <c r="F202" s="61"/>
      <c r="G202" s="61"/>
      <c r="H202" s="61"/>
      <c r="I202" s="284"/>
      <c r="J202" s="284"/>
      <c r="K202" s="284"/>
      <c r="L202" s="284"/>
      <c r="M202" s="298">
        <f>SUM(M203:M203)</f>
        <v>0</v>
      </c>
      <c r="N202" s="298">
        <f>SUM(N203:N203)</f>
        <v>0</v>
      </c>
      <c r="O202" s="298">
        <f>SUM(O203:O203)</f>
        <v>0</v>
      </c>
    </row>
    <row r="203" spans="1:15" ht="14.25" x14ac:dyDescent="0.2">
      <c r="B203" s="253"/>
      <c r="C203" s="30" t="s">
        <v>394</v>
      </c>
      <c r="D203" s="41"/>
      <c r="E203" s="270"/>
      <c r="F203" s="270"/>
      <c r="G203" s="270"/>
      <c r="H203" s="28"/>
      <c r="I203" s="283"/>
      <c r="J203" s="283"/>
      <c r="K203" s="283"/>
      <c r="L203" s="280"/>
      <c r="M203" s="285">
        <f>E203*I203</f>
        <v>0</v>
      </c>
      <c r="N203" s="285">
        <f t="shared" ref="N203" si="44">F203*J203</f>
        <v>0</v>
      </c>
      <c r="O203" s="285">
        <f>G203*K203</f>
        <v>0</v>
      </c>
    </row>
    <row r="204" spans="1:15" ht="14.25" x14ac:dyDescent="0.2">
      <c r="B204" s="268"/>
      <c r="C204" s="274" t="s">
        <v>382</v>
      </c>
      <c r="D204" s="269"/>
      <c r="E204" s="61"/>
      <c r="F204" s="61"/>
      <c r="G204" s="61"/>
      <c r="H204" s="61"/>
      <c r="I204" s="284"/>
      <c r="J204" s="284"/>
      <c r="K204" s="284"/>
      <c r="L204" s="284"/>
      <c r="M204" s="298">
        <f>SUM(M205:M205)</f>
        <v>0</v>
      </c>
      <c r="N204" s="298">
        <f>SUM(N205:N205)</f>
        <v>0</v>
      </c>
      <c r="O204" s="298">
        <f>SUM(O205:O205)</f>
        <v>0</v>
      </c>
    </row>
    <row r="205" spans="1:15" ht="14.25" x14ac:dyDescent="0.2">
      <c r="B205" s="253"/>
      <c r="C205" s="30" t="s">
        <v>394</v>
      </c>
      <c r="D205" s="41"/>
      <c r="E205" s="270"/>
      <c r="F205" s="270"/>
      <c r="G205" s="270"/>
      <c r="H205" s="28"/>
      <c r="I205" s="283"/>
      <c r="J205" s="283"/>
      <c r="K205" s="283"/>
      <c r="L205" s="280"/>
      <c r="M205" s="285">
        <f>E205*I205</f>
        <v>0</v>
      </c>
      <c r="N205" s="285">
        <f t="shared" ref="N205" si="45">F205*J205</f>
        <v>0</v>
      </c>
      <c r="O205" s="285">
        <f>G205*K205</f>
        <v>0</v>
      </c>
    </row>
    <row r="206" spans="1:15" ht="14.25" x14ac:dyDescent="0.2">
      <c r="A206" s="246"/>
      <c r="B206" s="275"/>
      <c r="C206" s="276" t="s">
        <v>383</v>
      </c>
      <c r="D206" s="277"/>
      <c r="E206" s="57"/>
      <c r="F206" s="57"/>
      <c r="G206" s="57"/>
      <c r="H206" s="57"/>
      <c r="I206" s="282"/>
      <c r="J206" s="282"/>
      <c r="K206" s="282"/>
      <c r="L206" s="282"/>
      <c r="M206" s="296"/>
      <c r="N206" s="296"/>
      <c r="O206" s="296"/>
    </row>
    <row r="207" spans="1:15" ht="14.25" x14ac:dyDescent="0.2">
      <c r="B207" s="271"/>
      <c r="C207" s="274" t="s">
        <v>384</v>
      </c>
      <c r="D207" s="272"/>
      <c r="E207" s="61"/>
      <c r="F207" s="61"/>
      <c r="G207" s="61"/>
      <c r="H207" s="61"/>
      <c r="I207" s="284"/>
      <c r="J207" s="284"/>
      <c r="K207" s="284"/>
      <c r="L207" s="284"/>
      <c r="M207" s="298">
        <f>SUM(M208:M208)</f>
        <v>0</v>
      </c>
      <c r="N207" s="298">
        <f>SUM(N208:N208)</f>
        <v>0</v>
      </c>
      <c r="O207" s="298">
        <f>SUM(O208:O208)</f>
        <v>0</v>
      </c>
    </row>
    <row r="208" spans="1:15" ht="14.25" x14ac:dyDescent="0.2">
      <c r="B208" s="253"/>
      <c r="C208" s="30" t="s">
        <v>394</v>
      </c>
      <c r="D208" s="41"/>
      <c r="E208" s="270"/>
      <c r="F208" s="270"/>
      <c r="G208" s="270"/>
      <c r="H208" s="28"/>
      <c r="I208" s="283"/>
      <c r="J208" s="283"/>
      <c r="K208" s="283"/>
      <c r="L208" s="280"/>
      <c r="M208" s="285">
        <f>E208*I208</f>
        <v>0</v>
      </c>
      <c r="N208" s="285">
        <f t="shared" ref="N208" si="46">F208*J208</f>
        <v>0</v>
      </c>
      <c r="O208" s="285">
        <f>G208*K208</f>
        <v>0</v>
      </c>
    </row>
    <row r="209" spans="1:15" ht="14.25" x14ac:dyDescent="0.2">
      <c r="B209" s="271"/>
      <c r="C209" s="274" t="s">
        <v>385</v>
      </c>
      <c r="D209" s="272"/>
      <c r="E209" s="61"/>
      <c r="F209" s="61"/>
      <c r="G209" s="61"/>
      <c r="H209" s="61"/>
      <c r="I209" s="284"/>
      <c r="J209" s="284"/>
      <c r="K209" s="284"/>
      <c r="L209" s="284"/>
      <c r="M209" s="298">
        <f>SUM(M210:M210)</f>
        <v>0</v>
      </c>
      <c r="N209" s="298">
        <f>SUM(N210:N210)</f>
        <v>0</v>
      </c>
      <c r="O209" s="298">
        <f>SUM(O210:O210)</f>
        <v>0</v>
      </c>
    </row>
    <row r="210" spans="1:15" ht="14.25" x14ac:dyDescent="0.2">
      <c r="B210" s="253"/>
      <c r="C210" s="30" t="s">
        <v>394</v>
      </c>
      <c r="D210" s="41"/>
      <c r="E210" s="270"/>
      <c r="F210" s="270"/>
      <c r="G210" s="270"/>
      <c r="H210" s="28"/>
      <c r="I210" s="283"/>
      <c r="J210" s="283"/>
      <c r="K210" s="283"/>
      <c r="L210" s="280"/>
      <c r="M210" s="285">
        <f>E210*I210</f>
        <v>0</v>
      </c>
      <c r="N210" s="285">
        <f t="shared" ref="N210" si="47">F210*J210</f>
        <v>0</v>
      </c>
      <c r="O210" s="285">
        <f>G210*K210</f>
        <v>0</v>
      </c>
    </row>
    <row r="211" spans="1:15" ht="14.25" x14ac:dyDescent="0.2">
      <c r="A211" s="246"/>
      <c r="B211" s="288"/>
      <c r="C211" s="289" t="s">
        <v>386</v>
      </c>
      <c r="D211" s="290"/>
      <c r="E211" s="291"/>
      <c r="F211" s="291"/>
      <c r="G211" s="291"/>
      <c r="H211" s="291"/>
      <c r="I211" s="292"/>
      <c r="J211" s="292"/>
      <c r="K211" s="292"/>
      <c r="L211" s="292"/>
      <c r="M211" s="297"/>
      <c r="N211" s="297"/>
      <c r="O211" s="297"/>
    </row>
    <row r="212" spans="1:15" ht="14.25" x14ac:dyDescent="0.2">
      <c r="B212" s="271"/>
      <c r="C212" s="274" t="s">
        <v>387</v>
      </c>
      <c r="D212" s="272"/>
      <c r="E212" s="61"/>
      <c r="F212" s="61"/>
      <c r="G212" s="61"/>
      <c r="H212" s="61"/>
      <c r="I212" s="284"/>
      <c r="J212" s="284"/>
      <c r="K212" s="284"/>
      <c r="L212" s="284"/>
      <c r="M212" s="298">
        <f>SUM(M213:M213)</f>
        <v>0</v>
      </c>
      <c r="N212" s="298">
        <f>SUM(N213:N213)</f>
        <v>0</v>
      </c>
      <c r="O212" s="298">
        <f>SUM(O213:O213)</f>
        <v>0</v>
      </c>
    </row>
    <row r="213" spans="1:15" ht="14.25" x14ac:dyDescent="0.2">
      <c r="B213" s="253"/>
      <c r="C213" s="30" t="s">
        <v>394</v>
      </c>
      <c r="D213" s="41"/>
      <c r="E213" s="270"/>
      <c r="F213" s="270"/>
      <c r="G213" s="270"/>
      <c r="H213" s="28"/>
      <c r="I213" s="283"/>
      <c r="J213" s="283"/>
      <c r="K213" s="283"/>
      <c r="L213" s="280"/>
      <c r="M213" s="285">
        <f>E213*I213</f>
        <v>0</v>
      </c>
      <c r="N213" s="285">
        <f t="shared" ref="N213" si="48">F213*J213</f>
        <v>0</v>
      </c>
      <c r="O213" s="285">
        <f>G213*K213</f>
        <v>0</v>
      </c>
    </row>
    <row r="214" spans="1:15" ht="14.25" x14ac:dyDescent="0.2">
      <c r="B214" s="271"/>
      <c r="C214" s="274" t="s">
        <v>388</v>
      </c>
      <c r="D214" s="272"/>
      <c r="E214" s="61"/>
      <c r="F214" s="61"/>
      <c r="G214" s="61"/>
      <c r="H214" s="61"/>
      <c r="I214" s="284"/>
      <c r="J214" s="284"/>
      <c r="K214" s="284"/>
      <c r="L214" s="284"/>
      <c r="M214" s="298">
        <f>SUM(M215:M215)</f>
        <v>0</v>
      </c>
      <c r="N214" s="298">
        <f>SUM(N215:N215)</f>
        <v>0</v>
      </c>
      <c r="O214" s="298">
        <f>SUM(O215:O215)</f>
        <v>0</v>
      </c>
    </row>
    <row r="215" spans="1:15" ht="14.25" x14ac:dyDescent="0.2">
      <c r="B215" s="253"/>
      <c r="C215" s="30" t="s">
        <v>394</v>
      </c>
      <c r="D215" s="41"/>
      <c r="E215" s="270"/>
      <c r="F215" s="270"/>
      <c r="G215" s="270"/>
      <c r="H215" s="28"/>
      <c r="I215" s="283"/>
      <c r="J215" s="283"/>
      <c r="K215" s="283"/>
      <c r="L215" s="280"/>
      <c r="M215" s="285">
        <f>E215*I215</f>
        <v>0</v>
      </c>
      <c r="N215" s="285">
        <f t="shared" ref="N215" si="49">F215*J215</f>
        <v>0</v>
      </c>
      <c r="O215" s="285">
        <f>G215*K215</f>
        <v>0</v>
      </c>
    </row>
    <row r="216" spans="1:15" ht="14.25" x14ac:dyDescent="0.2">
      <c r="B216" s="273"/>
      <c r="C216" s="3"/>
      <c r="D216" s="3"/>
      <c r="E216" s="3"/>
      <c r="I216" s="278"/>
      <c r="J216" s="278"/>
      <c r="K216" s="278"/>
      <c r="L216" s="278"/>
      <c r="M216" s="278"/>
      <c r="N216" s="278"/>
      <c r="O216" s="278"/>
    </row>
    <row r="217" spans="1:15" ht="15.75" thickBot="1" x14ac:dyDescent="0.3">
      <c r="A217" s="246"/>
      <c r="B217" s="273"/>
      <c r="C217" s="3"/>
      <c r="D217" s="3"/>
      <c r="E217" s="3"/>
      <c r="I217" s="278"/>
      <c r="J217" s="278"/>
      <c r="K217" s="278"/>
      <c r="L217" s="286" t="s">
        <v>390</v>
      </c>
      <c r="M217" s="287">
        <f>SUM(M190:M210)/2</f>
        <v>0</v>
      </c>
      <c r="N217" s="287">
        <f>SUM(N190:N210)/2</f>
        <v>0</v>
      </c>
      <c r="O217" s="287">
        <f>SUM(O190:O210)/2</f>
        <v>0</v>
      </c>
    </row>
    <row r="218" spans="1:15" ht="16.5" thickTop="1" thickBot="1" x14ac:dyDescent="0.3">
      <c r="B218" s="273"/>
      <c r="C218" s="3"/>
      <c r="D218" s="3"/>
      <c r="E218" s="3"/>
      <c r="I218" s="278"/>
      <c r="J218" s="278"/>
      <c r="K218" s="278"/>
      <c r="L218" s="286" t="s">
        <v>389</v>
      </c>
      <c r="M218" s="287">
        <f>SUM(M212:M215)/2</f>
        <v>0</v>
      </c>
      <c r="N218" s="287">
        <f>SUM(N212:N215)/2</f>
        <v>0</v>
      </c>
      <c r="O218" s="287">
        <f>SUM(O212:O215)/2</f>
        <v>0</v>
      </c>
    </row>
    <row r="219" spans="1:15" ht="15.75" thickTop="1" x14ac:dyDescent="0.25">
      <c r="B219" s="3"/>
      <c r="F219"/>
    </row>
    <row r="220" spans="1:15" x14ac:dyDescent="0.25">
      <c r="B220" s="3"/>
      <c r="F220"/>
    </row>
    <row r="221" spans="1:15" x14ac:dyDescent="0.25">
      <c r="B221" s="3"/>
      <c r="F221"/>
    </row>
    <row r="222" spans="1:15" x14ac:dyDescent="0.25">
      <c r="B222" s="3"/>
      <c r="F222"/>
    </row>
    <row r="223" spans="1:15" x14ac:dyDescent="0.25">
      <c r="B223" s="3"/>
      <c r="F223"/>
    </row>
    <row r="224" spans="1:15" x14ac:dyDescent="0.25">
      <c r="B224" s="3"/>
      <c r="F224"/>
    </row>
    <row r="225" spans="2:6" x14ac:dyDescent="0.25">
      <c r="B225" s="3"/>
      <c r="F225"/>
    </row>
    <row r="226" spans="2:6" x14ac:dyDescent="0.25">
      <c r="B226" s="3"/>
      <c r="F226"/>
    </row>
    <row r="227" spans="2:6" x14ac:dyDescent="0.25">
      <c r="B227" s="3"/>
      <c r="F227"/>
    </row>
    <row r="228" spans="2:6" x14ac:dyDescent="0.25">
      <c r="B228" s="3"/>
      <c r="F228"/>
    </row>
    <row r="229" spans="2:6" x14ac:dyDescent="0.25">
      <c r="B229" s="3"/>
      <c r="F229"/>
    </row>
    <row r="230" spans="2:6" x14ac:dyDescent="0.25">
      <c r="B230" s="3"/>
      <c r="F230"/>
    </row>
    <row r="231" spans="2:6" x14ac:dyDescent="0.25">
      <c r="B231" s="3"/>
      <c r="F231"/>
    </row>
    <row r="232" spans="2:6" x14ac:dyDescent="0.25">
      <c r="B232" s="3"/>
      <c r="F232"/>
    </row>
    <row r="233" spans="2:6" x14ac:dyDescent="0.25">
      <c r="B233" s="3"/>
      <c r="F233"/>
    </row>
    <row r="234" spans="2:6" x14ac:dyDescent="0.25">
      <c r="B234" s="3"/>
      <c r="F234"/>
    </row>
    <row r="235" spans="2:6" x14ac:dyDescent="0.25">
      <c r="B235" s="3"/>
      <c r="F235"/>
    </row>
    <row r="236" spans="2:6" x14ac:dyDescent="0.25">
      <c r="B236" s="3"/>
      <c r="F236"/>
    </row>
    <row r="237" spans="2:6" x14ac:dyDescent="0.25">
      <c r="B237" s="3"/>
      <c r="F237"/>
    </row>
    <row r="238" spans="2:6" x14ac:dyDescent="0.25">
      <c r="B238" s="3"/>
      <c r="F238"/>
    </row>
    <row r="239" spans="2:6" x14ac:dyDescent="0.25">
      <c r="B239" s="3"/>
      <c r="F239"/>
    </row>
    <row r="240" spans="2:6" x14ac:dyDescent="0.25">
      <c r="B240" s="3"/>
      <c r="F240"/>
    </row>
    <row r="241" spans="2:6" x14ac:dyDescent="0.25">
      <c r="B241" s="3"/>
      <c r="F241"/>
    </row>
    <row r="242" spans="2:6" x14ac:dyDescent="0.25">
      <c r="B242" s="3"/>
      <c r="F242"/>
    </row>
    <row r="243" spans="2:6" x14ac:dyDescent="0.25">
      <c r="B243" s="3"/>
      <c r="F243"/>
    </row>
    <row r="244" spans="2:6" x14ac:dyDescent="0.25">
      <c r="B244" s="3"/>
      <c r="F244"/>
    </row>
    <row r="245" spans="2:6" x14ac:dyDescent="0.25">
      <c r="B245" s="3"/>
      <c r="F245"/>
    </row>
    <row r="246" spans="2:6" x14ac:dyDescent="0.25">
      <c r="B246" s="3"/>
      <c r="F246"/>
    </row>
    <row r="247" spans="2:6" x14ac:dyDescent="0.25">
      <c r="B247" s="3"/>
      <c r="F247"/>
    </row>
    <row r="248" spans="2:6" x14ac:dyDescent="0.25">
      <c r="B248" s="3"/>
      <c r="F248"/>
    </row>
    <row r="249" spans="2:6" x14ac:dyDescent="0.25">
      <c r="B249" s="3"/>
      <c r="F249"/>
    </row>
    <row r="250" spans="2:6" x14ac:dyDescent="0.25">
      <c r="B250" s="3"/>
      <c r="F250"/>
    </row>
    <row r="251" spans="2:6" x14ac:dyDescent="0.25">
      <c r="B251" s="3"/>
      <c r="F251"/>
    </row>
    <row r="252" spans="2:6" x14ac:dyDescent="0.25">
      <c r="B252" s="3"/>
      <c r="F252"/>
    </row>
    <row r="253" spans="2:6" x14ac:dyDescent="0.25">
      <c r="B253" s="3"/>
      <c r="F253"/>
    </row>
    <row r="254" spans="2:6" x14ac:dyDescent="0.25">
      <c r="B254" s="3"/>
      <c r="F254"/>
    </row>
    <row r="255" spans="2:6" x14ac:dyDescent="0.25">
      <c r="B255" s="3"/>
      <c r="F255"/>
    </row>
    <row r="256" spans="2:6" x14ac:dyDescent="0.25">
      <c r="B256" s="3"/>
      <c r="F256"/>
    </row>
    <row r="257" spans="2:6" x14ac:dyDescent="0.25">
      <c r="B257" s="3"/>
      <c r="F257"/>
    </row>
    <row r="258" spans="2:6" x14ac:dyDescent="0.25">
      <c r="B258" s="3"/>
      <c r="F258"/>
    </row>
    <row r="259" spans="2:6" x14ac:dyDescent="0.25">
      <c r="B259" s="3"/>
      <c r="F259"/>
    </row>
    <row r="260" spans="2:6" x14ac:dyDescent="0.25">
      <c r="B260" s="3"/>
      <c r="F260"/>
    </row>
    <row r="261" spans="2:6" x14ac:dyDescent="0.25">
      <c r="B261" s="3"/>
      <c r="F261"/>
    </row>
    <row r="262" spans="2:6" x14ac:dyDescent="0.25">
      <c r="B262" s="3"/>
      <c r="F262"/>
    </row>
    <row r="263" spans="2:6" x14ac:dyDescent="0.25">
      <c r="B263" s="3"/>
      <c r="F263"/>
    </row>
    <row r="264" spans="2:6" x14ac:dyDescent="0.25">
      <c r="B264" s="3"/>
      <c r="F264"/>
    </row>
    <row r="265" spans="2:6" x14ac:dyDescent="0.25">
      <c r="B265" s="3"/>
      <c r="F265"/>
    </row>
    <row r="266" spans="2:6" x14ac:dyDescent="0.25">
      <c r="B266" s="3"/>
      <c r="F266"/>
    </row>
    <row r="267" spans="2:6" x14ac:dyDescent="0.25">
      <c r="B267" s="3"/>
      <c r="F267"/>
    </row>
    <row r="268" spans="2:6" x14ac:dyDescent="0.25">
      <c r="B268" s="3"/>
      <c r="F268"/>
    </row>
    <row r="269" spans="2:6" x14ac:dyDescent="0.25">
      <c r="B269" s="3"/>
      <c r="F269"/>
    </row>
    <row r="270" spans="2:6" x14ac:dyDescent="0.25">
      <c r="B270" s="3"/>
      <c r="F270"/>
    </row>
  </sheetData>
  <mergeCells count="3">
    <mergeCell ref="D13:G13"/>
    <mergeCell ref="D15:G15"/>
    <mergeCell ref="D17:O1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242"/>
  <sheetViews>
    <sheetView showGridLines="0" workbookViewId="0">
      <pane ySplit="1" topLeftCell="A2" activePane="bottomLeft" state="frozen"/>
      <selection activeCell="G35" sqref="G35"/>
      <selection pane="bottomLeft" activeCell="G35" sqref="G35"/>
    </sheetView>
  </sheetViews>
  <sheetFormatPr defaultRowHeight="15" x14ac:dyDescent="0.25"/>
  <cols>
    <col min="1" max="1" width="3.28515625" style="3" customWidth="1"/>
    <col min="2" max="2" width="3.85546875" customWidth="1"/>
    <col min="3" max="3" width="41.7109375" customWidth="1"/>
    <col min="4" max="4" width="18" customWidth="1"/>
    <col min="5" max="5" width="12.85546875" customWidth="1"/>
    <col min="6" max="7" width="12.85546875" style="3" customWidth="1"/>
    <col min="8" max="8" width="2.42578125" style="3" customWidth="1"/>
    <col min="9" max="11" width="12.85546875" style="3" customWidth="1"/>
    <col min="12" max="12" width="2.42578125" style="3" customWidth="1"/>
    <col min="13" max="15" width="12.85546875" style="3" customWidth="1"/>
    <col min="16" max="16384" width="9.140625" style="3"/>
  </cols>
  <sheetData>
    <row r="1" spans="1:15" ht="15.75" x14ac:dyDescent="0.25">
      <c r="A1" s="314"/>
      <c r="B1" s="313" t="e">
        <f>'Service Descriptions'!#REF!</f>
        <v>#REF!</v>
      </c>
      <c r="C1" s="192"/>
      <c r="D1" s="192"/>
      <c r="E1" s="192"/>
    </row>
    <row r="2" spans="1:15" ht="15.75" customHeight="1" x14ac:dyDescent="0.25">
      <c r="A2" s="246"/>
      <c r="B2" s="310"/>
      <c r="C2" s="311" t="s">
        <v>395</v>
      </c>
      <c r="D2" s="310"/>
      <c r="E2" s="308"/>
      <c r="F2" s="308"/>
      <c r="G2" s="308"/>
      <c r="H2" s="308"/>
      <c r="I2" s="309"/>
      <c r="J2" s="309"/>
      <c r="K2" s="309"/>
      <c r="L2" s="309"/>
      <c r="M2" s="309"/>
      <c r="N2" s="309"/>
      <c r="O2" s="309"/>
    </row>
    <row r="3" spans="1:15" s="319" customFormat="1" ht="15.75" x14ac:dyDescent="0.25">
      <c r="A3" s="231"/>
      <c r="B3" s="320"/>
      <c r="C3" s="321"/>
      <c r="D3" s="321"/>
      <c r="E3" s="321"/>
    </row>
    <row r="4" spans="1:15" s="319" customFormat="1" ht="15.75" x14ac:dyDescent="0.25">
      <c r="A4" s="231"/>
      <c r="B4" s="320"/>
      <c r="C4" s="321"/>
      <c r="D4" s="321"/>
      <c r="E4" s="321"/>
    </row>
    <row r="5" spans="1:15" s="319" customFormat="1" ht="15.75" x14ac:dyDescent="0.25">
      <c r="A5" s="231"/>
      <c r="B5" s="320"/>
      <c r="C5" s="321"/>
      <c r="D5" s="321"/>
      <c r="E5" s="321"/>
    </row>
    <row r="6" spans="1:15" s="319" customFormat="1" ht="15.75" x14ac:dyDescent="0.25">
      <c r="A6" s="231"/>
      <c r="B6" s="320"/>
      <c r="C6" s="321"/>
      <c r="D6" s="321"/>
      <c r="E6" s="321"/>
    </row>
    <row r="7" spans="1:15" s="319" customFormat="1" ht="15.75" x14ac:dyDescent="0.25">
      <c r="A7" s="231"/>
      <c r="B7" s="320"/>
      <c r="C7" s="321"/>
      <c r="D7" s="321"/>
      <c r="E7" s="321"/>
    </row>
    <row r="8" spans="1:15" s="319" customFormat="1" ht="15.75" x14ac:dyDescent="0.25">
      <c r="A8" s="231"/>
      <c r="B8" s="320"/>
      <c r="C8" s="321"/>
      <c r="D8" s="321"/>
      <c r="E8" s="321"/>
    </row>
    <row r="9" spans="1:15" s="319" customFormat="1" ht="15.75" x14ac:dyDescent="0.25">
      <c r="A9" s="231"/>
      <c r="B9" s="320"/>
      <c r="C9" s="321"/>
      <c r="D9" s="321"/>
      <c r="E9" s="321"/>
    </row>
    <row r="10" spans="1:15" s="319" customFormat="1" ht="15.75" x14ac:dyDescent="0.25">
      <c r="A10" s="231"/>
      <c r="B10" s="320"/>
      <c r="C10" s="321"/>
      <c r="D10" s="321"/>
      <c r="E10" s="321"/>
    </row>
    <row r="11" spans="1:15" ht="15.75" customHeight="1" x14ac:dyDescent="0.25">
      <c r="A11" s="246"/>
      <c r="B11" s="310"/>
      <c r="C11" s="311" t="s">
        <v>396</v>
      </c>
      <c r="D11" s="310"/>
      <c r="E11" s="308"/>
      <c r="F11" s="308"/>
      <c r="G11" s="308"/>
      <c r="H11" s="308"/>
      <c r="I11" s="309"/>
      <c r="J11" s="309"/>
      <c r="K11" s="309"/>
      <c r="L11" s="309"/>
      <c r="M11" s="309"/>
      <c r="N11" s="309"/>
      <c r="O11" s="309"/>
    </row>
    <row r="12" spans="1:15" ht="14.25" x14ac:dyDescent="0.2">
      <c r="A12" s="28"/>
      <c r="B12" s="28"/>
      <c r="C12" s="38" t="s">
        <v>323</v>
      </c>
      <c r="D12" s="50"/>
      <c r="E12" s="50"/>
      <c r="F12" s="50"/>
    </row>
    <row r="13" spans="1:15" ht="14.25" x14ac:dyDescent="0.2">
      <c r="A13" s="28"/>
      <c r="B13" s="28"/>
      <c r="C13" s="30" t="s">
        <v>330</v>
      </c>
      <c r="D13" s="64">
        <f>D27/D31</f>
        <v>0</v>
      </c>
      <c r="E13" s="64">
        <f>E27/E31</f>
        <v>0</v>
      </c>
      <c r="F13" s="64">
        <f>F27/F31</f>
        <v>0</v>
      </c>
    </row>
    <row r="14" spans="1:15" ht="14.25" x14ac:dyDescent="0.2">
      <c r="A14" s="28"/>
      <c r="B14" s="28"/>
      <c r="C14" s="30" t="s">
        <v>331</v>
      </c>
      <c r="D14" s="64">
        <f>D171/D48</f>
        <v>0</v>
      </c>
      <c r="E14" s="64">
        <f>E171/E48</f>
        <v>0</v>
      </c>
      <c r="F14" s="64">
        <f>F171/F48</f>
        <v>0</v>
      </c>
    </row>
    <row r="15" spans="1:15" ht="14.25" x14ac:dyDescent="0.2">
      <c r="A15" s="28"/>
      <c r="B15" s="28"/>
      <c r="C15" s="65" t="s">
        <v>332</v>
      </c>
      <c r="D15" s="63">
        <f>D37/D38</f>
        <v>0</v>
      </c>
      <c r="E15" s="63">
        <f>E37/E38</f>
        <v>0</v>
      </c>
      <c r="F15" s="63">
        <f>F37/F38</f>
        <v>0</v>
      </c>
    </row>
    <row r="16" spans="1:15" ht="14.25" x14ac:dyDescent="0.2">
      <c r="A16" s="28"/>
      <c r="B16" s="28"/>
      <c r="C16" s="38"/>
      <c r="D16" s="50"/>
      <c r="E16" s="50"/>
      <c r="F16" s="50"/>
    </row>
    <row r="17" spans="1:16" s="28" customFormat="1" ht="15.75" customHeight="1" x14ac:dyDescent="0.2">
      <c r="A17" s="255">
        <v>2</v>
      </c>
      <c r="B17" s="256" t="s">
        <v>366</v>
      </c>
      <c r="C17" s="255"/>
      <c r="D17" s="944"/>
      <c r="E17" s="944"/>
      <c r="F17" s="944"/>
      <c r="G17" s="944"/>
      <c r="H17" s="944"/>
      <c r="I17" s="944"/>
      <c r="J17" s="944"/>
      <c r="K17" s="944"/>
      <c r="L17" s="944"/>
      <c r="M17" s="944"/>
      <c r="N17" s="944"/>
      <c r="O17" s="944"/>
      <c r="P17" s="260"/>
    </row>
    <row r="18" spans="1:16" s="28" customFormat="1" ht="15.75" customHeight="1" x14ac:dyDescent="0.2">
      <c r="A18" s="255"/>
      <c r="B18" s="256"/>
      <c r="C18" s="255"/>
      <c r="D18" s="255"/>
      <c r="E18" s="255"/>
      <c r="F18" s="255"/>
      <c r="G18" s="255"/>
      <c r="I18" s="280"/>
      <c r="J18" s="280"/>
      <c r="K18" s="280"/>
      <c r="L18" s="280"/>
      <c r="M18" s="280"/>
      <c r="N18" s="280"/>
      <c r="O18" s="280"/>
      <c r="P18" s="260"/>
    </row>
    <row r="19" spans="1:16" s="28" customFormat="1" ht="15.75" customHeight="1" x14ac:dyDescent="0.2">
      <c r="A19" s="255">
        <v>3</v>
      </c>
      <c r="B19" s="255" t="s">
        <v>366</v>
      </c>
      <c r="C19" s="261"/>
      <c r="D19" s="255"/>
      <c r="E19" s="255"/>
      <c r="F19" s="255"/>
      <c r="G19" s="255"/>
      <c r="I19" s="280"/>
      <c r="J19" s="280"/>
      <c r="K19" s="280"/>
      <c r="L19" s="280"/>
      <c r="M19" s="280"/>
      <c r="N19" s="280"/>
      <c r="O19" s="280"/>
      <c r="P19" s="262"/>
    </row>
    <row r="20" spans="1:16" ht="15.75" customHeight="1" x14ac:dyDescent="0.25">
      <c r="A20" s="246"/>
      <c r="B20" s="299"/>
      <c r="C20" s="300" t="s">
        <v>393</v>
      </c>
      <c r="D20" s="299" t="s">
        <v>365</v>
      </c>
      <c r="E20" s="299" t="s">
        <v>365</v>
      </c>
      <c r="F20" s="301"/>
      <c r="G20" s="301"/>
      <c r="H20" s="301"/>
      <c r="I20" s="302"/>
      <c r="J20" s="302"/>
      <c r="K20" s="302"/>
      <c r="L20" s="302"/>
      <c r="M20" s="302"/>
      <c r="N20" s="302"/>
      <c r="O20" s="302"/>
    </row>
    <row r="21" spans="1:16" ht="14.25" x14ac:dyDescent="0.2">
      <c r="A21" s="226" t="s">
        <v>161</v>
      </c>
      <c r="B21" s="226"/>
      <c r="C21" s="227"/>
      <c r="D21" s="227"/>
      <c r="E21" s="227"/>
      <c r="F21" s="227"/>
    </row>
    <row r="22" spans="1:16" ht="14.25" x14ac:dyDescent="0.2">
      <c r="A22" s="28"/>
      <c r="B22" s="28"/>
      <c r="C22" s="49" t="s">
        <v>307</v>
      </c>
      <c r="D22" s="37"/>
      <c r="E22" s="37"/>
      <c r="F22" s="37"/>
    </row>
    <row r="23" spans="1:16" ht="14.25" x14ac:dyDescent="0.2">
      <c r="A23" s="28"/>
      <c r="B23" s="28"/>
      <c r="C23" s="28" t="s">
        <v>163</v>
      </c>
      <c r="D23" s="46">
        <v>0.15</v>
      </c>
      <c r="E23" s="104">
        <v>0.15</v>
      </c>
      <c r="F23" s="104">
        <v>0.15</v>
      </c>
    </row>
    <row r="24" spans="1:16" ht="14.25" x14ac:dyDescent="0.2">
      <c r="A24" s="28"/>
      <c r="B24" s="28"/>
      <c r="C24" s="28" t="s">
        <v>164</v>
      </c>
      <c r="D24" s="46">
        <v>0.2</v>
      </c>
      <c r="E24" s="104">
        <v>0.2</v>
      </c>
      <c r="F24" s="104">
        <v>0.2</v>
      </c>
    </row>
    <row r="25" spans="1:16" ht="14.25" x14ac:dyDescent="0.2">
      <c r="A25" s="28"/>
      <c r="B25" s="28"/>
      <c r="C25" s="75" t="s">
        <v>165</v>
      </c>
      <c r="D25" s="98">
        <f>1-(D23+D24)</f>
        <v>0.65</v>
      </c>
      <c r="E25" s="98">
        <f t="shared" ref="E25:F25" si="0">1-(E23+E24)</f>
        <v>0.65</v>
      </c>
      <c r="F25" s="98">
        <f t="shared" si="0"/>
        <v>0.65</v>
      </c>
    </row>
    <row r="26" spans="1:16" ht="14.25" x14ac:dyDescent="0.2">
      <c r="A26" s="28"/>
      <c r="B26" s="28"/>
      <c r="C26" s="28" t="s">
        <v>167</v>
      </c>
      <c r="D26" s="47">
        <v>30</v>
      </c>
      <c r="E26" s="93">
        <v>30</v>
      </c>
      <c r="F26" s="93">
        <v>30</v>
      </c>
    </row>
    <row r="27" spans="1:16" ht="14.25" x14ac:dyDescent="0.2">
      <c r="A27" s="28"/>
      <c r="B27" s="28"/>
      <c r="C27" s="88" t="s">
        <v>327</v>
      </c>
      <c r="D27" s="99">
        <f>D157/D26</f>
        <v>0</v>
      </c>
      <c r="E27" s="99">
        <f>E157/E26</f>
        <v>0</v>
      </c>
      <c r="F27" s="99">
        <f>F157/F26</f>
        <v>0</v>
      </c>
    </row>
    <row r="28" spans="1:16" ht="14.25" x14ac:dyDescent="0.2">
      <c r="A28" s="28"/>
      <c r="B28" s="28"/>
      <c r="C28" s="29" t="s">
        <v>302</v>
      </c>
      <c r="D28" s="28"/>
      <c r="E28" s="28"/>
      <c r="F28" s="28"/>
    </row>
    <row r="29" spans="1:16" ht="14.25" x14ac:dyDescent="0.2">
      <c r="A29" s="28"/>
      <c r="B29" s="28"/>
      <c r="C29" s="34" t="s">
        <v>318</v>
      </c>
      <c r="D29" s="220">
        <v>60000</v>
      </c>
      <c r="E29" s="221">
        <v>60000</v>
      </c>
      <c r="F29" s="221">
        <v>60000</v>
      </c>
    </row>
    <row r="30" spans="1:16" ht="14.25" x14ac:dyDescent="0.2">
      <c r="A30" s="28"/>
      <c r="B30" s="28"/>
      <c r="C30" s="35" t="s">
        <v>166</v>
      </c>
      <c r="D30" s="217">
        <v>300000</v>
      </c>
      <c r="E30" s="200">
        <v>300000</v>
      </c>
      <c r="F30" s="200">
        <v>300000</v>
      </c>
    </row>
    <row r="31" spans="1:16" ht="14.25" x14ac:dyDescent="0.2">
      <c r="A31" s="28"/>
      <c r="B31" s="28"/>
      <c r="C31" s="36" t="s">
        <v>306</v>
      </c>
      <c r="D31" s="100">
        <v>5</v>
      </c>
      <c r="E31" s="105">
        <v>5</v>
      </c>
      <c r="F31" s="105">
        <v>5</v>
      </c>
    </row>
    <row r="32" spans="1:16" ht="14.25" x14ac:dyDescent="0.2">
      <c r="A32" s="28"/>
      <c r="B32" s="28"/>
      <c r="C32" s="49" t="s">
        <v>303</v>
      </c>
      <c r="D32" s="37"/>
      <c r="E32" s="37"/>
      <c r="F32" s="37"/>
    </row>
    <row r="33" spans="1:6" ht="14.25" x14ac:dyDescent="0.2">
      <c r="A33" s="28"/>
      <c r="B33" s="28"/>
      <c r="C33" s="34" t="s">
        <v>169</v>
      </c>
      <c r="D33" s="101">
        <v>0.85</v>
      </c>
      <c r="E33" s="106">
        <v>0.85</v>
      </c>
      <c r="F33" s="106">
        <v>0.85</v>
      </c>
    </row>
    <row r="34" spans="1:6" ht="14.25" x14ac:dyDescent="0.2">
      <c r="A34" s="28"/>
      <c r="B34" s="28"/>
      <c r="C34" s="36" t="s">
        <v>170</v>
      </c>
      <c r="D34" s="197">
        <v>72000</v>
      </c>
      <c r="E34" s="198">
        <v>72000</v>
      </c>
      <c r="F34" s="198">
        <v>72000</v>
      </c>
    </row>
    <row r="35" spans="1:6" ht="14.25" x14ac:dyDescent="0.2">
      <c r="A35" s="28"/>
      <c r="B35" s="28"/>
      <c r="C35" s="49" t="s">
        <v>304</v>
      </c>
      <c r="D35" s="37"/>
      <c r="E35" s="37"/>
      <c r="F35" s="37"/>
    </row>
    <row r="36" spans="1:6" ht="14.25" x14ac:dyDescent="0.2">
      <c r="A36" s="28"/>
      <c r="B36" s="28"/>
      <c r="C36" s="28" t="s">
        <v>172</v>
      </c>
      <c r="D36" s="46">
        <v>0.85</v>
      </c>
      <c r="E36" s="104">
        <v>0.85</v>
      </c>
      <c r="F36" s="104">
        <v>0.85</v>
      </c>
    </row>
    <row r="37" spans="1:6" ht="14.25" x14ac:dyDescent="0.2">
      <c r="A37" s="28"/>
      <c r="B37" s="28"/>
      <c r="C37" s="75" t="s">
        <v>308</v>
      </c>
      <c r="D37" s="91">
        <f>D161*D36</f>
        <v>0</v>
      </c>
      <c r="E37" s="91">
        <f>E161*E36</f>
        <v>0</v>
      </c>
      <c r="F37" s="91">
        <f>F161*F36</f>
        <v>0</v>
      </c>
    </row>
    <row r="38" spans="1:6" ht="14.25" x14ac:dyDescent="0.2">
      <c r="A38" s="28"/>
      <c r="B38" s="28"/>
      <c r="C38" s="28" t="s">
        <v>309</v>
      </c>
      <c r="D38" s="55">
        <v>3</v>
      </c>
      <c r="E38" s="95">
        <v>3</v>
      </c>
      <c r="F38" s="95">
        <v>3</v>
      </c>
    </row>
    <row r="39" spans="1:6" ht="14.25" x14ac:dyDescent="0.2">
      <c r="A39" s="28"/>
      <c r="B39" s="28"/>
      <c r="C39" s="28" t="s">
        <v>174</v>
      </c>
      <c r="D39" s="46">
        <v>0.2</v>
      </c>
      <c r="E39" s="104">
        <v>0.2</v>
      </c>
      <c r="F39" s="104">
        <v>0.2</v>
      </c>
    </row>
    <row r="40" spans="1:6" ht="14.25" x14ac:dyDescent="0.2">
      <c r="A40" s="28"/>
      <c r="B40" s="28"/>
      <c r="C40" s="28" t="s">
        <v>173</v>
      </c>
      <c r="D40" s="46">
        <v>0.1</v>
      </c>
      <c r="E40" s="104">
        <v>0.1</v>
      </c>
      <c r="F40" s="104">
        <v>0.1</v>
      </c>
    </row>
    <row r="41" spans="1:6" ht="14.25" x14ac:dyDescent="0.2">
      <c r="A41" s="28"/>
      <c r="B41" s="28"/>
      <c r="C41" s="28" t="s">
        <v>175</v>
      </c>
      <c r="D41" s="46">
        <v>0.85</v>
      </c>
      <c r="E41" s="104">
        <v>0.85</v>
      </c>
      <c r="F41" s="104">
        <v>0.85</v>
      </c>
    </row>
    <row r="42" spans="1:6" ht="14.25" x14ac:dyDescent="0.2">
      <c r="A42" s="28"/>
      <c r="B42" s="28"/>
      <c r="C42" s="67" t="s">
        <v>176</v>
      </c>
      <c r="D42" s="195">
        <v>80000</v>
      </c>
      <c r="E42" s="196">
        <v>80000</v>
      </c>
      <c r="F42" s="196">
        <v>80000</v>
      </c>
    </row>
    <row r="43" spans="1:6" ht="14.25" x14ac:dyDescent="0.2">
      <c r="A43" s="28"/>
      <c r="B43" s="28"/>
      <c r="C43" s="35" t="s">
        <v>178</v>
      </c>
      <c r="D43" s="217">
        <f>D40*D42</f>
        <v>8000</v>
      </c>
      <c r="E43" s="200">
        <f t="shared" ref="E43:F43" si="1">E40*E42</f>
        <v>8000</v>
      </c>
      <c r="F43" s="200">
        <f t="shared" si="1"/>
        <v>8000</v>
      </c>
    </row>
    <row r="44" spans="1:6" ht="14.25" x14ac:dyDescent="0.2">
      <c r="A44" s="28"/>
      <c r="B44" s="28"/>
      <c r="C44" s="36" t="s">
        <v>177</v>
      </c>
      <c r="D44" s="197">
        <f>D39*D42</f>
        <v>16000</v>
      </c>
      <c r="E44" s="198">
        <f t="shared" ref="E44:F44" si="2">E39*E42</f>
        <v>16000</v>
      </c>
      <c r="F44" s="198">
        <f t="shared" si="2"/>
        <v>16000</v>
      </c>
    </row>
    <row r="45" spans="1:6" ht="14.25" x14ac:dyDescent="0.2">
      <c r="A45" s="28"/>
      <c r="B45" s="28"/>
      <c r="C45" s="29" t="s">
        <v>305</v>
      </c>
      <c r="D45" s="28"/>
      <c r="E45" s="28"/>
      <c r="F45" s="28"/>
    </row>
    <row r="46" spans="1:6" ht="14.25" x14ac:dyDescent="0.2">
      <c r="A46" s="28"/>
      <c r="B46" s="28"/>
      <c r="C46" s="34" t="s">
        <v>181</v>
      </c>
      <c r="D46" s="101">
        <v>0.4</v>
      </c>
      <c r="E46" s="106">
        <v>0.4</v>
      </c>
      <c r="F46" s="106">
        <v>0.4</v>
      </c>
    </row>
    <row r="47" spans="1:6" ht="14.25" x14ac:dyDescent="0.2">
      <c r="A47" s="28"/>
      <c r="B47" s="28"/>
      <c r="C47" s="35" t="s">
        <v>180</v>
      </c>
      <c r="D47" s="102">
        <v>0.1</v>
      </c>
      <c r="E47" s="107">
        <v>0.1</v>
      </c>
      <c r="F47" s="107">
        <v>0.1</v>
      </c>
    </row>
    <row r="48" spans="1:6" ht="14.25" x14ac:dyDescent="0.2">
      <c r="A48" s="28"/>
      <c r="B48" s="28"/>
      <c r="C48" s="35" t="s">
        <v>310</v>
      </c>
      <c r="D48" s="72">
        <v>10</v>
      </c>
      <c r="E48" s="80">
        <v>10</v>
      </c>
      <c r="F48" s="80">
        <v>10</v>
      </c>
    </row>
    <row r="49" spans="1:16" ht="14.25" x14ac:dyDescent="0.2">
      <c r="A49" s="28"/>
      <c r="B49" s="28"/>
      <c r="C49" s="35" t="s">
        <v>182</v>
      </c>
      <c r="D49" s="217">
        <v>500000</v>
      </c>
      <c r="E49" s="200">
        <v>500000</v>
      </c>
      <c r="F49" s="200">
        <v>500000</v>
      </c>
    </row>
    <row r="50" spans="1:16" ht="14.25" x14ac:dyDescent="0.2">
      <c r="A50" s="28"/>
      <c r="B50" s="28"/>
      <c r="C50" s="71" t="s">
        <v>183</v>
      </c>
      <c r="D50" s="103">
        <v>0.01</v>
      </c>
      <c r="E50" s="108">
        <v>0.01</v>
      </c>
      <c r="F50" s="108">
        <v>0.01</v>
      </c>
    </row>
    <row r="51" spans="1:16" ht="14.25" x14ac:dyDescent="0.2">
      <c r="B51" s="3"/>
      <c r="C51" s="67" t="s">
        <v>328</v>
      </c>
      <c r="D51" s="92">
        <f>D161*D46</f>
        <v>0</v>
      </c>
      <c r="E51" s="92">
        <f>E161*E46</f>
        <v>0</v>
      </c>
      <c r="F51" s="92">
        <f>F161*F46</f>
        <v>0</v>
      </c>
    </row>
    <row r="52" spans="1:16" ht="14.25" x14ac:dyDescent="0.2">
      <c r="B52" s="3"/>
      <c r="C52" s="36" t="s">
        <v>329</v>
      </c>
      <c r="D52" s="62">
        <f>D47*D51</f>
        <v>0</v>
      </c>
      <c r="E52" s="62">
        <f t="shared" ref="E52:F52" si="3">E47*E51</f>
        <v>0</v>
      </c>
      <c r="F52" s="62">
        <f t="shared" si="3"/>
        <v>0</v>
      </c>
    </row>
    <row r="53" spans="1:16" s="28" customFormat="1" ht="15.75" customHeight="1" x14ac:dyDescent="0.2">
      <c r="A53" s="263"/>
      <c r="B53" s="263"/>
      <c r="C53" s="256"/>
      <c r="D53" s="259"/>
      <c r="E53" s="263"/>
      <c r="F53" s="263"/>
      <c r="G53" s="263"/>
      <c r="I53" s="280"/>
      <c r="J53" s="280"/>
      <c r="K53" s="280"/>
      <c r="L53" s="280"/>
      <c r="M53" s="280"/>
      <c r="N53" s="280"/>
      <c r="O53" s="280"/>
      <c r="P53" s="258"/>
    </row>
    <row r="54" spans="1:16" s="28" customFormat="1" ht="15.75" customHeight="1" x14ac:dyDescent="0.2">
      <c r="A54" s="263"/>
      <c r="B54" s="263"/>
      <c r="C54" s="256"/>
      <c r="D54" s="259"/>
      <c r="E54" s="263"/>
      <c r="F54" s="263"/>
      <c r="G54" s="263"/>
      <c r="I54" s="280"/>
      <c r="J54" s="280"/>
      <c r="K54" s="280"/>
      <c r="L54" s="280"/>
      <c r="M54" s="280"/>
      <c r="N54" s="280"/>
      <c r="O54" s="280"/>
      <c r="P54" s="258"/>
    </row>
    <row r="55" spans="1:16" s="28" customFormat="1" ht="15.75" customHeight="1" x14ac:dyDescent="0.2">
      <c r="A55" s="263"/>
      <c r="B55" s="263"/>
      <c r="C55" s="256"/>
      <c r="D55" s="259"/>
      <c r="E55" s="263"/>
      <c r="F55" s="263"/>
      <c r="G55" s="263"/>
      <c r="I55" s="280"/>
      <c r="J55" s="280"/>
      <c r="K55" s="280"/>
      <c r="L55" s="280"/>
      <c r="M55" s="280"/>
      <c r="N55" s="280"/>
      <c r="O55" s="280"/>
      <c r="P55" s="258"/>
    </row>
    <row r="56" spans="1:16" s="28" customFormat="1" ht="15.75" customHeight="1" x14ac:dyDescent="0.2">
      <c r="A56" s="263"/>
      <c r="B56" s="263"/>
      <c r="C56" s="256"/>
      <c r="D56" s="259"/>
      <c r="E56" s="263"/>
      <c r="F56" s="263"/>
      <c r="G56" s="263"/>
      <c r="I56" s="280"/>
      <c r="J56" s="280"/>
      <c r="K56" s="280"/>
      <c r="L56" s="280"/>
      <c r="M56" s="280"/>
      <c r="N56" s="280"/>
      <c r="O56" s="280"/>
      <c r="P56" s="258"/>
    </row>
    <row r="57" spans="1:16" s="28" customFormat="1" ht="15.75" customHeight="1" x14ac:dyDescent="0.2">
      <c r="A57" s="263"/>
      <c r="B57" s="263"/>
      <c r="C57" s="256"/>
      <c r="D57" s="259"/>
      <c r="E57" s="263"/>
      <c r="F57" s="263"/>
      <c r="G57" s="263"/>
      <c r="I57" s="280"/>
      <c r="J57" s="280"/>
      <c r="K57" s="280"/>
      <c r="L57" s="280"/>
      <c r="M57" s="280"/>
      <c r="N57" s="280"/>
      <c r="O57" s="280"/>
      <c r="P57" s="258"/>
    </row>
    <row r="58" spans="1:16" s="28" customFormat="1" ht="15.75" customHeight="1" x14ac:dyDescent="0.2">
      <c r="A58" s="263"/>
      <c r="B58" s="263"/>
      <c r="C58" s="256"/>
      <c r="D58" s="259"/>
      <c r="E58" s="263"/>
      <c r="F58" s="263"/>
      <c r="G58" s="263"/>
      <c r="I58" s="280"/>
      <c r="J58" s="280"/>
      <c r="K58" s="280"/>
      <c r="L58" s="280"/>
      <c r="M58" s="280"/>
      <c r="N58" s="280"/>
      <c r="O58" s="280"/>
      <c r="P58" s="258"/>
    </row>
    <row r="59" spans="1:16" s="28" customFormat="1" ht="15.75" customHeight="1" x14ac:dyDescent="0.2">
      <c r="A59" s="263"/>
      <c r="B59" s="263"/>
      <c r="C59" s="256"/>
      <c r="D59" s="259"/>
      <c r="E59" s="263"/>
      <c r="F59" s="263"/>
      <c r="G59" s="263"/>
      <c r="I59" s="280"/>
      <c r="J59" s="280"/>
      <c r="K59" s="280"/>
      <c r="L59" s="280"/>
      <c r="M59" s="280"/>
      <c r="N59" s="280"/>
      <c r="O59" s="280"/>
      <c r="P59" s="258"/>
    </row>
    <row r="60" spans="1:16" s="28" customFormat="1" ht="15.75" customHeight="1" x14ac:dyDescent="0.2">
      <c r="A60" s="263"/>
      <c r="B60" s="263"/>
      <c r="C60" s="256"/>
      <c r="D60" s="259"/>
      <c r="E60" s="263"/>
      <c r="F60" s="263"/>
      <c r="G60" s="263"/>
      <c r="I60" s="280"/>
      <c r="J60" s="280"/>
      <c r="K60" s="280"/>
      <c r="L60" s="280"/>
      <c r="M60" s="280"/>
      <c r="N60" s="280"/>
      <c r="O60" s="280"/>
      <c r="P60" s="258"/>
    </row>
    <row r="61" spans="1:16" s="28" customFormat="1" ht="15.75" customHeight="1" x14ac:dyDescent="0.2">
      <c r="A61" s="263"/>
      <c r="B61" s="263"/>
      <c r="C61" s="256"/>
      <c r="D61" s="259"/>
      <c r="E61" s="263"/>
      <c r="F61" s="263"/>
      <c r="G61" s="263"/>
      <c r="I61" s="280"/>
      <c r="J61" s="280"/>
      <c r="K61" s="280"/>
      <c r="L61" s="280"/>
      <c r="M61" s="280"/>
      <c r="N61" s="280"/>
      <c r="O61" s="280"/>
      <c r="P61" s="258"/>
    </row>
    <row r="62" spans="1:16" s="28" customFormat="1" ht="15.75" customHeight="1" x14ac:dyDescent="0.2">
      <c r="A62" s="263"/>
      <c r="B62" s="263"/>
      <c r="C62" s="256"/>
      <c r="D62" s="259"/>
      <c r="E62" s="263"/>
      <c r="F62" s="263"/>
      <c r="G62" s="263"/>
      <c r="I62" s="280"/>
      <c r="J62" s="280"/>
      <c r="K62" s="280"/>
      <c r="L62" s="280"/>
      <c r="M62" s="280"/>
      <c r="N62" s="280"/>
      <c r="O62" s="280"/>
      <c r="P62" s="258"/>
    </row>
    <row r="63" spans="1:16" s="28" customFormat="1" ht="15.75" customHeight="1" x14ac:dyDescent="0.2">
      <c r="A63" s="263"/>
      <c r="B63" s="263"/>
      <c r="C63" s="256"/>
      <c r="D63" s="259"/>
      <c r="E63" s="263"/>
      <c r="F63" s="263"/>
      <c r="G63" s="263"/>
      <c r="I63" s="280"/>
      <c r="J63" s="280"/>
      <c r="K63" s="280"/>
      <c r="L63" s="280"/>
      <c r="M63" s="280"/>
      <c r="N63" s="280"/>
      <c r="O63" s="280"/>
      <c r="P63" s="258"/>
    </row>
    <row r="64" spans="1:16" s="28" customFormat="1" ht="15.75" customHeight="1" x14ac:dyDescent="0.2">
      <c r="A64" s="263"/>
      <c r="B64" s="263"/>
      <c r="C64" s="256"/>
      <c r="D64" s="259"/>
      <c r="E64" s="263"/>
      <c r="F64" s="263"/>
      <c r="G64" s="263"/>
      <c r="I64" s="280"/>
      <c r="J64" s="280"/>
      <c r="K64" s="280"/>
      <c r="L64" s="280"/>
      <c r="M64" s="280"/>
      <c r="N64" s="280"/>
      <c r="O64" s="280"/>
      <c r="P64" s="258"/>
    </row>
    <row r="65" spans="1:16" s="28" customFormat="1" ht="15.75" customHeight="1" x14ac:dyDescent="0.2">
      <c r="A65" s="263"/>
      <c r="B65" s="263"/>
      <c r="C65" s="256"/>
      <c r="D65" s="259"/>
      <c r="E65" s="263"/>
      <c r="F65" s="263"/>
      <c r="G65" s="263"/>
      <c r="I65" s="280"/>
      <c r="J65" s="280"/>
      <c r="K65" s="280"/>
      <c r="L65" s="280"/>
      <c r="M65" s="280"/>
      <c r="N65" s="280"/>
      <c r="O65" s="280"/>
      <c r="P65" s="258"/>
    </row>
    <row r="66" spans="1:16" s="28" customFormat="1" ht="15.75" customHeight="1" x14ac:dyDescent="0.2">
      <c r="A66" s="263"/>
      <c r="B66" s="263"/>
      <c r="C66" s="256"/>
      <c r="D66" s="259"/>
      <c r="E66" s="263"/>
      <c r="F66" s="263"/>
      <c r="G66" s="263"/>
      <c r="I66" s="280"/>
      <c r="J66" s="280"/>
      <c r="K66" s="280"/>
      <c r="L66" s="280"/>
      <c r="M66" s="280"/>
      <c r="N66" s="280"/>
      <c r="O66" s="280"/>
      <c r="P66" s="258"/>
    </row>
    <row r="67" spans="1:16" s="28" customFormat="1" ht="15.75" customHeight="1" x14ac:dyDescent="0.2">
      <c r="A67" s="263"/>
      <c r="B67" s="263"/>
      <c r="C67" s="256"/>
      <c r="D67" s="259"/>
      <c r="E67" s="263"/>
      <c r="F67" s="263"/>
      <c r="G67" s="263"/>
      <c r="I67" s="280"/>
      <c r="J67" s="280"/>
      <c r="K67" s="280"/>
      <c r="L67" s="280"/>
      <c r="M67" s="280"/>
      <c r="N67" s="280"/>
      <c r="O67" s="280"/>
      <c r="P67" s="258"/>
    </row>
    <row r="68" spans="1:16" s="28" customFormat="1" ht="15.75" customHeight="1" x14ac:dyDescent="0.2">
      <c r="A68" s="263"/>
      <c r="B68" s="263"/>
      <c r="C68" s="256"/>
      <c r="D68" s="259"/>
      <c r="E68" s="263"/>
      <c r="F68" s="263"/>
      <c r="G68" s="263"/>
      <c r="I68" s="280"/>
      <c r="J68" s="280"/>
      <c r="K68" s="280"/>
      <c r="L68" s="280"/>
      <c r="M68" s="280"/>
      <c r="N68" s="280"/>
      <c r="O68" s="280"/>
      <c r="P68" s="258"/>
    </row>
    <row r="69" spans="1:16" s="28" customFormat="1" ht="12.75" x14ac:dyDescent="0.2">
      <c r="A69" s="255"/>
      <c r="B69" s="255"/>
      <c r="C69" s="255"/>
      <c r="D69" s="255"/>
      <c r="E69" s="255"/>
      <c r="F69" s="255"/>
      <c r="G69" s="255"/>
      <c r="I69" s="280"/>
      <c r="J69" s="280"/>
      <c r="K69" s="280"/>
      <c r="L69" s="280"/>
      <c r="M69" s="280"/>
      <c r="N69" s="280"/>
      <c r="O69" s="280"/>
      <c r="P69" s="254"/>
    </row>
    <row r="70" spans="1:16" s="28" customFormat="1" ht="12.75" x14ac:dyDescent="0.2">
      <c r="A70" s="255"/>
      <c r="B70" s="255"/>
      <c r="C70" s="255"/>
      <c r="D70" s="255"/>
      <c r="E70" s="255"/>
      <c r="F70" s="255"/>
      <c r="G70" s="255"/>
      <c r="I70" s="280"/>
      <c r="J70" s="280"/>
      <c r="K70" s="280"/>
      <c r="L70" s="280"/>
      <c r="M70" s="280"/>
      <c r="N70" s="280"/>
      <c r="O70" s="280"/>
      <c r="P70" s="254"/>
    </row>
    <row r="71" spans="1:16" s="28" customFormat="1" ht="12.75" x14ac:dyDescent="0.2">
      <c r="A71" s="255"/>
      <c r="B71" s="255"/>
      <c r="C71" s="255"/>
      <c r="D71" s="255"/>
      <c r="E71" s="255"/>
      <c r="F71" s="255"/>
      <c r="G71" s="255"/>
      <c r="I71" s="280"/>
      <c r="J71" s="280"/>
      <c r="K71" s="280"/>
      <c r="L71" s="280"/>
      <c r="M71" s="280"/>
      <c r="N71" s="280"/>
      <c r="O71" s="280"/>
      <c r="P71" s="254"/>
    </row>
    <row r="72" spans="1:16" s="28" customFormat="1" ht="12.75" x14ac:dyDescent="0.2">
      <c r="A72" s="255"/>
      <c r="B72" s="255"/>
      <c r="C72" s="255"/>
      <c r="D72" s="255"/>
      <c r="E72" s="255"/>
      <c r="F72" s="255"/>
      <c r="G72" s="255"/>
      <c r="I72" s="280"/>
      <c r="J72" s="280"/>
      <c r="K72" s="280"/>
      <c r="L72" s="280"/>
      <c r="M72" s="280"/>
      <c r="N72" s="280"/>
      <c r="O72" s="280"/>
      <c r="P72" s="254"/>
    </row>
    <row r="73" spans="1:16" s="28" customFormat="1" ht="12.75" x14ac:dyDescent="0.2">
      <c r="A73" s="255"/>
      <c r="B73" s="255"/>
      <c r="C73" s="255"/>
      <c r="D73" s="255"/>
      <c r="E73" s="255"/>
      <c r="F73" s="255"/>
      <c r="G73" s="255"/>
      <c r="I73" s="280"/>
      <c r="J73" s="280"/>
      <c r="K73" s="280"/>
      <c r="L73" s="280"/>
      <c r="M73" s="280"/>
      <c r="N73" s="280"/>
      <c r="O73" s="280"/>
      <c r="P73" s="254"/>
    </row>
    <row r="74" spans="1:16" s="28" customFormat="1" ht="12.75" x14ac:dyDescent="0.2">
      <c r="A74" s="255"/>
      <c r="B74" s="255"/>
      <c r="C74" s="255"/>
      <c r="D74" s="255"/>
      <c r="E74" s="255"/>
      <c r="F74" s="255"/>
      <c r="G74" s="255"/>
      <c r="I74" s="280"/>
      <c r="J74" s="280"/>
      <c r="K74" s="280"/>
      <c r="L74" s="280"/>
      <c r="M74" s="280"/>
      <c r="N74" s="280"/>
      <c r="O74" s="280"/>
      <c r="P74" s="254"/>
    </row>
    <row r="75" spans="1:16" s="28" customFormat="1" ht="12.75" x14ac:dyDescent="0.2">
      <c r="A75" s="255"/>
      <c r="B75" s="255"/>
      <c r="C75" s="255"/>
      <c r="D75" s="255"/>
      <c r="E75" s="255"/>
      <c r="F75" s="255"/>
      <c r="G75" s="255"/>
      <c r="I75" s="280"/>
      <c r="J75" s="280"/>
      <c r="K75" s="280"/>
      <c r="L75" s="280"/>
      <c r="M75" s="280"/>
      <c r="N75" s="280"/>
      <c r="O75" s="280"/>
      <c r="P75" s="254"/>
    </row>
    <row r="76" spans="1:16" s="28" customFormat="1" ht="12.75" x14ac:dyDescent="0.2">
      <c r="A76" s="255"/>
      <c r="B76" s="255"/>
      <c r="C76" s="255"/>
      <c r="D76" s="255"/>
      <c r="E76" s="255"/>
      <c r="F76" s="255"/>
      <c r="G76" s="255"/>
      <c r="I76" s="280"/>
      <c r="J76" s="280"/>
      <c r="K76" s="280"/>
      <c r="L76" s="280"/>
      <c r="M76" s="280"/>
      <c r="N76" s="280"/>
      <c r="O76" s="280"/>
      <c r="P76" s="254"/>
    </row>
    <row r="77" spans="1:16" s="28" customFormat="1" ht="12.75" x14ac:dyDescent="0.2">
      <c r="A77" s="255"/>
      <c r="B77" s="255"/>
      <c r="C77" s="255"/>
      <c r="D77" s="255"/>
      <c r="E77" s="255"/>
      <c r="F77" s="255"/>
      <c r="G77" s="255"/>
      <c r="I77" s="280"/>
      <c r="J77" s="280"/>
      <c r="K77" s="280"/>
      <c r="L77" s="280"/>
      <c r="M77" s="280"/>
      <c r="N77" s="280"/>
      <c r="O77" s="280"/>
      <c r="P77" s="254"/>
    </row>
    <row r="78" spans="1:16" s="28" customFormat="1" ht="12.75" x14ac:dyDescent="0.2">
      <c r="A78" s="255"/>
      <c r="B78" s="255"/>
      <c r="C78" s="255"/>
      <c r="D78" s="255"/>
      <c r="E78" s="255"/>
      <c r="F78" s="255"/>
      <c r="G78" s="255"/>
      <c r="I78" s="280"/>
      <c r="J78" s="280"/>
      <c r="K78" s="280"/>
      <c r="L78" s="280"/>
      <c r="M78" s="280"/>
      <c r="N78" s="280"/>
      <c r="O78" s="280"/>
      <c r="P78" s="254"/>
    </row>
    <row r="79" spans="1:16" s="28" customFormat="1" ht="12.75" x14ac:dyDescent="0.2">
      <c r="A79" s="255"/>
      <c r="B79" s="255"/>
      <c r="C79" s="255"/>
      <c r="D79" s="255"/>
      <c r="E79" s="255"/>
      <c r="F79" s="255"/>
      <c r="G79" s="255"/>
      <c r="I79" s="280"/>
      <c r="J79" s="280"/>
      <c r="K79" s="280"/>
      <c r="L79" s="280"/>
      <c r="M79" s="280"/>
      <c r="N79" s="280"/>
      <c r="O79" s="280"/>
      <c r="P79" s="254"/>
    </row>
    <row r="80" spans="1:16" s="28" customFormat="1" ht="15.75" x14ac:dyDescent="0.25">
      <c r="A80" s="255"/>
      <c r="B80" s="315"/>
      <c r="C80" s="316" t="e">
        <f>B1</f>
        <v>#REF!</v>
      </c>
      <c r="D80" s="315"/>
      <c r="E80" s="315"/>
      <c r="F80" s="315"/>
      <c r="G80" s="315"/>
      <c r="H80" s="317"/>
      <c r="I80" s="318"/>
      <c r="J80" s="318"/>
      <c r="K80" s="318"/>
      <c r="L80" s="318"/>
      <c r="M80" s="318"/>
      <c r="N80" s="318"/>
      <c r="O80" s="318"/>
      <c r="P80" s="254"/>
    </row>
    <row r="81" spans="1:16" ht="15.75" x14ac:dyDescent="0.25">
      <c r="A81" s="246"/>
      <c r="B81" s="303" t="s">
        <v>346</v>
      </c>
      <c r="C81" s="304" t="s">
        <v>369</v>
      </c>
      <c r="D81" s="305" t="s">
        <v>370</v>
      </c>
      <c r="E81" s="306"/>
      <c r="F81" s="306" t="s">
        <v>392</v>
      </c>
      <c r="G81" s="306"/>
      <c r="H81" s="306"/>
      <c r="I81" s="307"/>
      <c r="J81" s="307" t="s">
        <v>391</v>
      </c>
      <c r="K81" s="307"/>
      <c r="L81" s="279"/>
      <c r="M81" s="307"/>
      <c r="N81" s="307" t="s">
        <v>369</v>
      </c>
      <c r="O81" s="307"/>
    </row>
    <row r="82" spans="1:16" ht="15.75" x14ac:dyDescent="0.25">
      <c r="A82" s="246"/>
      <c r="B82" s="266"/>
      <c r="C82" s="264"/>
      <c r="D82" s="266"/>
      <c r="E82" s="267" t="s">
        <v>371</v>
      </c>
      <c r="F82" s="267" t="s">
        <v>372</v>
      </c>
      <c r="G82" s="267" t="s">
        <v>373</v>
      </c>
      <c r="I82" s="281" t="s">
        <v>371</v>
      </c>
      <c r="J82" s="281" t="s">
        <v>372</v>
      </c>
      <c r="K82" s="281" t="s">
        <v>373</v>
      </c>
      <c r="L82" s="278"/>
      <c r="M82" s="293" t="s">
        <v>371</v>
      </c>
      <c r="N82" s="293" t="s">
        <v>372</v>
      </c>
      <c r="O82" s="293" t="s">
        <v>373</v>
      </c>
      <c r="P82" s="254"/>
    </row>
    <row r="83" spans="1:16" ht="14.25" x14ac:dyDescent="0.2">
      <c r="A83" s="246"/>
      <c r="B83" s="275"/>
      <c r="C83" s="276" t="s">
        <v>374</v>
      </c>
      <c r="D83" s="277"/>
      <c r="E83" s="57"/>
      <c r="F83" s="57"/>
      <c r="G83" s="57"/>
      <c r="H83" s="57"/>
      <c r="I83" s="282"/>
      <c r="J83" s="282"/>
      <c r="K83" s="282"/>
      <c r="L83" s="282"/>
      <c r="M83" s="294">
        <f>SUM(M84:M84)</f>
        <v>0</v>
      </c>
      <c r="N83" s="294">
        <f>SUM(N84:N84)</f>
        <v>0</v>
      </c>
      <c r="O83" s="294">
        <f>SUM(O84:O84)</f>
        <v>0</v>
      </c>
    </row>
    <row r="84" spans="1:16" ht="14.25" x14ac:dyDescent="0.2">
      <c r="A84" s="246"/>
      <c r="B84" s="253"/>
      <c r="C84" s="30" t="s">
        <v>394</v>
      </c>
      <c r="D84" s="41"/>
      <c r="E84" s="270"/>
      <c r="F84" s="270"/>
      <c r="G84" s="270"/>
      <c r="H84" s="28"/>
      <c r="I84" s="283"/>
      <c r="J84" s="283"/>
      <c r="K84" s="283"/>
      <c r="L84" s="280"/>
      <c r="M84" s="295">
        <f>E84*I84</f>
        <v>0</v>
      </c>
      <c r="N84" s="295">
        <f t="shared" ref="N84:O84" si="4">F84*J84</f>
        <v>0</v>
      </c>
      <c r="O84" s="295">
        <f t="shared" si="4"/>
        <v>0</v>
      </c>
    </row>
    <row r="85" spans="1:16" ht="14.25" x14ac:dyDescent="0.2">
      <c r="A85" s="246"/>
      <c r="B85" s="275"/>
      <c r="C85" s="276" t="s">
        <v>378</v>
      </c>
      <c r="D85" s="277"/>
      <c r="E85" s="57"/>
      <c r="F85" s="57"/>
      <c r="G85" s="57"/>
      <c r="H85" s="57"/>
      <c r="I85" s="282"/>
      <c r="J85" s="282"/>
      <c r="K85" s="282"/>
      <c r="L85" s="282"/>
      <c r="M85" s="296"/>
      <c r="N85" s="296"/>
      <c r="O85" s="296"/>
    </row>
    <row r="86" spans="1:16" ht="14.25" x14ac:dyDescent="0.2">
      <c r="A86" s="246"/>
      <c r="B86" s="268"/>
      <c r="C86" s="274" t="s">
        <v>375</v>
      </c>
      <c r="D86" s="269"/>
      <c r="E86" s="61"/>
      <c r="F86" s="61"/>
      <c r="G86" s="61"/>
      <c r="H86" s="61"/>
      <c r="I86" s="284"/>
      <c r="J86" s="284"/>
      <c r="K86" s="284"/>
      <c r="L86" s="284"/>
      <c r="M86" s="298">
        <f>SUM(M87:M87)</f>
        <v>0</v>
      </c>
      <c r="N86" s="298">
        <f>SUM(N87:N87)</f>
        <v>0</v>
      </c>
      <c r="O86" s="298">
        <f>SUM(O87:O87)</f>
        <v>0</v>
      </c>
    </row>
    <row r="87" spans="1:16" ht="14.25" x14ac:dyDescent="0.2">
      <c r="B87" s="253"/>
      <c r="C87" s="30" t="s">
        <v>394</v>
      </c>
      <c r="D87" s="41"/>
      <c r="E87" s="270"/>
      <c r="F87" s="270"/>
      <c r="G87" s="270"/>
      <c r="H87" s="28"/>
      <c r="I87" s="283"/>
      <c r="J87" s="283"/>
      <c r="K87" s="283"/>
      <c r="L87" s="280"/>
      <c r="M87" s="285">
        <f>E87*I87</f>
        <v>0</v>
      </c>
      <c r="N87" s="285">
        <f t="shared" ref="N87:O87" si="5">F87*J87</f>
        <v>0</v>
      </c>
      <c r="O87" s="285">
        <f t="shared" si="5"/>
        <v>0</v>
      </c>
    </row>
    <row r="88" spans="1:16" ht="14.25" x14ac:dyDescent="0.2">
      <c r="B88" s="268"/>
      <c r="C88" s="274" t="s">
        <v>376</v>
      </c>
      <c r="D88" s="269"/>
      <c r="E88" s="61"/>
      <c r="F88" s="61"/>
      <c r="G88" s="61"/>
      <c r="H88" s="61"/>
      <c r="I88" s="284"/>
      <c r="J88" s="284"/>
      <c r="K88" s="284"/>
      <c r="L88" s="284"/>
      <c r="M88" s="298">
        <f>SUM(M89:M89)</f>
        <v>0</v>
      </c>
      <c r="N88" s="298">
        <f>SUM(N89:N89)</f>
        <v>0</v>
      </c>
      <c r="O88" s="298">
        <f>SUM(O89:O89)</f>
        <v>0</v>
      </c>
    </row>
    <row r="89" spans="1:16" ht="14.25" x14ac:dyDescent="0.2">
      <c r="B89" s="253"/>
      <c r="C89" s="30" t="s">
        <v>394</v>
      </c>
      <c r="D89" s="41"/>
      <c r="E89" s="270"/>
      <c r="F89" s="270"/>
      <c r="G89" s="270"/>
      <c r="H89" s="28"/>
      <c r="I89" s="283"/>
      <c r="J89" s="283"/>
      <c r="K89" s="283"/>
      <c r="L89" s="280"/>
      <c r="M89" s="285">
        <f>E89*I89</f>
        <v>0</v>
      </c>
      <c r="N89" s="285">
        <f t="shared" ref="N89" si="6">F89*J89</f>
        <v>0</v>
      </c>
      <c r="O89" s="285">
        <f>G89*K89</f>
        <v>0</v>
      </c>
    </row>
    <row r="90" spans="1:16" ht="14.25" x14ac:dyDescent="0.2">
      <c r="B90" s="268"/>
      <c r="C90" s="274" t="s">
        <v>379</v>
      </c>
      <c r="D90" s="269"/>
      <c r="E90" s="61"/>
      <c r="F90" s="61"/>
      <c r="G90" s="61"/>
      <c r="H90" s="61"/>
      <c r="I90" s="284"/>
      <c r="J90" s="284"/>
      <c r="K90" s="284"/>
      <c r="L90" s="284"/>
      <c r="M90" s="298">
        <f>SUM(M91:M91)</f>
        <v>0</v>
      </c>
      <c r="N90" s="298">
        <f>SUM(N91:N91)</f>
        <v>0</v>
      </c>
      <c r="O90" s="298">
        <f>SUM(O91:O91)</f>
        <v>0</v>
      </c>
    </row>
    <row r="91" spans="1:16" ht="14.25" x14ac:dyDescent="0.2">
      <c r="B91" s="253"/>
      <c r="C91" s="30" t="s">
        <v>394</v>
      </c>
      <c r="D91" s="41"/>
      <c r="E91" s="270"/>
      <c r="F91" s="270"/>
      <c r="G91" s="270"/>
      <c r="H91" s="28"/>
      <c r="I91" s="283"/>
      <c r="J91" s="283"/>
      <c r="K91" s="283"/>
      <c r="L91" s="280"/>
      <c r="M91" s="285">
        <f>E91*I91</f>
        <v>0</v>
      </c>
      <c r="N91" s="285">
        <f t="shared" ref="N91" si="7">F91*J91</f>
        <v>0</v>
      </c>
      <c r="O91" s="285">
        <f>G91*K91</f>
        <v>0</v>
      </c>
    </row>
    <row r="92" spans="1:16" ht="14.25" x14ac:dyDescent="0.2">
      <c r="B92" s="271"/>
      <c r="C92" s="274" t="s">
        <v>380</v>
      </c>
      <c r="D92" s="272"/>
      <c r="E92" s="61"/>
      <c r="F92" s="61"/>
      <c r="G92" s="61"/>
      <c r="H92" s="61"/>
      <c r="I92" s="284"/>
      <c r="J92" s="284"/>
      <c r="K92" s="284"/>
      <c r="L92" s="284"/>
      <c r="M92" s="298">
        <f>SUM(M93:M93)</f>
        <v>0</v>
      </c>
      <c r="N92" s="298">
        <f>SUM(N93:N93)</f>
        <v>0</v>
      </c>
      <c r="O92" s="298">
        <f>SUM(O93:O93)</f>
        <v>0</v>
      </c>
    </row>
    <row r="93" spans="1:16" ht="14.25" x14ac:dyDescent="0.2">
      <c r="B93" s="253"/>
      <c r="C93" s="30" t="s">
        <v>394</v>
      </c>
      <c r="D93" s="41"/>
      <c r="E93" s="270"/>
      <c r="F93" s="270"/>
      <c r="G93" s="270"/>
      <c r="H93" s="28"/>
      <c r="I93" s="283"/>
      <c r="J93" s="283"/>
      <c r="K93" s="283"/>
      <c r="L93" s="280"/>
      <c r="M93" s="285">
        <f>E93*I93</f>
        <v>0</v>
      </c>
      <c r="N93" s="285">
        <f t="shared" ref="N93" si="8">F93*J93</f>
        <v>0</v>
      </c>
      <c r="O93" s="285">
        <f>G93*K93</f>
        <v>0</v>
      </c>
    </row>
    <row r="94" spans="1:16" ht="14.25" x14ac:dyDescent="0.2">
      <c r="B94" s="271"/>
      <c r="C94" s="274" t="s">
        <v>381</v>
      </c>
      <c r="D94" s="272"/>
      <c r="E94" s="61"/>
      <c r="F94" s="61"/>
      <c r="G94" s="61"/>
      <c r="H94" s="61"/>
      <c r="I94" s="284"/>
      <c r="J94" s="284"/>
      <c r="K94" s="284"/>
      <c r="L94" s="284"/>
      <c r="M94" s="298">
        <f>SUM(M95:M95)</f>
        <v>0</v>
      </c>
      <c r="N94" s="298">
        <f>SUM(N95:N95)</f>
        <v>0</v>
      </c>
      <c r="O94" s="298">
        <f>SUM(O95:O95)</f>
        <v>0</v>
      </c>
    </row>
    <row r="95" spans="1:16" ht="14.25" x14ac:dyDescent="0.2">
      <c r="B95" s="253"/>
      <c r="C95" s="30" t="s">
        <v>394</v>
      </c>
      <c r="D95" s="41"/>
      <c r="E95" s="270"/>
      <c r="F95" s="270"/>
      <c r="G95" s="270"/>
      <c r="H95" s="28"/>
      <c r="I95" s="283"/>
      <c r="J95" s="283"/>
      <c r="K95" s="283"/>
      <c r="L95" s="280"/>
      <c r="M95" s="285">
        <f>E95*I95</f>
        <v>0</v>
      </c>
      <c r="N95" s="285">
        <f>F95*J95</f>
        <v>0</v>
      </c>
      <c r="O95" s="285">
        <f>G95*K95</f>
        <v>0</v>
      </c>
    </row>
    <row r="96" spans="1:16" ht="14.25" x14ac:dyDescent="0.2">
      <c r="B96" s="268"/>
      <c r="C96" s="274" t="s">
        <v>377</v>
      </c>
      <c r="D96" s="269"/>
      <c r="E96" s="61"/>
      <c r="F96" s="61"/>
      <c r="G96" s="61"/>
      <c r="H96" s="61"/>
      <c r="I96" s="284"/>
      <c r="J96" s="284"/>
      <c r="K96" s="284"/>
      <c r="L96" s="284"/>
      <c r="M96" s="298">
        <f>SUM(M97:M97)</f>
        <v>0</v>
      </c>
      <c r="N96" s="298">
        <f>SUM(N97:N97)</f>
        <v>0</v>
      </c>
      <c r="O96" s="298">
        <f>SUM(O97:O97)</f>
        <v>0</v>
      </c>
    </row>
    <row r="97" spans="1:15" ht="14.25" x14ac:dyDescent="0.2">
      <c r="B97" s="253"/>
      <c r="C97" s="30" t="s">
        <v>394</v>
      </c>
      <c r="D97" s="41"/>
      <c r="E97" s="270"/>
      <c r="F97" s="270"/>
      <c r="G97" s="270"/>
      <c r="H97" s="28"/>
      <c r="I97" s="283"/>
      <c r="J97" s="283"/>
      <c r="K97" s="283"/>
      <c r="L97" s="280"/>
      <c r="M97" s="285">
        <f>E97*I97</f>
        <v>0</v>
      </c>
      <c r="N97" s="285">
        <f t="shared" ref="N97" si="9">F97*J97</f>
        <v>0</v>
      </c>
      <c r="O97" s="285">
        <f>G97*K97</f>
        <v>0</v>
      </c>
    </row>
    <row r="98" spans="1:15" ht="14.25" x14ac:dyDescent="0.2">
      <c r="B98" s="268"/>
      <c r="C98" s="274" t="s">
        <v>382</v>
      </c>
      <c r="D98" s="269"/>
      <c r="E98" s="61"/>
      <c r="F98" s="61"/>
      <c r="G98" s="61"/>
      <c r="H98" s="61"/>
      <c r="I98" s="284"/>
      <c r="J98" s="284"/>
      <c r="K98" s="284"/>
      <c r="L98" s="284"/>
      <c r="M98" s="298">
        <f>SUM(M99:M99)</f>
        <v>0</v>
      </c>
      <c r="N98" s="298">
        <f>SUM(N99:N99)</f>
        <v>0</v>
      </c>
      <c r="O98" s="298">
        <f>SUM(O99:O99)</f>
        <v>0</v>
      </c>
    </row>
    <row r="99" spans="1:15" ht="14.25" x14ac:dyDescent="0.2">
      <c r="B99" s="253"/>
      <c r="C99" s="30" t="s">
        <v>394</v>
      </c>
      <c r="D99" s="41"/>
      <c r="E99" s="270"/>
      <c r="F99" s="270"/>
      <c r="G99" s="270"/>
      <c r="H99" s="28"/>
      <c r="I99" s="283"/>
      <c r="J99" s="283"/>
      <c r="K99" s="283"/>
      <c r="L99" s="280"/>
      <c r="M99" s="285">
        <f>E99*I99</f>
        <v>0</v>
      </c>
      <c r="N99" s="285">
        <f t="shared" ref="N99" si="10">F99*J99</f>
        <v>0</v>
      </c>
      <c r="O99" s="285">
        <f>G99*K99</f>
        <v>0</v>
      </c>
    </row>
    <row r="100" spans="1:15" ht="14.25" x14ac:dyDescent="0.2">
      <c r="A100" s="246"/>
      <c r="B100" s="275"/>
      <c r="C100" s="276" t="s">
        <v>383</v>
      </c>
      <c r="D100" s="277"/>
      <c r="E100" s="57"/>
      <c r="F100" s="57"/>
      <c r="G100" s="57"/>
      <c r="H100" s="57"/>
      <c r="I100" s="282"/>
      <c r="J100" s="282"/>
      <c r="K100" s="282"/>
      <c r="L100" s="282"/>
      <c r="M100" s="296"/>
      <c r="N100" s="296"/>
      <c r="O100" s="296"/>
    </row>
    <row r="101" spans="1:15" ht="14.25" x14ac:dyDescent="0.2">
      <c r="B101" s="271"/>
      <c r="C101" s="274" t="s">
        <v>384</v>
      </c>
      <c r="D101" s="272"/>
      <c r="E101" s="61"/>
      <c r="F101" s="61"/>
      <c r="G101" s="61"/>
      <c r="H101" s="61"/>
      <c r="I101" s="284"/>
      <c r="J101" s="284"/>
      <c r="K101" s="284"/>
      <c r="L101" s="284"/>
      <c r="M101" s="298">
        <f>SUM(M102:M102)</f>
        <v>0</v>
      </c>
      <c r="N101" s="298">
        <f>SUM(N102:N102)</f>
        <v>0</v>
      </c>
      <c r="O101" s="298">
        <f>SUM(O102:O102)</f>
        <v>0</v>
      </c>
    </row>
    <row r="102" spans="1:15" ht="14.25" x14ac:dyDescent="0.2">
      <c r="B102" s="253"/>
      <c r="C102" s="30" t="s">
        <v>394</v>
      </c>
      <c r="D102" s="41"/>
      <c r="E102" s="270"/>
      <c r="F102" s="270"/>
      <c r="G102" s="270"/>
      <c r="H102" s="28"/>
      <c r="I102" s="283"/>
      <c r="J102" s="283"/>
      <c r="K102" s="283"/>
      <c r="L102" s="280"/>
      <c r="M102" s="285">
        <f>E102*I102</f>
        <v>0</v>
      </c>
      <c r="N102" s="285">
        <f t="shared" ref="N102" si="11">F102*J102</f>
        <v>0</v>
      </c>
      <c r="O102" s="285">
        <f>G102*K102</f>
        <v>0</v>
      </c>
    </row>
    <row r="103" spans="1:15" ht="14.25" x14ac:dyDescent="0.2">
      <c r="B103" s="271"/>
      <c r="C103" s="274" t="s">
        <v>385</v>
      </c>
      <c r="D103" s="272"/>
      <c r="E103" s="61"/>
      <c r="F103" s="61"/>
      <c r="G103" s="61"/>
      <c r="H103" s="61"/>
      <c r="I103" s="284"/>
      <c r="J103" s="284"/>
      <c r="K103" s="284"/>
      <c r="L103" s="284"/>
      <c r="M103" s="298">
        <f>SUM(M104:M104)</f>
        <v>0</v>
      </c>
      <c r="N103" s="298">
        <f>SUM(N104:N104)</f>
        <v>0</v>
      </c>
      <c r="O103" s="298">
        <f>SUM(O104:O104)</f>
        <v>0</v>
      </c>
    </row>
    <row r="104" spans="1:15" ht="14.25" x14ac:dyDescent="0.2">
      <c r="B104" s="253"/>
      <c r="C104" s="30" t="s">
        <v>394</v>
      </c>
      <c r="D104" s="41"/>
      <c r="E104" s="270"/>
      <c r="F104" s="270"/>
      <c r="G104" s="270"/>
      <c r="H104" s="28"/>
      <c r="I104" s="283"/>
      <c r="J104" s="283"/>
      <c r="K104" s="283"/>
      <c r="L104" s="280"/>
      <c r="M104" s="285">
        <f>E104*I104</f>
        <v>0</v>
      </c>
      <c r="N104" s="285">
        <f t="shared" ref="N104" si="12">F104*J104</f>
        <v>0</v>
      </c>
      <c r="O104" s="285">
        <f>G104*K104</f>
        <v>0</v>
      </c>
    </row>
    <row r="105" spans="1:15" ht="14.25" x14ac:dyDescent="0.2">
      <c r="A105" s="246"/>
      <c r="B105" s="288"/>
      <c r="C105" s="289" t="s">
        <v>386</v>
      </c>
      <c r="D105" s="290"/>
      <c r="E105" s="291"/>
      <c r="F105" s="291"/>
      <c r="G105" s="291"/>
      <c r="H105" s="291"/>
      <c r="I105" s="292"/>
      <c r="J105" s="292"/>
      <c r="K105" s="292"/>
      <c r="L105" s="292"/>
      <c r="M105" s="297"/>
      <c r="N105" s="297"/>
      <c r="O105" s="297"/>
    </row>
    <row r="106" spans="1:15" ht="14.25" x14ac:dyDescent="0.2">
      <c r="B106" s="271"/>
      <c r="C106" s="274" t="s">
        <v>387</v>
      </c>
      <c r="D106" s="272"/>
      <c r="E106" s="61"/>
      <c r="F106" s="61"/>
      <c r="G106" s="61"/>
      <c r="H106" s="61"/>
      <c r="I106" s="284"/>
      <c r="J106" s="284"/>
      <c r="K106" s="284"/>
      <c r="L106" s="284"/>
      <c r="M106" s="298">
        <f>SUM(M107:M107)</f>
        <v>0</v>
      </c>
      <c r="N106" s="298">
        <f>SUM(N107:N107)</f>
        <v>0</v>
      </c>
      <c r="O106" s="298">
        <f>SUM(O107:O107)</f>
        <v>0</v>
      </c>
    </row>
    <row r="107" spans="1:15" ht="14.25" x14ac:dyDescent="0.2">
      <c r="B107" s="253"/>
      <c r="C107" s="30" t="s">
        <v>394</v>
      </c>
      <c r="D107" s="41"/>
      <c r="E107" s="270"/>
      <c r="F107" s="270"/>
      <c r="G107" s="270"/>
      <c r="H107" s="28"/>
      <c r="I107" s="283"/>
      <c r="J107" s="283"/>
      <c r="K107" s="283"/>
      <c r="L107" s="280"/>
      <c r="M107" s="285">
        <f>E107*I107</f>
        <v>0</v>
      </c>
      <c r="N107" s="285">
        <f t="shared" ref="N107" si="13">F107*J107</f>
        <v>0</v>
      </c>
      <c r="O107" s="285">
        <f>G107*K107</f>
        <v>0</v>
      </c>
    </row>
    <row r="108" spans="1:15" ht="14.25" x14ac:dyDescent="0.2">
      <c r="B108" s="271"/>
      <c r="C108" s="274" t="s">
        <v>388</v>
      </c>
      <c r="D108" s="272"/>
      <c r="E108" s="61"/>
      <c r="F108" s="61"/>
      <c r="G108" s="61"/>
      <c r="H108" s="61"/>
      <c r="I108" s="284"/>
      <c r="J108" s="284"/>
      <c r="K108" s="284"/>
      <c r="L108" s="284"/>
      <c r="M108" s="298">
        <f>SUM(M109:M109)</f>
        <v>0</v>
      </c>
      <c r="N108" s="298">
        <f>SUM(N109:N109)</f>
        <v>0</v>
      </c>
      <c r="O108" s="298">
        <f>SUM(O109:O109)</f>
        <v>0</v>
      </c>
    </row>
    <row r="109" spans="1:15" ht="14.25" x14ac:dyDescent="0.2">
      <c r="B109" s="253"/>
      <c r="C109" s="30" t="s">
        <v>394</v>
      </c>
      <c r="D109" s="41"/>
      <c r="E109" s="270"/>
      <c r="F109" s="270"/>
      <c r="G109" s="270"/>
      <c r="H109" s="28"/>
      <c r="I109" s="283"/>
      <c r="J109" s="283"/>
      <c r="K109" s="283"/>
      <c r="L109" s="280"/>
      <c r="M109" s="285">
        <f>E109*I109</f>
        <v>0</v>
      </c>
      <c r="N109" s="285">
        <f t="shared" ref="N109" si="14">F109*J109</f>
        <v>0</v>
      </c>
      <c r="O109" s="285">
        <f>G109*K109</f>
        <v>0</v>
      </c>
    </row>
    <row r="110" spans="1:15" ht="14.25" x14ac:dyDescent="0.2">
      <c r="B110" s="273"/>
      <c r="C110" s="3"/>
      <c r="D110" s="3"/>
      <c r="E110" s="3"/>
      <c r="I110" s="278"/>
      <c r="J110" s="278"/>
      <c r="K110" s="278"/>
      <c r="L110" s="278"/>
      <c r="M110" s="278"/>
      <c r="N110" s="278"/>
      <c r="O110" s="278"/>
    </row>
    <row r="111" spans="1:15" ht="15.75" thickBot="1" x14ac:dyDescent="0.3">
      <c r="A111" s="246"/>
      <c r="B111" s="273"/>
      <c r="C111" s="3"/>
      <c r="D111" s="3"/>
      <c r="E111" s="3"/>
      <c r="I111" s="278"/>
      <c r="J111" s="278"/>
      <c r="K111" s="278"/>
      <c r="L111" s="286" t="s">
        <v>390</v>
      </c>
      <c r="M111" s="287">
        <f>SUM(M84:M104)/2</f>
        <v>0</v>
      </c>
      <c r="N111" s="287">
        <f>SUM(N84:N104)/2</f>
        <v>0</v>
      </c>
      <c r="O111" s="287">
        <f>SUM(O84:O104)/2</f>
        <v>0</v>
      </c>
    </row>
    <row r="112" spans="1:15" ht="16.5" thickTop="1" thickBot="1" x14ac:dyDescent="0.3">
      <c r="B112" s="273"/>
      <c r="C112" s="3"/>
      <c r="D112" s="3"/>
      <c r="E112" s="3"/>
      <c r="I112" s="278"/>
      <c r="J112" s="278"/>
      <c r="K112" s="278"/>
      <c r="L112" s="286" t="s">
        <v>389</v>
      </c>
      <c r="M112" s="287">
        <f>SUM(M106:M109)/2</f>
        <v>0</v>
      </c>
      <c r="N112" s="287">
        <f>SUM(N106:N109)/2</f>
        <v>0</v>
      </c>
      <c r="O112" s="287">
        <f>SUM(O106:O109)/2</f>
        <v>0</v>
      </c>
    </row>
    <row r="113" spans="1:16" ht="15.75" thickTop="1" x14ac:dyDescent="0.25"/>
    <row r="114" spans="1:16" s="28" customFormat="1" ht="15.75" x14ac:dyDescent="0.25">
      <c r="A114" s="263"/>
      <c r="B114" s="315"/>
      <c r="C114" s="316">
        <f>B35</f>
        <v>0</v>
      </c>
      <c r="D114" s="315"/>
      <c r="E114" s="315"/>
      <c r="F114" s="315"/>
      <c r="G114" s="315"/>
      <c r="H114" s="317"/>
      <c r="I114" s="318"/>
      <c r="J114" s="318"/>
      <c r="K114" s="318"/>
      <c r="L114" s="318"/>
      <c r="M114" s="318"/>
      <c r="N114" s="318"/>
      <c r="O114" s="318"/>
      <c r="P114" s="254"/>
    </row>
    <row r="115" spans="1:16" ht="15.75" x14ac:dyDescent="0.25">
      <c r="A115" s="246"/>
      <c r="B115" s="303" t="s">
        <v>346</v>
      </c>
      <c r="C115" s="304" t="s">
        <v>369</v>
      </c>
      <c r="D115" s="305" t="s">
        <v>370</v>
      </c>
      <c r="E115" s="306"/>
      <c r="F115" s="306" t="s">
        <v>392</v>
      </c>
      <c r="G115" s="306"/>
      <c r="H115" s="306"/>
      <c r="I115" s="307"/>
      <c r="J115" s="307" t="s">
        <v>391</v>
      </c>
      <c r="K115" s="307"/>
      <c r="L115" s="279"/>
      <c r="M115" s="307"/>
      <c r="N115" s="307" t="s">
        <v>369</v>
      </c>
      <c r="O115" s="307"/>
    </row>
    <row r="116" spans="1:16" ht="15.75" x14ac:dyDescent="0.25">
      <c r="A116" s="246"/>
      <c r="B116" s="266"/>
      <c r="C116" s="264"/>
      <c r="D116" s="266"/>
      <c r="E116" s="267" t="s">
        <v>371</v>
      </c>
      <c r="F116" s="267" t="s">
        <v>372</v>
      </c>
      <c r="G116" s="267" t="s">
        <v>373</v>
      </c>
      <c r="I116" s="281" t="s">
        <v>371</v>
      </c>
      <c r="J116" s="281" t="s">
        <v>372</v>
      </c>
      <c r="K116" s="281" t="s">
        <v>373</v>
      </c>
      <c r="L116" s="278"/>
      <c r="M116" s="293" t="s">
        <v>371</v>
      </c>
      <c r="N116" s="293" t="s">
        <v>372</v>
      </c>
      <c r="O116" s="293" t="s">
        <v>373</v>
      </c>
      <c r="P116" s="254"/>
    </row>
    <row r="117" spans="1:16" ht="14.25" x14ac:dyDescent="0.2">
      <c r="A117" s="246"/>
      <c r="B117" s="275"/>
      <c r="C117" s="276" t="s">
        <v>374</v>
      </c>
      <c r="D117" s="277"/>
      <c r="E117" s="57"/>
      <c r="F117" s="57"/>
      <c r="G117" s="57"/>
      <c r="H117" s="57"/>
      <c r="I117" s="282"/>
      <c r="J117" s="282"/>
      <c r="K117" s="282"/>
      <c r="L117" s="282"/>
      <c r="M117" s="294">
        <f>SUM(M118:M118)</f>
        <v>0</v>
      </c>
      <c r="N117" s="294">
        <f>SUM(N118:N118)</f>
        <v>0</v>
      </c>
      <c r="O117" s="294">
        <f>SUM(O118:O118)</f>
        <v>0</v>
      </c>
    </row>
    <row r="118" spans="1:16" ht="14.25" x14ac:dyDescent="0.2">
      <c r="A118" s="246"/>
      <c r="B118" s="253"/>
      <c r="C118" s="30" t="s">
        <v>394</v>
      </c>
      <c r="D118" s="41"/>
      <c r="E118" s="270"/>
      <c r="F118" s="270"/>
      <c r="G118" s="270"/>
      <c r="H118" s="28"/>
      <c r="I118" s="283"/>
      <c r="J118" s="283"/>
      <c r="K118" s="283"/>
      <c r="L118" s="280"/>
      <c r="M118" s="295">
        <f>E118*I118</f>
        <v>0</v>
      </c>
      <c r="N118" s="295">
        <f t="shared" ref="N118" si="15">F118*J118</f>
        <v>0</v>
      </c>
      <c r="O118" s="295">
        <f t="shared" ref="O118" si="16">G118*K118</f>
        <v>0</v>
      </c>
    </row>
    <row r="119" spans="1:16" ht="14.25" x14ac:dyDescent="0.2">
      <c r="A119" s="246"/>
      <c r="B119" s="275"/>
      <c r="C119" s="276" t="s">
        <v>378</v>
      </c>
      <c r="D119" s="277"/>
      <c r="E119" s="57"/>
      <c r="F119" s="57"/>
      <c r="G119" s="57"/>
      <c r="H119" s="57"/>
      <c r="I119" s="282"/>
      <c r="J119" s="282"/>
      <c r="K119" s="282"/>
      <c r="L119" s="282"/>
      <c r="M119" s="296"/>
      <c r="N119" s="296"/>
      <c r="O119" s="296"/>
    </row>
    <row r="120" spans="1:16" ht="14.25" x14ac:dyDescent="0.2">
      <c r="A120" s="246"/>
      <c r="B120" s="268"/>
      <c r="C120" s="274" t="s">
        <v>375</v>
      </c>
      <c r="D120" s="269"/>
      <c r="E120" s="61"/>
      <c r="F120" s="61"/>
      <c r="G120" s="61"/>
      <c r="H120" s="61"/>
      <c r="I120" s="284"/>
      <c r="J120" s="284"/>
      <c r="K120" s="284"/>
      <c r="L120" s="284"/>
      <c r="M120" s="298">
        <f>SUM(M121:M121)</f>
        <v>0</v>
      </c>
      <c r="N120" s="298">
        <f>SUM(N121:N121)</f>
        <v>0</v>
      </c>
      <c r="O120" s="298">
        <f>SUM(O121:O121)</f>
        <v>0</v>
      </c>
    </row>
    <row r="121" spans="1:16" ht="14.25" x14ac:dyDescent="0.2">
      <c r="B121" s="253"/>
      <c r="C121" s="30" t="s">
        <v>394</v>
      </c>
      <c r="D121" s="41"/>
      <c r="E121" s="270"/>
      <c r="F121" s="270"/>
      <c r="G121" s="270"/>
      <c r="H121" s="28"/>
      <c r="I121" s="283"/>
      <c r="J121" s="283"/>
      <c r="K121" s="283"/>
      <c r="L121" s="280"/>
      <c r="M121" s="285">
        <f>E121*I121</f>
        <v>0</v>
      </c>
      <c r="N121" s="285">
        <f t="shared" ref="N121" si="17">F121*J121</f>
        <v>0</v>
      </c>
      <c r="O121" s="285">
        <f t="shared" ref="O121" si="18">G121*K121</f>
        <v>0</v>
      </c>
    </row>
    <row r="122" spans="1:16" ht="14.25" x14ac:dyDescent="0.2">
      <c r="B122" s="268"/>
      <c r="C122" s="274" t="s">
        <v>376</v>
      </c>
      <c r="D122" s="269"/>
      <c r="E122" s="61"/>
      <c r="F122" s="61"/>
      <c r="G122" s="61"/>
      <c r="H122" s="61"/>
      <c r="I122" s="284"/>
      <c r="J122" s="284"/>
      <c r="K122" s="284"/>
      <c r="L122" s="284"/>
      <c r="M122" s="298">
        <f>SUM(M123:M123)</f>
        <v>0</v>
      </c>
      <c r="N122" s="298">
        <f>SUM(N123:N123)</f>
        <v>0</v>
      </c>
      <c r="O122" s="298">
        <f>SUM(O123:O123)</f>
        <v>0</v>
      </c>
    </row>
    <row r="123" spans="1:16" ht="14.25" x14ac:dyDescent="0.2">
      <c r="B123" s="253"/>
      <c r="C123" s="30" t="s">
        <v>394</v>
      </c>
      <c r="D123" s="41"/>
      <c r="E123" s="270"/>
      <c r="F123" s="270"/>
      <c r="G123" s="270"/>
      <c r="H123" s="28"/>
      <c r="I123" s="283"/>
      <c r="J123" s="283"/>
      <c r="K123" s="283"/>
      <c r="L123" s="280"/>
      <c r="M123" s="285">
        <f>E123*I123</f>
        <v>0</v>
      </c>
      <c r="N123" s="285">
        <f t="shared" ref="N123" si="19">F123*J123</f>
        <v>0</v>
      </c>
      <c r="O123" s="285">
        <f>G123*K123</f>
        <v>0</v>
      </c>
    </row>
    <row r="124" spans="1:16" ht="14.25" x14ac:dyDescent="0.2">
      <c r="B124" s="268"/>
      <c r="C124" s="274" t="s">
        <v>379</v>
      </c>
      <c r="D124" s="269"/>
      <c r="E124" s="61"/>
      <c r="F124" s="61"/>
      <c r="G124" s="61"/>
      <c r="H124" s="61"/>
      <c r="I124" s="284"/>
      <c r="J124" s="284"/>
      <c r="K124" s="284"/>
      <c r="L124" s="284"/>
      <c r="M124" s="298">
        <f>SUM(M125:M125)</f>
        <v>0</v>
      </c>
      <c r="N124" s="298">
        <f>SUM(N125:N125)</f>
        <v>0</v>
      </c>
      <c r="O124" s="298">
        <f>SUM(O125:O125)</f>
        <v>0</v>
      </c>
    </row>
    <row r="125" spans="1:16" ht="14.25" x14ac:dyDescent="0.2">
      <c r="B125" s="253"/>
      <c r="C125" s="30" t="s">
        <v>394</v>
      </c>
      <c r="D125" s="41"/>
      <c r="E125" s="270"/>
      <c r="F125" s="270"/>
      <c r="G125" s="270"/>
      <c r="H125" s="28"/>
      <c r="I125" s="283"/>
      <c r="J125" s="283"/>
      <c r="K125" s="283"/>
      <c r="L125" s="280"/>
      <c r="M125" s="285">
        <f>E125*I125</f>
        <v>0</v>
      </c>
      <c r="N125" s="285">
        <f t="shared" ref="N125" si="20">F125*J125</f>
        <v>0</v>
      </c>
      <c r="O125" s="285">
        <f>G125*K125</f>
        <v>0</v>
      </c>
    </row>
    <row r="126" spans="1:16" ht="14.25" x14ac:dyDescent="0.2">
      <c r="B126" s="271"/>
      <c r="C126" s="274" t="s">
        <v>380</v>
      </c>
      <c r="D126" s="272"/>
      <c r="E126" s="61"/>
      <c r="F126" s="61"/>
      <c r="G126" s="61"/>
      <c r="H126" s="61"/>
      <c r="I126" s="284"/>
      <c r="J126" s="284"/>
      <c r="K126" s="284"/>
      <c r="L126" s="284"/>
      <c r="M126" s="298">
        <f>SUM(M127:M127)</f>
        <v>0</v>
      </c>
      <c r="N126" s="298">
        <f>SUM(N127:N127)</f>
        <v>0</v>
      </c>
      <c r="O126" s="298">
        <f>SUM(O127:O127)</f>
        <v>0</v>
      </c>
    </row>
    <row r="127" spans="1:16" ht="14.25" x14ac:dyDescent="0.2">
      <c r="B127" s="253"/>
      <c r="C127" s="30" t="s">
        <v>394</v>
      </c>
      <c r="D127" s="41"/>
      <c r="E127" s="270"/>
      <c r="F127" s="270"/>
      <c r="G127" s="270"/>
      <c r="H127" s="28"/>
      <c r="I127" s="283"/>
      <c r="J127" s="283"/>
      <c r="K127" s="283"/>
      <c r="L127" s="280"/>
      <c r="M127" s="285">
        <f>E127*I127</f>
        <v>0</v>
      </c>
      <c r="N127" s="285">
        <f t="shared" ref="N127" si="21">F127*J127</f>
        <v>0</v>
      </c>
      <c r="O127" s="285">
        <f>G127*K127</f>
        <v>0</v>
      </c>
    </row>
    <row r="128" spans="1:16" ht="14.25" x14ac:dyDescent="0.2">
      <c r="B128" s="271"/>
      <c r="C128" s="274" t="s">
        <v>381</v>
      </c>
      <c r="D128" s="272"/>
      <c r="E128" s="61"/>
      <c r="F128" s="61"/>
      <c r="G128" s="61"/>
      <c r="H128" s="61"/>
      <c r="I128" s="284"/>
      <c r="J128" s="284"/>
      <c r="K128" s="284"/>
      <c r="L128" s="284"/>
      <c r="M128" s="298">
        <f>SUM(M129:M129)</f>
        <v>0</v>
      </c>
      <c r="N128" s="298">
        <f>SUM(N129:N129)</f>
        <v>0</v>
      </c>
      <c r="O128" s="298">
        <f>SUM(O129:O129)</f>
        <v>0</v>
      </c>
    </row>
    <row r="129" spans="1:15" ht="14.25" x14ac:dyDescent="0.2">
      <c r="B129" s="253"/>
      <c r="C129" s="30" t="s">
        <v>394</v>
      </c>
      <c r="D129" s="41"/>
      <c r="E129" s="270"/>
      <c r="F129" s="270"/>
      <c r="G129" s="270"/>
      <c r="H129" s="28"/>
      <c r="I129" s="283"/>
      <c r="J129" s="283"/>
      <c r="K129" s="283"/>
      <c r="L129" s="280"/>
      <c r="M129" s="285">
        <f>E129*I129</f>
        <v>0</v>
      </c>
      <c r="N129" s="285">
        <f>F129*J129</f>
        <v>0</v>
      </c>
      <c r="O129" s="285">
        <f>G129*K129</f>
        <v>0</v>
      </c>
    </row>
    <row r="130" spans="1:15" ht="14.25" x14ac:dyDescent="0.2">
      <c r="B130" s="268"/>
      <c r="C130" s="274" t="s">
        <v>377</v>
      </c>
      <c r="D130" s="269"/>
      <c r="E130" s="61"/>
      <c r="F130" s="61"/>
      <c r="G130" s="61"/>
      <c r="H130" s="61"/>
      <c r="I130" s="284"/>
      <c r="J130" s="284"/>
      <c r="K130" s="284"/>
      <c r="L130" s="284"/>
      <c r="M130" s="298">
        <f>SUM(M131:M131)</f>
        <v>0</v>
      </c>
      <c r="N130" s="298">
        <f>SUM(N131:N131)</f>
        <v>0</v>
      </c>
      <c r="O130" s="298">
        <f>SUM(O131:O131)</f>
        <v>0</v>
      </c>
    </row>
    <row r="131" spans="1:15" ht="14.25" x14ac:dyDescent="0.2">
      <c r="B131" s="253"/>
      <c r="C131" s="30" t="s">
        <v>394</v>
      </c>
      <c r="D131" s="41"/>
      <c r="E131" s="270"/>
      <c r="F131" s="270"/>
      <c r="G131" s="270"/>
      <c r="H131" s="28"/>
      <c r="I131" s="283"/>
      <c r="J131" s="283"/>
      <c r="K131" s="283"/>
      <c r="L131" s="280"/>
      <c r="M131" s="285">
        <f>E131*I131</f>
        <v>0</v>
      </c>
      <c r="N131" s="285">
        <f t="shared" ref="N131" si="22">F131*J131</f>
        <v>0</v>
      </c>
      <c r="O131" s="285">
        <f>G131*K131</f>
        <v>0</v>
      </c>
    </row>
    <row r="132" spans="1:15" ht="14.25" x14ac:dyDescent="0.2">
      <c r="B132" s="268"/>
      <c r="C132" s="274" t="s">
        <v>382</v>
      </c>
      <c r="D132" s="269"/>
      <c r="E132" s="61"/>
      <c r="F132" s="61"/>
      <c r="G132" s="61"/>
      <c r="H132" s="61"/>
      <c r="I132" s="284"/>
      <c r="J132" s="284"/>
      <c r="K132" s="284"/>
      <c r="L132" s="284"/>
      <c r="M132" s="298">
        <f>SUM(M133:M133)</f>
        <v>0</v>
      </c>
      <c r="N132" s="298">
        <f>SUM(N133:N133)</f>
        <v>0</v>
      </c>
      <c r="O132" s="298">
        <f>SUM(O133:O133)</f>
        <v>0</v>
      </c>
    </row>
    <row r="133" spans="1:15" ht="14.25" x14ac:dyDescent="0.2">
      <c r="B133" s="253"/>
      <c r="C133" s="30" t="s">
        <v>394</v>
      </c>
      <c r="D133" s="41"/>
      <c r="E133" s="270"/>
      <c r="F133" s="270"/>
      <c r="G133" s="270"/>
      <c r="H133" s="28"/>
      <c r="I133" s="283"/>
      <c r="J133" s="283"/>
      <c r="K133" s="283"/>
      <c r="L133" s="280"/>
      <c r="M133" s="285">
        <f>E133*I133</f>
        <v>0</v>
      </c>
      <c r="N133" s="285">
        <f t="shared" ref="N133" si="23">F133*J133</f>
        <v>0</v>
      </c>
      <c r="O133" s="285">
        <f>G133*K133</f>
        <v>0</v>
      </c>
    </row>
    <row r="134" spans="1:15" ht="14.25" x14ac:dyDescent="0.2">
      <c r="A134" s="246"/>
      <c r="B134" s="275"/>
      <c r="C134" s="276" t="s">
        <v>383</v>
      </c>
      <c r="D134" s="277"/>
      <c r="E134" s="57"/>
      <c r="F134" s="57"/>
      <c r="G134" s="57"/>
      <c r="H134" s="57"/>
      <c r="I134" s="282"/>
      <c r="J134" s="282"/>
      <c r="K134" s="282"/>
      <c r="L134" s="282"/>
      <c r="M134" s="296"/>
      <c r="N134" s="296"/>
      <c r="O134" s="296"/>
    </row>
    <row r="135" spans="1:15" ht="14.25" x14ac:dyDescent="0.2">
      <c r="B135" s="271"/>
      <c r="C135" s="274" t="s">
        <v>384</v>
      </c>
      <c r="D135" s="272"/>
      <c r="E135" s="61"/>
      <c r="F135" s="61"/>
      <c r="G135" s="61"/>
      <c r="H135" s="61"/>
      <c r="I135" s="284"/>
      <c r="J135" s="284"/>
      <c r="K135" s="284"/>
      <c r="L135" s="284"/>
      <c r="M135" s="298">
        <f>SUM(M136:M136)</f>
        <v>0</v>
      </c>
      <c r="N135" s="298">
        <f>SUM(N136:N136)</f>
        <v>0</v>
      </c>
      <c r="O135" s="298">
        <f>SUM(O136:O136)</f>
        <v>0</v>
      </c>
    </row>
    <row r="136" spans="1:15" ht="14.25" x14ac:dyDescent="0.2">
      <c r="B136" s="253"/>
      <c r="C136" s="30" t="s">
        <v>394</v>
      </c>
      <c r="D136" s="41"/>
      <c r="E136" s="270"/>
      <c r="F136" s="270"/>
      <c r="G136" s="270"/>
      <c r="H136" s="28"/>
      <c r="I136" s="283"/>
      <c r="J136" s="283"/>
      <c r="K136" s="283"/>
      <c r="L136" s="280"/>
      <c r="M136" s="285">
        <f>E136*I136</f>
        <v>0</v>
      </c>
      <c r="N136" s="285">
        <f t="shared" ref="N136" si="24">F136*J136</f>
        <v>0</v>
      </c>
      <c r="O136" s="285">
        <f>G136*K136</f>
        <v>0</v>
      </c>
    </row>
    <row r="137" spans="1:15" ht="14.25" x14ac:dyDescent="0.2">
      <c r="B137" s="271"/>
      <c r="C137" s="274" t="s">
        <v>385</v>
      </c>
      <c r="D137" s="272"/>
      <c r="E137" s="61"/>
      <c r="F137" s="61"/>
      <c r="G137" s="61"/>
      <c r="H137" s="61"/>
      <c r="I137" s="284"/>
      <c r="J137" s="284"/>
      <c r="K137" s="284"/>
      <c r="L137" s="284"/>
      <c r="M137" s="298">
        <f>SUM(M138:M138)</f>
        <v>0</v>
      </c>
      <c r="N137" s="298">
        <f>SUM(N138:N138)</f>
        <v>0</v>
      </c>
      <c r="O137" s="298">
        <f>SUM(O138:O138)</f>
        <v>0</v>
      </c>
    </row>
    <row r="138" spans="1:15" ht="14.25" x14ac:dyDescent="0.2">
      <c r="B138" s="253"/>
      <c r="C138" s="30" t="s">
        <v>394</v>
      </c>
      <c r="D138" s="41"/>
      <c r="E138" s="270"/>
      <c r="F138" s="270"/>
      <c r="G138" s="270"/>
      <c r="H138" s="28"/>
      <c r="I138" s="283"/>
      <c r="J138" s="283"/>
      <c r="K138" s="283"/>
      <c r="L138" s="280"/>
      <c r="M138" s="285">
        <f>E138*I138</f>
        <v>0</v>
      </c>
      <c r="N138" s="285">
        <f t="shared" ref="N138" si="25">F138*J138</f>
        <v>0</v>
      </c>
      <c r="O138" s="285">
        <f>G138*K138</f>
        <v>0</v>
      </c>
    </row>
    <row r="139" spans="1:15" ht="14.25" x14ac:dyDescent="0.2">
      <c r="A139" s="246"/>
      <c r="B139" s="288"/>
      <c r="C139" s="289" t="s">
        <v>386</v>
      </c>
      <c r="D139" s="290"/>
      <c r="E139" s="291"/>
      <c r="F139" s="291"/>
      <c r="G139" s="291"/>
      <c r="H139" s="291"/>
      <c r="I139" s="292"/>
      <c r="J139" s="292"/>
      <c r="K139" s="292"/>
      <c r="L139" s="292"/>
      <c r="M139" s="297"/>
      <c r="N139" s="297"/>
      <c r="O139" s="297"/>
    </row>
    <row r="140" spans="1:15" ht="14.25" x14ac:dyDescent="0.2">
      <c r="B140" s="271"/>
      <c r="C140" s="274" t="s">
        <v>387</v>
      </c>
      <c r="D140" s="272"/>
      <c r="E140" s="61"/>
      <c r="F140" s="61"/>
      <c r="G140" s="61"/>
      <c r="H140" s="61"/>
      <c r="I140" s="284"/>
      <c r="J140" s="284"/>
      <c r="K140" s="284"/>
      <c r="L140" s="284"/>
      <c r="M140" s="298">
        <f>SUM(M141:M141)</f>
        <v>0</v>
      </c>
      <c r="N140" s="298">
        <f>SUM(N141:N141)</f>
        <v>0</v>
      </c>
      <c r="O140" s="298">
        <f>SUM(O141:O141)</f>
        <v>0</v>
      </c>
    </row>
    <row r="141" spans="1:15" ht="14.25" x14ac:dyDescent="0.2">
      <c r="B141" s="253"/>
      <c r="C141" s="30" t="s">
        <v>394</v>
      </c>
      <c r="D141" s="41"/>
      <c r="E141" s="270"/>
      <c r="F141" s="270"/>
      <c r="G141" s="270"/>
      <c r="H141" s="28"/>
      <c r="I141" s="283"/>
      <c r="J141" s="283"/>
      <c r="K141" s="283"/>
      <c r="L141" s="280"/>
      <c r="M141" s="285">
        <f>E141*I141</f>
        <v>0</v>
      </c>
      <c r="N141" s="285">
        <f t="shared" ref="N141" si="26">F141*J141</f>
        <v>0</v>
      </c>
      <c r="O141" s="285">
        <f>G141*K141</f>
        <v>0</v>
      </c>
    </row>
    <row r="142" spans="1:15" ht="14.25" x14ac:dyDescent="0.2">
      <c r="B142" s="271"/>
      <c r="C142" s="274" t="s">
        <v>388</v>
      </c>
      <c r="D142" s="272"/>
      <c r="E142" s="61"/>
      <c r="F142" s="61"/>
      <c r="G142" s="61"/>
      <c r="H142" s="61"/>
      <c r="I142" s="284"/>
      <c r="J142" s="284"/>
      <c r="K142" s="284"/>
      <c r="L142" s="284"/>
      <c r="M142" s="298">
        <f>SUM(M143:M143)</f>
        <v>0</v>
      </c>
      <c r="N142" s="298">
        <f>SUM(N143:N143)</f>
        <v>0</v>
      </c>
      <c r="O142" s="298">
        <f>SUM(O143:O143)</f>
        <v>0</v>
      </c>
    </row>
    <row r="143" spans="1:15" ht="14.25" x14ac:dyDescent="0.2">
      <c r="B143" s="253"/>
      <c r="C143" s="30" t="s">
        <v>394</v>
      </c>
      <c r="D143" s="41"/>
      <c r="E143" s="270"/>
      <c r="F143" s="270"/>
      <c r="G143" s="270"/>
      <c r="H143" s="28"/>
      <c r="I143" s="283"/>
      <c r="J143" s="283"/>
      <c r="K143" s="283"/>
      <c r="L143" s="280"/>
      <c r="M143" s="285">
        <f>E143*I143</f>
        <v>0</v>
      </c>
      <c r="N143" s="285">
        <f t="shared" ref="N143" si="27">F143*J143</f>
        <v>0</v>
      </c>
      <c r="O143" s="285">
        <f>G143*K143</f>
        <v>0</v>
      </c>
    </row>
    <row r="144" spans="1:15" ht="14.25" x14ac:dyDescent="0.2">
      <c r="B144" s="273"/>
      <c r="C144" s="3"/>
      <c r="D144" s="3"/>
      <c r="E144" s="3"/>
      <c r="I144" s="278"/>
      <c r="J144" s="278"/>
      <c r="K144" s="278"/>
      <c r="L144" s="278"/>
      <c r="M144" s="278"/>
      <c r="N144" s="278"/>
      <c r="O144" s="278"/>
    </row>
    <row r="145" spans="1:16" ht="15.75" thickBot="1" x14ac:dyDescent="0.3">
      <c r="A145" s="246"/>
      <c r="B145" s="273"/>
      <c r="C145" s="3"/>
      <c r="D145" s="3"/>
      <c r="E145" s="3"/>
      <c r="I145" s="278"/>
      <c r="J145" s="278"/>
      <c r="K145" s="278"/>
      <c r="L145" s="286" t="s">
        <v>390</v>
      </c>
      <c r="M145" s="287">
        <f>SUM(M118:M138)/2</f>
        <v>0</v>
      </c>
      <c r="N145" s="287">
        <f>SUM(N118:N138)/2</f>
        <v>0</v>
      </c>
      <c r="O145" s="287">
        <f>SUM(O118:O138)/2</f>
        <v>0</v>
      </c>
    </row>
    <row r="146" spans="1:16" ht="16.5" thickTop="1" thickBot="1" x14ac:dyDescent="0.3">
      <c r="B146" s="273"/>
      <c r="C146" s="3"/>
      <c r="D146" s="3"/>
      <c r="E146" s="3"/>
      <c r="I146" s="278"/>
      <c r="J146" s="278"/>
      <c r="K146" s="278"/>
      <c r="L146" s="286" t="s">
        <v>389</v>
      </c>
      <c r="M146" s="287">
        <f>SUM(M140:M143)/2</f>
        <v>0</v>
      </c>
      <c r="N146" s="287">
        <f>SUM(N140:N143)/2</f>
        <v>0</v>
      </c>
      <c r="O146" s="287">
        <f>SUM(O140:O143)/2</f>
        <v>0</v>
      </c>
    </row>
    <row r="147" spans="1:16" ht="15.75" thickTop="1" x14ac:dyDescent="0.25"/>
    <row r="148" spans="1:16" s="28" customFormat="1" ht="15.75" x14ac:dyDescent="0.25">
      <c r="A148" s="263"/>
      <c r="B148" s="315"/>
      <c r="C148" s="316">
        <f>B69</f>
        <v>0</v>
      </c>
      <c r="D148" s="315"/>
      <c r="E148" s="315"/>
      <c r="F148" s="315"/>
      <c r="G148" s="315"/>
      <c r="H148" s="317"/>
      <c r="I148" s="318"/>
      <c r="J148" s="318"/>
      <c r="K148" s="318"/>
      <c r="L148" s="318"/>
      <c r="M148" s="318"/>
      <c r="N148" s="318"/>
      <c r="O148" s="318"/>
      <c r="P148" s="254"/>
    </row>
    <row r="149" spans="1:16" ht="15.75" x14ac:dyDescent="0.25">
      <c r="A149" s="246"/>
      <c r="B149" s="303" t="s">
        <v>346</v>
      </c>
      <c r="C149" s="304" t="s">
        <v>369</v>
      </c>
      <c r="D149" s="305" t="s">
        <v>370</v>
      </c>
      <c r="E149" s="306"/>
      <c r="F149" s="306" t="s">
        <v>392</v>
      </c>
      <c r="G149" s="306"/>
      <c r="H149" s="306"/>
      <c r="I149" s="307"/>
      <c r="J149" s="307" t="s">
        <v>391</v>
      </c>
      <c r="K149" s="307"/>
      <c r="L149" s="279"/>
      <c r="M149" s="307"/>
      <c r="N149" s="307" t="s">
        <v>369</v>
      </c>
      <c r="O149" s="307"/>
    </row>
    <row r="150" spans="1:16" ht="15.75" x14ac:dyDescent="0.25">
      <c r="A150" s="246"/>
      <c r="B150" s="266"/>
      <c r="C150" s="264"/>
      <c r="D150" s="266"/>
      <c r="E150" s="267" t="s">
        <v>371</v>
      </c>
      <c r="F150" s="267" t="s">
        <v>372</v>
      </c>
      <c r="G150" s="267" t="s">
        <v>373</v>
      </c>
      <c r="I150" s="281" t="s">
        <v>371</v>
      </c>
      <c r="J150" s="281" t="s">
        <v>372</v>
      </c>
      <c r="K150" s="281" t="s">
        <v>373</v>
      </c>
      <c r="L150" s="278"/>
      <c r="M150" s="293" t="s">
        <v>371</v>
      </c>
      <c r="N150" s="293" t="s">
        <v>372</v>
      </c>
      <c r="O150" s="293" t="s">
        <v>373</v>
      </c>
      <c r="P150" s="254"/>
    </row>
    <row r="151" spans="1:16" ht="14.25" x14ac:dyDescent="0.2">
      <c r="A151" s="246"/>
      <c r="B151" s="275"/>
      <c r="C151" s="276" t="s">
        <v>374</v>
      </c>
      <c r="D151" s="277"/>
      <c r="E151" s="57"/>
      <c r="F151" s="57"/>
      <c r="G151" s="57"/>
      <c r="H151" s="57"/>
      <c r="I151" s="282"/>
      <c r="J151" s="282"/>
      <c r="K151" s="282"/>
      <c r="L151" s="282"/>
      <c r="M151" s="294">
        <f>SUM(M152:M152)</f>
        <v>0</v>
      </c>
      <c r="N151" s="294">
        <f>SUM(N152:N152)</f>
        <v>0</v>
      </c>
      <c r="O151" s="294">
        <f>SUM(O152:O152)</f>
        <v>0</v>
      </c>
    </row>
    <row r="152" spans="1:16" ht="14.25" x14ac:dyDescent="0.2">
      <c r="A152" s="246"/>
      <c r="B152" s="253"/>
      <c r="C152" s="30" t="s">
        <v>394</v>
      </c>
      <c r="D152" s="41"/>
      <c r="E152" s="270"/>
      <c r="F152" s="270"/>
      <c r="G152" s="270"/>
      <c r="H152" s="28"/>
      <c r="I152" s="283"/>
      <c r="J152" s="283"/>
      <c r="K152" s="283"/>
      <c r="L152" s="280"/>
      <c r="M152" s="295">
        <f>E152*I152</f>
        <v>0</v>
      </c>
      <c r="N152" s="295">
        <f t="shared" ref="N152" si="28">F152*J152</f>
        <v>0</v>
      </c>
      <c r="O152" s="295">
        <f t="shared" ref="O152" si="29">G152*K152</f>
        <v>0</v>
      </c>
    </row>
    <row r="153" spans="1:16" ht="14.25" x14ac:dyDescent="0.2">
      <c r="A153" s="246"/>
      <c r="B153" s="275"/>
      <c r="C153" s="276" t="s">
        <v>378</v>
      </c>
      <c r="D153" s="277"/>
      <c r="E153" s="57"/>
      <c r="F153" s="57"/>
      <c r="G153" s="57"/>
      <c r="H153" s="57"/>
      <c r="I153" s="282"/>
      <c r="J153" s="282"/>
      <c r="K153" s="282"/>
      <c r="L153" s="282"/>
      <c r="M153" s="296"/>
      <c r="N153" s="296"/>
      <c r="O153" s="296"/>
    </row>
    <row r="154" spans="1:16" ht="14.25" x14ac:dyDescent="0.2">
      <c r="A154" s="246"/>
      <c r="B154" s="268"/>
      <c r="C154" s="274" t="s">
        <v>375</v>
      </c>
      <c r="D154" s="269"/>
      <c r="E154" s="61"/>
      <c r="F154" s="61"/>
      <c r="G154" s="61"/>
      <c r="H154" s="61"/>
      <c r="I154" s="284"/>
      <c r="J154" s="284"/>
      <c r="K154" s="284"/>
      <c r="L154" s="284"/>
      <c r="M154" s="298">
        <f>SUM(M155:M155)</f>
        <v>0</v>
      </c>
      <c r="N154" s="298">
        <f>SUM(N155:N155)</f>
        <v>0</v>
      </c>
      <c r="O154" s="298">
        <f>SUM(O155:O155)</f>
        <v>0</v>
      </c>
    </row>
    <row r="155" spans="1:16" ht="14.25" x14ac:dyDescent="0.2">
      <c r="B155" s="253"/>
      <c r="C155" s="30" t="s">
        <v>394</v>
      </c>
      <c r="D155" s="41"/>
      <c r="E155" s="270"/>
      <c r="F155" s="270"/>
      <c r="G155" s="270"/>
      <c r="H155" s="28"/>
      <c r="I155" s="283"/>
      <c r="J155" s="283"/>
      <c r="K155" s="283"/>
      <c r="L155" s="280"/>
      <c r="M155" s="285">
        <f>E155*I155</f>
        <v>0</v>
      </c>
      <c r="N155" s="285">
        <f t="shared" ref="N155" si="30">F155*J155</f>
        <v>0</v>
      </c>
      <c r="O155" s="285">
        <f t="shared" ref="O155" si="31">G155*K155</f>
        <v>0</v>
      </c>
    </row>
    <row r="156" spans="1:16" ht="14.25" x14ac:dyDescent="0.2">
      <c r="B156" s="268"/>
      <c r="C156" s="274" t="s">
        <v>376</v>
      </c>
      <c r="D156" s="269"/>
      <c r="E156" s="61"/>
      <c r="F156" s="61"/>
      <c r="G156" s="61"/>
      <c r="H156" s="61"/>
      <c r="I156" s="284"/>
      <c r="J156" s="284"/>
      <c r="K156" s="284"/>
      <c r="L156" s="284"/>
      <c r="M156" s="298">
        <f>SUM(M157:M157)</f>
        <v>0</v>
      </c>
      <c r="N156" s="298">
        <f>SUM(N157:N157)</f>
        <v>0</v>
      </c>
      <c r="O156" s="298">
        <f>SUM(O157:O157)</f>
        <v>0</v>
      </c>
    </row>
    <row r="157" spans="1:16" ht="14.25" x14ac:dyDescent="0.2">
      <c r="B157" s="253"/>
      <c r="C157" s="30" t="s">
        <v>394</v>
      </c>
      <c r="D157" s="41"/>
      <c r="E157" s="270"/>
      <c r="F157" s="270"/>
      <c r="G157" s="270"/>
      <c r="H157" s="28"/>
      <c r="I157" s="283"/>
      <c r="J157" s="283"/>
      <c r="K157" s="283"/>
      <c r="L157" s="280"/>
      <c r="M157" s="285">
        <f>E157*I157</f>
        <v>0</v>
      </c>
      <c r="N157" s="285">
        <f t="shared" ref="N157" si="32">F157*J157</f>
        <v>0</v>
      </c>
      <c r="O157" s="285">
        <f>G157*K157</f>
        <v>0</v>
      </c>
    </row>
    <row r="158" spans="1:16" ht="14.25" x14ac:dyDescent="0.2">
      <c r="B158" s="268"/>
      <c r="C158" s="274" t="s">
        <v>379</v>
      </c>
      <c r="D158" s="269"/>
      <c r="E158" s="61"/>
      <c r="F158" s="61"/>
      <c r="G158" s="61"/>
      <c r="H158" s="61"/>
      <c r="I158" s="284"/>
      <c r="J158" s="284"/>
      <c r="K158" s="284"/>
      <c r="L158" s="284"/>
      <c r="M158" s="298">
        <f>SUM(M159:M159)</f>
        <v>0</v>
      </c>
      <c r="N158" s="298">
        <f>SUM(N159:N159)</f>
        <v>0</v>
      </c>
      <c r="O158" s="298">
        <f>SUM(O159:O159)</f>
        <v>0</v>
      </c>
    </row>
    <row r="159" spans="1:16" ht="14.25" x14ac:dyDescent="0.2">
      <c r="B159" s="253"/>
      <c r="C159" s="30" t="s">
        <v>394</v>
      </c>
      <c r="D159" s="41"/>
      <c r="E159" s="270"/>
      <c r="F159" s="270"/>
      <c r="G159" s="270"/>
      <c r="H159" s="28"/>
      <c r="I159" s="283"/>
      <c r="J159" s="283"/>
      <c r="K159" s="283"/>
      <c r="L159" s="280"/>
      <c r="M159" s="285">
        <f>E159*I159</f>
        <v>0</v>
      </c>
      <c r="N159" s="285">
        <f t="shared" ref="N159" si="33">F159*J159</f>
        <v>0</v>
      </c>
      <c r="O159" s="285">
        <f>G159*K159</f>
        <v>0</v>
      </c>
    </row>
    <row r="160" spans="1:16" ht="14.25" x14ac:dyDescent="0.2">
      <c r="B160" s="271"/>
      <c r="C160" s="274" t="s">
        <v>380</v>
      </c>
      <c r="D160" s="272"/>
      <c r="E160" s="61"/>
      <c r="F160" s="61"/>
      <c r="G160" s="61"/>
      <c r="H160" s="61"/>
      <c r="I160" s="284"/>
      <c r="J160" s="284"/>
      <c r="K160" s="284"/>
      <c r="L160" s="284"/>
      <c r="M160" s="298">
        <f>SUM(M161:M161)</f>
        <v>0</v>
      </c>
      <c r="N160" s="298">
        <f>SUM(N161:N161)</f>
        <v>0</v>
      </c>
      <c r="O160" s="298">
        <f>SUM(O161:O161)</f>
        <v>0</v>
      </c>
    </row>
    <row r="161" spans="1:15" ht="14.25" x14ac:dyDescent="0.2">
      <c r="B161" s="253"/>
      <c r="C161" s="30" t="s">
        <v>394</v>
      </c>
      <c r="D161" s="41"/>
      <c r="E161" s="270"/>
      <c r="F161" s="270"/>
      <c r="G161" s="270"/>
      <c r="H161" s="28"/>
      <c r="I161" s="283"/>
      <c r="J161" s="283"/>
      <c r="K161" s="283"/>
      <c r="L161" s="280"/>
      <c r="M161" s="285">
        <f>E161*I161</f>
        <v>0</v>
      </c>
      <c r="N161" s="285">
        <f t="shared" ref="N161" si="34">F161*J161</f>
        <v>0</v>
      </c>
      <c r="O161" s="285">
        <f>G161*K161</f>
        <v>0</v>
      </c>
    </row>
    <row r="162" spans="1:15" ht="14.25" x14ac:dyDescent="0.2">
      <c r="B162" s="271"/>
      <c r="C162" s="274" t="s">
        <v>381</v>
      </c>
      <c r="D162" s="272"/>
      <c r="E162" s="61"/>
      <c r="F162" s="61"/>
      <c r="G162" s="61"/>
      <c r="H162" s="61"/>
      <c r="I162" s="284"/>
      <c r="J162" s="284"/>
      <c r="K162" s="284"/>
      <c r="L162" s="284"/>
      <c r="M162" s="298">
        <f>SUM(M163:M163)</f>
        <v>0</v>
      </c>
      <c r="N162" s="298">
        <f>SUM(N163:N163)</f>
        <v>0</v>
      </c>
      <c r="O162" s="298">
        <f>SUM(O163:O163)</f>
        <v>0</v>
      </c>
    </row>
    <row r="163" spans="1:15" ht="14.25" x14ac:dyDescent="0.2">
      <c r="B163" s="253"/>
      <c r="C163" s="30" t="s">
        <v>394</v>
      </c>
      <c r="D163" s="41"/>
      <c r="E163" s="270"/>
      <c r="F163" s="270"/>
      <c r="G163" s="270"/>
      <c r="H163" s="28"/>
      <c r="I163" s="283"/>
      <c r="J163" s="283"/>
      <c r="K163" s="283"/>
      <c r="L163" s="280"/>
      <c r="M163" s="285">
        <f>E163*I163</f>
        <v>0</v>
      </c>
      <c r="N163" s="285">
        <f>F163*J163</f>
        <v>0</v>
      </c>
      <c r="O163" s="285">
        <f>G163*K163</f>
        <v>0</v>
      </c>
    </row>
    <row r="164" spans="1:15" ht="14.25" x14ac:dyDescent="0.2">
      <c r="B164" s="268"/>
      <c r="C164" s="274" t="s">
        <v>377</v>
      </c>
      <c r="D164" s="269"/>
      <c r="E164" s="61"/>
      <c r="F164" s="61"/>
      <c r="G164" s="61"/>
      <c r="H164" s="61"/>
      <c r="I164" s="284"/>
      <c r="J164" s="284"/>
      <c r="K164" s="284"/>
      <c r="L164" s="284"/>
      <c r="M164" s="298">
        <f>SUM(M165:M165)</f>
        <v>0</v>
      </c>
      <c r="N164" s="298">
        <f>SUM(N165:N165)</f>
        <v>0</v>
      </c>
      <c r="O164" s="298">
        <f>SUM(O165:O165)</f>
        <v>0</v>
      </c>
    </row>
    <row r="165" spans="1:15" ht="14.25" x14ac:dyDescent="0.2">
      <c r="B165" s="253"/>
      <c r="C165" s="30" t="s">
        <v>394</v>
      </c>
      <c r="D165" s="41"/>
      <c r="E165" s="270"/>
      <c r="F165" s="270"/>
      <c r="G165" s="270"/>
      <c r="H165" s="28"/>
      <c r="I165" s="283"/>
      <c r="J165" s="283"/>
      <c r="K165" s="283"/>
      <c r="L165" s="280"/>
      <c r="M165" s="285">
        <f>E165*I165</f>
        <v>0</v>
      </c>
      <c r="N165" s="285">
        <f t="shared" ref="N165" si="35">F165*J165</f>
        <v>0</v>
      </c>
      <c r="O165" s="285">
        <f>G165*K165</f>
        <v>0</v>
      </c>
    </row>
    <row r="166" spans="1:15" ht="14.25" x14ac:dyDescent="0.2">
      <c r="B166" s="268"/>
      <c r="C166" s="274" t="s">
        <v>382</v>
      </c>
      <c r="D166" s="269"/>
      <c r="E166" s="61"/>
      <c r="F166" s="61"/>
      <c r="G166" s="61"/>
      <c r="H166" s="61"/>
      <c r="I166" s="284"/>
      <c r="J166" s="284"/>
      <c r="K166" s="284"/>
      <c r="L166" s="284"/>
      <c r="M166" s="298">
        <f>SUM(M167:M167)</f>
        <v>0</v>
      </c>
      <c r="N166" s="298">
        <f>SUM(N167:N167)</f>
        <v>0</v>
      </c>
      <c r="O166" s="298">
        <f>SUM(O167:O167)</f>
        <v>0</v>
      </c>
    </row>
    <row r="167" spans="1:15" ht="14.25" x14ac:dyDescent="0.2">
      <c r="B167" s="253"/>
      <c r="C167" s="30" t="s">
        <v>394</v>
      </c>
      <c r="D167" s="41"/>
      <c r="E167" s="270"/>
      <c r="F167" s="270"/>
      <c r="G167" s="270"/>
      <c r="H167" s="28"/>
      <c r="I167" s="283"/>
      <c r="J167" s="283"/>
      <c r="K167" s="283"/>
      <c r="L167" s="280"/>
      <c r="M167" s="285">
        <f>E167*I167</f>
        <v>0</v>
      </c>
      <c r="N167" s="285">
        <f t="shared" ref="N167" si="36">F167*J167</f>
        <v>0</v>
      </c>
      <c r="O167" s="285">
        <f>G167*K167</f>
        <v>0</v>
      </c>
    </row>
    <row r="168" spans="1:15" ht="14.25" x14ac:dyDescent="0.2">
      <c r="A168" s="246"/>
      <c r="B168" s="275"/>
      <c r="C168" s="276" t="s">
        <v>383</v>
      </c>
      <c r="D168" s="277"/>
      <c r="E168" s="57"/>
      <c r="F168" s="57"/>
      <c r="G168" s="57"/>
      <c r="H168" s="57"/>
      <c r="I168" s="282"/>
      <c r="J168" s="282"/>
      <c r="K168" s="282"/>
      <c r="L168" s="282"/>
      <c r="M168" s="296"/>
      <c r="N168" s="296"/>
      <c r="O168" s="296"/>
    </row>
    <row r="169" spans="1:15" ht="14.25" x14ac:dyDescent="0.2">
      <c r="B169" s="271"/>
      <c r="C169" s="274" t="s">
        <v>384</v>
      </c>
      <c r="D169" s="272"/>
      <c r="E169" s="61"/>
      <c r="F169" s="61"/>
      <c r="G169" s="61"/>
      <c r="H169" s="61"/>
      <c r="I169" s="284"/>
      <c r="J169" s="284"/>
      <c r="K169" s="284"/>
      <c r="L169" s="284"/>
      <c r="M169" s="298">
        <f>SUM(M170:M170)</f>
        <v>0</v>
      </c>
      <c r="N169" s="298">
        <f>SUM(N170:N170)</f>
        <v>0</v>
      </c>
      <c r="O169" s="298">
        <f>SUM(O170:O170)</f>
        <v>0</v>
      </c>
    </row>
    <row r="170" spans="1:15" ht="14.25" x14ac:dyDescent="0.2">
      <c r="B170" s="253"/>
      <c r="C170" s="30" t="s">
        <v>394</v>
      </c>
      <c r="D170" s="41"/>
      <c r="E170" s="270"/>
      <c r="F170" s="270"/>
      <c r="G170" s="270"/>
      <c r="H170" s="28"/>
      <c r="I170" s="283"/>
      <c r="J170" s="283"/>
      <c r="K170" s="283"/>
      <c r="L170" s="280"/>
      <c r="M170" s="285">
        <f>E170*I170</f>
        <v>0</v>
      </c>
      <c r="N170" s="285">
        <f t="shared" ref="N170" si="37">F170*J170</f>
        <v>0</v>
      </c>
      <c r="O170" s="285">
        <f>G170*K170</f>
        <v>0</v>
      </c>
    </row>
    <row r="171" spans="1:15" ht="14.25" x14ac:dyDescent="0.2">
      <c r="B171" s="271"/>
      <c r="C171" s="274" t="s">
        <v>385</v>
      </c>
      <c r="D171" s="272"/>
      <c r="E171" s="61"/>
      <c r="F171" s="61"/>
      <c r="G171" s="61"/>
      <c r="H171" s="61"/>
      <c r="I171" s="284"/>
      <c r="J171" s="284"/>
      <c r="K171" s="284"/>
      <c r="L171" s="284"/>
      <c r="M171" s="298">
        <f>SUM(M172:M172)</f>
        <v>0</v>
      </c>
      <c r="N171" s="298">
        <f>SUM(N172:N172)</f>
        <v>0</v>
      </c>
      <c r="O171" s="298">
        <f>SUM(O172:O172)</f>
        <v>0</v>
      </c>
    </row>
    <row r="172" spans="1:15" ht="14.25" x14ac:dyDescent="0.2">
      <c r="B172" s="253"/>
      <c r="C172" s="30" t="s">
        <v>394</v>
      </c>
      <c r="D172" s="41"/>
      <c r="E172" s="270"/>
      <c r="F172" s="270"/>
      <c r="G172" s="270"/>
      <c r="H172" s="28"/>
      <c r="I172" s="283"/>
      <c r="J172" s="283"/>
      <c r="K172" s="283"/>
      <c r="L172" s="280"/>
      <c r="M172" s="285">
        <f>E172*I172</f>
        <v>0</v>
      </c>
      <c r="N172" s="285">
        <f t="shared" ref="N172" si="38">F172*J172</f>
        <v>0</v>
      </c>
      <c r="O172" s="285">
        <f>G172*K172</f>
        <v>0</v>
      </c>
    </row>
    <row r="173" spans="1:15" ht="14.25" x14ac:dyDescent="0.2">
      <c r="A173" s="246"/>
      <c r="B173" s="288"/>
      <c r="C173" s="289" t="s">
        <v>386</v>
      </c>
      <c r="D173" s="290"/>
      <c r="E173" s="291"/>
      <c r="F173" s="291"/>
      <c r="G173" s="291"/>
      <c r="H173" s="291"/>
      <c r="I173" s="292"/>
      <c r="J173" s="292"/>
      <c r="K173" s="292"/>
      <c r="L173" s="292"/>
      <c r="M173" s="297"/>
      <c r="N173" s="297"/>
      <c r="O173" s="297"/>
    </row>
    <row r="174" spans="1:15" ht="14.25" x14ac:dyDescent="0.2">
      <c r="B174" s="271"/>
      <c r="C174" s="274" t="s">
        <v>387</v>
      </c>
      <c r="D174" s="272"/>
      <c r="E174" s="61"/>
      <c r="F174" s="61"/>
      <c r="G174" s="61"/>
      <c r="H174" s="61"/>
      <c r="I174" s="284"/>
      <c r="J174" s="284"/>
      <c r="K174" s="284"/>
      <c r="L174" s="284"/>
      <c r="M174" s="298">
        <f>SUM(M175:M175)</f>
        <v>0</v>
      </c>
      <c r="N174" s="298">
        <f>SUM(N175:N175)</f>
        <v>0</v>
      </c>
      <c r="O174" s="298">
        <f>SUM(O175:O175)</f>
        <v>0</v>
      </c>
    </row>
    <row r="175" spans="1:15" ht="14.25" x14ac:dyDescent="0.2">
      <c r="B175" s="253"/>
      <c r="C175" s="30" t="s">
        <v>394</v>
      </c>
      <c r="D175" s="41"/>
      <c r="E175" s="270"/>
      <c r="F175" s="270"/>
      <c r="G175" s="270"/>
      <c r="H175" s="28"/>
      <c r="I175" s="283"/>
      <c r="J175" s="283"/>
      <c r="K175" s="283"/>
      <c r="L175" s="280"/>
      <c r="M175" s="285">
        <f>E175*I175</f>
        <v>0</v>
      </c>
      <c r="N175" s="285">
        <f t="shared" ref="N175" si="39">F175*J175</f>
        <v>0</v>
      </c>
      <c r="O175" s="285">
        <f>G175*K175</f>
        <v>0</v>
      </c>
    </row>
    <row r="176" spans="1:15" ht="14.25" x14ac:dyDescent="0.2">
      <c r="B176" s="271"/>
      <c r="C176" s="274" t="s">
        <v>388</v>
      </c>
      <c r="D176" s="272"/>
      <c r="E176" s="61"/>
      <c r="F176" s="61"/>
      <c r="G176" s="61"/>
      <c r="H176" s="61"/>
      <c r="I176" s="284"/>
      <c r="J176" s="284"/>
      <c r="K176" s="284"/>
      <c r="L176" s="284"/>
      <c r="M176" s="298">
        <f>SUM(M177:M177)</f>
        <v>0</v>
      </c>
      <c r="N176" s="298">
        <f>SUM(N177:N177)</f>
        <v>0</v>
      </c>
      <c r="O176" s="298">
        <f>SUM(O177:O177)</f>
        <v>0</v>
      </c>
    </row>
    <row r="177" spans="1:16" ht="14.25" x14ac:dyDescent="0.2">
      <c r="B177" s="253"/>
      <c r="C177" s="30" t="s">
        <v>394</v>
      </c>
      <c r="D177" s="41"/>
      <c r="E177" s="270"/>
      <c r="F177" s="270"/>
      <c r="G177" s="270"/>
      <c r="H177" s="28"/>
      <c r="I177" s="283"/>
      <c r="J177" s="283"/>
      <c r="K177" s="283"/>
      <c r="L177" s="280"/>
      <c r="M177" s="285">
        <f>E177*I177</f>
        <v>0</v>
      </c>
      <c r="N177" s="285">
        <f t="shared" ref="N177" si="40">F177*J177</f>
        <v>0</v>
      </c>
      <c r="O177" s="285">
        <f>G177*K177</f>
        <v>0</v>
      </c>
    </row>
    <row r="178" spans="1:16" ht="14.25" x14ac:dyDescent="0.2">
      <c r="B178" s="273"/>
      <c r="C178" s="3"/>
      <c r="D178" s="3"/>
      <c r="E178" s="3"/>
      <c r="I178" s="278"/>
      <c r="J178" s="278"/>
      <c r="K178" s="278"/>
      <c r="L178" s="278"/>
      <c r="M178" s="278"/>
      <c r="N178" s="278"/>
      <c r="O178" s="278"/>
    </row>
    <row r="179" spans="1:16" ht="15.75" thickBot="1" x14ac:dyDescent="0.3">
      <c r="A179" s="246"/>
      <c r="B179" s="273"/>
      <c r="C179" s="3"/>
      <c r="D179" s="3"/>
      <c r="E179" s="3"/>
      <c r="I179" s="278"/>
      <c r="J179" s="278"/>
      <c r="K179" s="278"/>
      <c r="L179" s="286" t="s">
        <v>390</v>
      </c>
      <c r="M179" s="287">
        <f>SUM(M152:M172)/2</f>
        <v>0</v>
      </c>
      <c r="N179" s="287">
        <f>SUM(N152:N172)/2</f>
        <v>0</v>
      </c>
      <c r="O179" s="287">
        <f>SUM(O152:O172)/2</f>
        <v>0</v>
      </c>
    </row>
    <row r="180" spans="1:16" ht="16.5" thickTop="1" thickBot="1" x14ac:dyDescent="0.3">
      <c r="B180" s="273"/>
      <c r="C180" s="3"/>
      <c r="D180" s="3"/>
      <c r="E180" s="3"/>
      <c r="I180" s="278"/>
      <c r="J180" s="278"/>
      <c r="K180" s="278"/>
      <c r="L180" s="286" t="s">
        <v>389</v>
      </c>
      <c r="M180" s="287">
        <f>SUM(M174:M177)/2</f>
        <v>0</v>
      </c>
      <c r="N180" s="287">
        <f>SUM(N174:N177)/2</f>
        <v>0</v>
      </c>
      <c r="O180" s="287">
        <f>SUM(O174:O177)/2</f>
        <v>0</v>
      </c>
    </row>
    <row r="181" spans="1:16" ht="15.75" thickTop="1" x14ac:dyDescent="0.25">
      <c r="B181" s="3"/>
      <c r="F181"/>
    </row>
    <row r="182" spans="1:16" x14ac:dyDescent="0.25">
      <c r="B182" s="3"/>
      <c r="F182"/>
    </row>
    <row r="183" spans="1:16" x14ac:dyDescent="0.25">
      <c r="B183" s="3"/>
      <c r="F183"/>
    </row>
    <row r="184" spans="1:16" x14ac:dyDescent="0.25">
      <c r="B184" s="3"/>
      <c r="F184"/>
    </row>
    <row r="185" spans="1:16" x14ac:dyDescent="0.25">
      <c r="B185" s="3"/>
      <c r="F185"/>
    </row>
    <row r="186" spans="1:16" s="28" customFormat="1" ht="15.75" x14ac:dyDescent="0.25">
      <c r="A186" s="263"/>
      <c r="B186" s="315"/>
      <c r="C186" s="316">
        <f>B107</f>
        <v>0</v>
      </c>
      <c r="D186" s="315"/>
      <c r="E186" s="315"/>
      <c r="F186" s="315"/>
      <c r="G186" s="315"/>
      <c r="H186" s="317"/>
      <c r="I186" s="318"/>
      <c r="J186" s="318"/>
      <c r="K186" s="318"/>
      <c r="L186" s="318"/>
      <c r="M186" s="318"/>
      <c r="N186" s="318"/>
      <c r="O186" s="318"/>
      <c r="P186" s="254"/>
    </row>
    <row r="187" spans="1:16" ht="15.75" x14ac:dyDescent="0.25">
      <c r="A187" s="246"/>
      <c r="B187" s="303" t="s">
        <v>346</v>
      </c>
      <c r="C187" s="304" t="s">
        <v>369</v>
      </c>
      <c r="D187" s="305" t="s">
        <v>370</v>
      </c>
      <c r="E187" s="306"/>
      <c r="F187" s="306" t="s">
        <v>392</v>
      </c>
      <c r="G187" s="306"/>
      <c r="H187" s="306"/>
      <c r="I187" s="307"/>
      <c r="J187" s="307" t="s">
        <v>391</v>
      </c>
      <c r="K187" s="307"/>
      <c r="L187" s="279"/>
      <c r="M187" s="307"/>
      <c r="N187" s="307" t="s">
        <v>369</v>
      </c>
      <c r="O187" s="307"/>
    </row>
    <row r="188" spans="1:16" ht="15.75" x14ac:dyDescent="0.25">
      <c r="A188" s="246"/>
      <c r="B188" s="266"/>
      <c r="C188" s="264"/>
      <c r="D188" s="266"/>
      <c r="E188" s="267" t="s">
        <v>371</v>
      </c>
      <c r="F188" s="267" t="s">
        <v>372</v>
      </c>
      <c r="G188" s="267" t="s">
        <v>373</v>
      </c>
      <c r="I188" s="281" t="s">
        <v>371</v>
      </c>
      <c r="J188" s="281" t="s">
        <v>372</v>
      </c>
      <c r="K188" s="281" t="s">
        <v>373</v>
      </c>
      <c r="L188" s="278"/>
      <c r="M188" s="293" t="s">
        <v>371</v>
      </c>
      <c r="N188" s="293" t="s">
        <v>372</v>
      </c>
      <c r="O188" s="293" t="s">
        <v>373</v>
      </c>
      <c r="P188" s="254"/>
    </row>
    <row r="189" spans="1:16" ht="14.25" x14ac:dyDescent="0.2">
      <c r="A189" s="246"/>
      <c r="B189" s="275"/>
      <c r="C189" s="276" t="s">
        <v>374</v>
      </c>
      <c r="D189" s="277"/>
      <c r="E189" s="57"/>
      <c r="F189" s="57"/>
      <c r="G189" s="57"/>
      <c r="H189" s="57"/>
      <c r="I189" s="282"/>
      <c r="J189" s="282"/>
      <c r="K189" s="282"/>
      <c r="L189" s="282"/>
      <c r="M189" s="294">
        <f>SUM(M190:M190)</f>
        <v>0</v>
      </c>
      <c r="N189" s="294">
        <f>SUM(N190:N190)</f>
        <v>0</v>
      </c>
      <c r="O189" s="294">
        <f>SUM(O190:O190)</f>
        <v>0</v>
      </c>
    </row>
    <row r="190" spans="1:16" ht="14.25" x14ac:dyDescent="0.2">
      <c r="A190" s="246"/>
      <c r="B190" s="253"/>
      <c r="C190" s="30" t="s">
        <v>394</v>
      </c>
      <c r="D190" s="41"/>
      <c r="E190" s="270"/>
      <c r="F190" s="270"/>
      <c r="G190" s="270"/>
      <c r="H190" s="28"/>
      <c r="I190" s="283"/>
      <c r="J190" s="283"/>
      <c r="K190" s="283"/>
      <c r="L190" s="280"/>
      <c r="M190" s="295">
        <f>E190*I190</f>
        <v>0</v>
      </c>
      <c r="N190" s="295">
        <f t="shared" ref="N190" si="41">F190*J190</f>
        <v>0</v>
      </c>
      <c r="O190" s="295">
        <f t="shared" ref="O190" si="42">G190*K190</f>
        <v>0</v>
      </c>
    </row>
    <row r="191" spans="1:16" ht="14.25" x14ac:dyDescent="0.2">
      <c r="A191" s="246"/>
      <c r="B191" s="275"/>
      <c r="C191" s="276" t="s">
        <v>378</v>
      </c>
      <c r="D191" s="277"/>
      <c r="E191" s="57"/>
      <c r="F191" s="57"/>
      <c r="G191" s="57"/>
      <c r="H191" s="57"/>
      <c r="I191" s="282"/>
      <c r="J191" s="282"/>
      <c r="K191" s="282"/>
      <c r="L191" s="282"/>
      <c r="M191" s="296"/>
      <c r="N191" s="296"/>
      <c r="O191" s="296"/>
    </row>
    <row r="192" spans="1:16" ht="14.25" x14ac:dyDescent="0.2">
      <c r="A192" s="246"/>
      <c r="B192" s="268"/>
      <c r="C192" s="274" t="s">
        <v>375</v>
      </c>
      <c r="D192" s="269"/>
      <c r="E192" s="61"/>
      <c r="F192" s="61"/>
      <c r="G192" s="61"/>
      <c r="H192" s="61"/>
      <c r="I192" s="284"/>
      <c r="J192" s="284"/>
      <c r="K192" s="284"/>
      <c r="L192" s="284"/>
      <c r="M192" s="298">
        <f>SUM(M193:M193)</f>
        <v>0</v>
      </c>
      <c r="N192" s="298">
        <f>SUM(N193:N193)</f>
        <v>0</v>
      </c>
      <c r="O192" s="298">
        <f>SUM(O193:O193)</f>
        <v>0</v>
      </c>
    </row>
    <row r="193" spans="1:15" ht="14.25" x14ac:dyDescent="0.2">
      <c r="B193" s="253"/>
      <c r="C193" s="30" t="s">
        <v>394</v>
      </c>
      <c r="D193" s="41"/>
      <c r="E193" s="270"/>
      <c r="F193" s="270"/>
      <c r="G193" s="270"/>
      <c r="H193" s="28"/>
      <c r="I193" s="283"/>
      <c r="J193" s="283"/>
      <c r="K193" s="283"/>
      <c r="L193" s="280"/>
      <c r="M193" s="285">
        <f>E193*I193</f>
        <v>0</v>
      </c>
      <c r="N193" s="285">
        <f t="shared" ref="N193" si="43">F193*J193</f>
        <v>0</v>
      </c>
      <c r="O193" s="285">
        <f t="shared" ref="O193" si="44">G193*K193</f>
        <v>0</v>
      </c>
    </row>
    <row r="194" spans="1:15" ht="14.25" x14ac:dyDescent="0.2">
      <c r="B194" s="268"/>
      <c r="C194" s="274" t="s">
        <v>376</v>
      </c>
      <c r="D194" s="269"/>
      <c r="E194" s="61"/>
      <c r="F194" s="61"/>
      <c r="G194" s="61"/>
      <c r="H194" s="61"/>
      <c r="I194" s="284"/>
      <c r="J194" s="284"/>
      <c r="K194" s="284"/>
      <c r="L194" s="284"/>
      <c r="M194" s="298">
        <f>SUM(M195:M195)</f>
        <v>0</v>
      </c>
      <c r="N194" s="298">
        <f>SUM(N195:N195)</f>
        <v>0</v>
      </c>
      <c r="O194" s="298">
        <f>SUM(O195:O195)</f>
        <v>0</v>
      </c>
    </row>
    <row r="195" spans="1:15" ht="14.25" x14ac:dyDescent="0.2">
      <c r="B195" s="253"/>
      <c r="C195" s="30" t="s">
        <v>394</v>
      </c>
      <c r="D195" s="41"/>
      <c r="E195" s="270"/>
      <c r="F195" s="270"/>
      <c r="G195" s="270"/>
      <c r="H195" s="28"/>
      <c r="I195" s="283"/>
      <c r="J195" s="283"/>
      <c r="K195" s="283"/>
      <c r="L195" s="280"/>
      <c r="M195" s="285">
        <f>E195*I195</f>
        <v>0</v>
      </c>
      <c r="N195" s="285">
        <f t="shared" ref="N195" si="45">F195*J195</f>
        <v>0</v>
      </c>
      <c r="O195" s="285">
        <f>G195*K195</f>
        <v>0</v>
      </c>
    </row>
    <row r="196" spans="1:15" ht="14.25" x14ac:dyDescent="0.2">
      <c r="B196" s="268"/>
      <c r="C196" s="274" t="s">
        <v>379</v>
      </c>
      <c r="D196" s="269"/>
      <c r="E196" s="61"/>
      <c r="F196" s="61"/>
      <c r="G196" s="61"/>
      <c r="H196" s="61"/>
      <c r="I196" s="284"/>
      <c r="J196" s="284"/>
      <c r="K196" s="284"/>
      <c r="L196" s="284"/>
      <c r="M196" s="298">
        <f>SUM(M197:M197)</f>
        <v>0</v>
      </c>
      <c r="N196" s="298">
        <f>SUM(N197:N197)</f>
        <v>0</v>
      </c>
      <c r="O196" s="298">
        <f>SUM(O197:O197)</f>
        <v>0</v>
      </c>
    </row>
    <row r="197" spans="1:15" ht="14.25" x14ac:dyDescent="0.2">
      <c r="B197" s="253"/>
      <c r="C197" s="30" t="s">
        <v>394</v>
      </c>
      <c r="D197" s="41"/>
      <c r="E197" s="270"/>
      <c r="F197" s="270"/>
      <c r="G197" s="270"/>
      <c r="H197" s="28"/>
      <c r="I197" s="283"/>
      <c r="J197" s="283"/>
      <c r="K197" s="283"/>
      <c r="L197" s="280"/>
      <c r="M197" s="285">
        <f>E197*I197</f>
        <v>0</v>
      </c>
      <c r="N197" s="285">
        <f t="shared" ref="N197" si="46">F197*J197</f>
        <v>0</v>
      </c>
      <c r="O197" s="285">
        <f>G197*K197</f>
        <v>0</v>
      </c>
    </row>
    <row r="198" spans="1:15" ht="14.25" x14ac:dyDescent="0.2">
      <c r="B198" s="271"/>
      <c r="C198" s="274" t="s">
        <v>380</v>
      </c>
      <c r="D198" s="272"/>
      <c r="E198" s="61"/>
      <c r="F198" s="61"/>
      <c r="G198" s="61"/>
      <c r="H198" s="61"/>
      <c r="I198" s="284"/>
      <c r="J198" s="284"/>
      <c r="K198" s="284"/>
      <c r="L198" s="284"/>
      <c r="M198" s="298">
        <f>SUM(M199:M199)</f>
        <v>0</v>
      </c>
      <c r="N198" s="298">
        <f>SUM(N199:N199)</f>
        <v>0</v>
      </c>
      <c r="O198" s="298">
        <f>SUM(O199:O199)</f>
        <v>0</v>
      </c>
    </row>
    <row r="199" spans="1:15" ht="14.25" x14ac:dyDescent="0.2">
      <c r="B199" s="253"/>
      <c r="C199" s="30" t="s">
        <v>394</v>
      </c>
      <c r="D199" s="41"/>
      <c r="E199" s="270"/>
      <c r="F199" s="270"/>
      <c r="G199" s="270"/>
      <c r="H199" s="28"/>
      <c r="I199" s="283"/>
      <c r="J199" s="283"/>
      <c r="K199" s="283"/>
      <c r="L199" s="280"/>
      <c r="M199" s="285">
        <f>E199*I199</f>
        <v>0</v>
      </c>
      <c r="N199" s="285">
        <f t="shared" ref="N199" si="47">F199*J199</f>
        <v>0</v>
      </c>
      <c r="O199" s="285">
        <f>G199*K199</f>
        <v>0</v>
      </c>
    </row>
    <row r="200" spans="1:15" ht="14.25" x14ac:dyDescent="0.2">
      <c r="B200" s="271"/>
      <c r="C200" s="274" t="s">
        <v>381</v>
      </c>
      <c r="D200" s="272"/>
      <c r="E200" s="61"/>
      <c r="F200" s="61"/>
      <c r="G200" s="61"/>
      <c r="H200" s="61"/>
      <c r="I200" s="284"/>
      <c r="J200" s="284"/>
      <c r="K200" s="284"/>
      <c r="L200" s="284"/>
      <c r="M200" s="298">
        <f>SUM(M201:M201)</f>
        <v>0</v>
      </c>
      <c r="N200" s="298">
        <f>SUM(N201:N201)</f>
        <v>0</v>
      </c>
      <c r="O200" s="298">
        <f>SUM(O201:O201)</f>
        <v>0</v>
      </c>
    </row>
    <row r="201" spans="1:15" ht="14.25" x14ac:dyDescent="0.2">
      <c r="B201" s="253"/>
      <c r="C201" s="30" t="s">
        <v>394</v>
      </c>
      <c r="D201" s="41"/>
      <c r="E201" s="270"/>
      <c r="F201" s="270"/>
      <c r="G201" s="270"/>
      <c r="H201" s="28"/>
      <c r="I201" s="283"/>
      <c r="J201" s="283"/>
      <c r="K201" s="283"/>
      <c r="L201" s="280"/>
      <c r="M201" s="285">
        <f>E201*I201</f>
        <v>0</v>
      </c>
      <c r="N201" s="285">
        <f>F201*J201</f>
        <v>0</v>
      </c>
      <c r="O201" s="285">
        <f>G201*K201</f>
        <v>0</v>
      </c>
    </row>
    <row r="202" spans="1:15" ht="14.25" x14ac:dyDescent="0.2">
      <c r="B202" s="268"/>
      <c r="C202" s="274" t="s">
        <v>377</v>
      </c>
      <c r="D202" s="269"/>
      <c r="E202" s="61"/>
      <c r="F202" s="61"/>
      <c r="G202" s="61"/>
      <c r="H202" s="61"/>
      <c r="I202" s="284"/>
      <c r="J202" s="284"/>
      <c r="K202" s="284"/>
      <c r="L202" s="284"/>
      <c r="M202" s="298">
        <f>SUM(M203:M203)</f>
        <v>0</v>
      </c>
      <c r="N202" s="298">
        <f>SUM(N203:N203)</f>
        <v>0</v>
      </c>
      <c r="O202" s="298">
        <f>SUM(O203:O203)</f>
        <v>0</v>
      </c>
    </row>
    <row r="203" spans="1:15" ht="14.25" x14ac:dyDescent="0.2">
      <c r="B203" s="253"/>
      <c r="C203" s="30" t="s">
        <v>394</v>
      </c>
      <c r="D203" s="41"/>
      <c r="E203" s="270"/>
      <c r="F203" s="270"/>
      <c r="G203" s="270"/>
      <c r="H203" s="28"/>
      <c r="I203" s="283"/>
      <c r="J203" s="283"/>
      <c r="K203" s="283"/>
      <c r="L203" s="280"/>
      <c r="M203" s="285">
        <f>E203*I203</f>
        <v>0</v>
      </c>
      <c r="N203" s="285">
        <f t="shared" ref="N203" si="48">F203*J203</f>
        <v>0</v>
      </c>
      <c r="O203" s="285">
        <f>G203*K203</f>
        <v>0</v>
      </c>
    </row>
    <row r="204" spans="1:15" ht="14.25" x14ac:dyDescent="0.2">
      <c r="B204" s="268"/>
      <c r="C204" s="274" t="s">
        <v>382</v>
      </c>
      <c r="D204" s="269"/>
      <c r="E204" s="61"/>
      <c r="F204" s="61"/>
      <c r="G204" s="61"/>
      <c r="H204" s="61"/>
      <c r="I204" s="284"/>
      <c r="J204" s="284"/>
      <c r="K204" s="284"/>
      <c r="L204" s="284"/>
      <c r="M204" s="298">
        <f>SUM(M205:M205)</f>
        <v>0</v>
      </c>
      <c r="N204" s="298">
        <f>SUM(N205:N205)</f>
        <v>0</v>
      </c>
      <c r="O204" s="298">
        <f>SUM(O205:O205)</f>
        <v>0</v>
      </c>
    </row>
    <row r="205" spans="1:15" ht="14.25" x14ac:dyDescent="0.2">
      <c r="B205" s="253"/>
      <c r="C205" s="30" t="s">
        <v>394</v>
      </c>
      <c r="D205" s="41"/>
      <c r="E205" s="270"/>
      <c r="F205" s="270"/>
      <c r="G205" s="270"/>
      <c r="H205" s="28"/>
      <c r="I205" s="283"/>
      <c r="J205" s="283"/>
      <c r="K205" s="283"/>
      <c r="L205" s="280"/>
      <c r="M205" s="285">
        <f>E205*I205</f>
        <v>0</v>
      </c>
      <c r="N205" s="285">
        <f t="shared" ref="N205" si="49">F205*J205</f>
        <v>0</v>
      </c>
      <c r="O205" s="285">
        <f>G205*K205</f>
        <v>0</v>
      </c>
    </row>
    <row r="206" spans="1:15" ht="14.25" x14ac:dyDescent="0.2">
      <c r="A206" s="246"/>
      <c r="B206" s="275"/>
      <c r="C206" s="276" t="s">
        <v>383</v>
      </c>
      <c r="D206" s="277"/>
      <c r="E206" s="57"/>
      <c r="F206" s="57"/>
      <c r="G206" s="57"/>
      <c r="H206" s="57"/>
      <c r="I206" s="282"/>
      <c r="J206" s="282"/>
      <c r="K206" s="282"/>
      <c r="L206" s="282"/>
      <c r="M206" s="296"/>
      <c r="N206" s="296"/>
      <c r="O206" s="296"/>
    </row>
    <row r="207" spans="1:15" ht="14.25" x14ac:dyDescent="0.2">
      <c r="B207" s="271"/>
      <c r="C207" s="274" t="s">
        <v>384</v>
      </c>
      <c r="D207" s="272"/>
      <c r="E207" s="61"/>
      <c r="F207" s="61"/>
      <c r="G207" s="61"/>
      <c r="H207" s="61"/>
      <c r="I207" s="284"/>
      <c r="J207" s="284"/>
      <c r="K207" s="284"/>
      <c r="L207" s="284"/>
      <c r="M207" s="298">
        <f>SUM(M208:M208)</f>
        <v>0</v>
      </c>
      <c r="N207" s="298">
        <f>SUM(N208:N208)</f>
        <v>0</v>
      </c>
      <c r="O207" s="298">
        <f>SUM(O208:O208)</f>
        <v>0</v>
      </c>
    </row>
    <row r="208" spans="1:15" ht="14.25" x14ac:dyDescent="0.2">
      <c r="B208" s="253"/>
      <c r="C208" s="30" t="s">
        <v>394</v>
      </c>
      <c r="D208" s="41"/>
      <c r="E208" s="270"/>
      <c r="F208" s="270"/>
      <c r="G208" s="270"/>
      <c r="H208" s="28"/>
      <c r="I208" s="283"/>
      <c r="J208" s="283"/>
      <c r="K208" s="283"/>
      <c r="L208" s="280"/>
      <c r="M208" s="285">
        <f>E208*I208</f>
        <v>0</v>
      </c>
      <c r="N208" s="285">
        <f t="shared" ref="N208" si="50">F208*J208</f>
        <v>0</v>
      </c>
      <c r="O208" s="285">
        <f>G208*K208</f>
        <v>0</v>
      </c>
    </row>
    <row r="209" spans="1:15" ht="14.25" x14ac:dyDescent="0.2">
      <c r="B209" s="271"/>
      <c r="C209" s="274" t="s">
        <v>385</v>
      </c>
      <c r="D209" s="272"/>
      <c r="E209" s="61"/>
      <c r="F209" s="61"/>
      <c r="G209" s="61"/>
      <c r="H209" s="61"/>
      <c r="I209" s="284"/>
      <c r="J209" s="284"/>
      <c r="K209" s="284"/>
      <c r="L209" s="284"/>
      <c r="M209" s="298">
        <f>SUM(M210:M210)</f>
        <v>0</v>
      </c>
      <c r="N209" s="298">
        <f>SUM(N210:N210)</f>
        <v>0</v>
      </c>
      <c r="O209" s="298">
        <f>SUM(O210:O210)</f>
        <v>0</v>
      </c>
    </row>
    <row r="210" spans="1:15" ht="14.25" x14ac:dyDescent="0.2">
      <c r="B210" s="253"/>
      <c r="C210" s="30" t="s">
        <v>394</v>
      </c>
      <c r="D210" s="41"/>
      <c r="E210" s="270"/>
      <c r="F210" s="270"/>
      <c r="G210" s="270"/>
      <c r="H210" s="28"/>
      <c r="I210" s="283"/>
      <c r="J210" s="283"/>
      <c r="K210" s="283"/>
      <c r="L210" s="280"/>
      <c r="M210" s="285">
        <f>E210*I210</f>
        <v>0</v>
      </c>
      <c r="N210" s="285">
        <f t="shared" ref="N210" si="51">F210*J210</f>
        <v>0</v>
      </c>
      <c r="O210" s="285">
        <f>G210*K210</f>
        <v>0</v>
      </c>
    </row>
    <row r="211" spans="1:15" ht="14.25" x14ac:dyDescent="0.2">
      <c r="A211" s="246"/>
      <c r="B211" s="288"/>
      <c r="C211" s="289" t="s">
        <v>386</v>
      </c>
      <c r="D211" s="290"/>
      <c r="E211" s="291"/>
      <c r="F211" s="291"/>
      <c r="G211" s="291"/>
      <c r="H211" s="291"/>
      <c r="I211" s="292"/>
      <c r="J211" s="292"/>
      <c r="K211" s="292"/>
      <c r="L211" s="292"/>
      <c r="M211" s="297"/>
      <c r="N211" s="297"/>
      <c r="O211" s="297"/>
    </row>
    <row r="212" spans="1:15" ht="14.25" x14ac:dyDescent="0.2">
      <c r="B212" s="271"/>
      <c r="C212" s="274" t="s">
        <v>387</v>
      </c>
      <c r="D212" s="272"/>
      <c r="E212" s="61"/>
      <c r="F212" s="61"/>
      <c r="G212" s="61"/>
      <c r="H212" s="61"/>
      <c r="I212" s="284"/>
      <c r="J212" s="284"/>
      <c r="K212" s="284"/>
      <c r="L212" s="284"/>
      <c r="M212" s="298">
        <f>SUM(M213:M213)</f>
        <v>0</v>
      </c>
      <c r="N212" s="298">
        <f>SUM(N213:N213)</f>
        <v>0</v>
      </c>
      <c r="O212" s="298">
        <f>SUM(O213:O213)</f>
        <v>0</v>
      </c>
    </row>
    <row r="213" spans="1:15" ht="14.25" x14ac:dyDescent="0.2">
      <c r="B213" s="253"/>
      <c r="C213" s="30" t="s">
        <v>394</v>
      </c>
      <c r="D213" s="41"/>
      <c r="E213" s="270"/>
      <c r="F213" s="270"/>
      <c r="G213" s="270"/>
      <c r="H213" s="28"/>
      <c r="I213" s="283"/>
      <c r="J213" s="283"/>
      <c r="K213" s="283"/>
      <c r="L213" s="280"/>
      <c r="M213" s="285">
        <f>E213*I213</f>
        <v>0</v>
      </c>
      <c r="N213" s="285">
        <f t="shared" ref="N213" si="52">F213*J213</f>
        <v>0</v>
      </c>
      <c r="O213" s="285">
        <f>G213*K213</f>
        <v>0</v>
      </c>
    </row>
    <row r="214" spans="1:15" ht="14.25" x14ac:dyDescent="0.2">
      <c r="B214" s="271"/>
      <c r="C214" s="274" t="s">
        <v>388</v>
      </c>
      <c r="D214" s="272"/>
      <c r="E214" s="61"/>
      <c r="F214" s="61"/>
      <c r="G214" s="61"/>
      <c r="H214" s="61"/>
      <c r="I214" s="284"/>
      <c r="J214" s="284"/>
      <c r="K214" s="284"/>
      <c r="L214" s="284"/>
      <c r="M214" s="298">
        <f>SUM(M215:M215)</f>
        <v>0</v>
      </c>
      <c r="N214" s="298">
        <f>SUM(N215:N215)</f>
        <v>0</v>
      </c>
      <c r="O214" s="298">
        <f>SUM(O215:O215)</f>
        <v>0</v>
      </c>
    </row>
    <row r="215" spans="1:15" ht="14.25" x14ac:dyDescent="0.2">
      <c r="B215" s="253"/>
      <c r="C215" s="30" t="s">
        <v>394</v>
      </c>
      <c r="D215" s="41"/>
      <c r="E215" s="270"/>
      <c r="F215" s="270"/>
      <c r="G215" s="270"/>
      <c r="H215" s="28"/>
      <c r="I215" s="283"/>
      <c r="J215" s="283"/>
      <c r="K215" s="283"/>
      <c r="L215" s="280"/>
      <c r="M215" s="285">
        <f>E215*I215</f>
        <v>0</v>
      </c>
      <c r="N215" s="285">
        <f t="shared" ref="N215" si="53">F215*J215</f>
        <v>0</v>
      </c>
      <c r="O215" s="285">
        <f>G215*K215</f>
        <v>0</v>
      </c>
    </row>
    <row r="216" spans="1:15" ht="14.25" x14ac:dyDescent="0.2">
      <c r="B216" s="273"/>
      <c r="C216" s="3"/>
      <c r="D216" s="3"/>
      <c r="E216" s="3"/>
      <c r="I216" s="278"/>
      <c r="J216" s="278"/>
      <c r="K216" s="278"/>
      <c r="L216" s="278"/>
      <c r="M216" s="278"/>
      <c r="N216" s="278"/>
      <c r="O216" s="278"/>
    </row>
    <row r="217" spans="1:15" ht="15.75" thickBot="1" x14ac:dyDescent="0.3">
      <c r="A217" s="246"/>
      <c r="B217" s="273"/>
      <c r="C217" s="3"/>
      <c r="D217" s="3"/>
      <c r="E217" s="3"/>
      <c r="I217" s="278"/>
      <c r="J217" s="278"/>
      <c r="K217" s="278"/>
      <c r="L217" s="286" t="s">
        <v>390</v>
      </c>
      <c r="M217" s="287">
        <f>SUM(M190:M210)/2</f>
        <v>0</v>
      </c>
      <c r="N217" s="287">
        <f>SUM(N190:N210)/2</f>
        <v>0</v>
      </c>
      <c r="O217" s="287">
        <f>SUM(O190:O210)/2</f>
        <v>0</v>
      </c>
    </row>
    <row r="218" spans="1:15" ht="16.5" thickTop="1" thickBot="1" x14ac:dyDescent="0.3">
      <c r="B218" s="273"/>
      <c r="C218" s="3"/>
      <c r="D218" s="3"/>
      <c r="E218" s="3"/>
      <c r="I218" s="278"/>
      <c r="J218" s="278"/>
      <c r="K218" s="278"/>
      <c r="L218" s="286" t="s">
        <v>389</v>
      </c>
      <c r="M218" s="287">
        <f>SUM(M212:M215)/2</f>
        <v>0</v>
      </c>
      <c r="N218" s="287">
        <f>SUM(N212:N215)/2</f>
        <v>0</v>
      </c>
      <c r="O218" s="287">
        <f>SUM(O212:O215)/2</f>
        <v>0</v>
      </c>
    </row>
    <row r="219" spans="1:15" ht="15.75" thickTop="1" x14ac:dyDescent="0.25">
      <c r="B219" s="3"/>
      <c r="F219"/>
    </row>
    <row r="220" spans="1:15" x14ac:dyDescent="0.25">
      <c r="B220" s="3"/>
      <c r="F220"/>
    </row>
    <row r="221" spans="1:15" x14ac:dyDescent="0.25">
      <c r="B221" s="3"/>
      <c r="F221"/>
    </row>
    <row r="222" spans="1:15" x14ac:dyDescent="0.25">
      <c r="B222" s="3"/>
      <c r="F222"/>
    </row>
    <row r="223" spans="1:15" x14ac:dyDescent="0.25">
      <c r="B223" s="3"/>
      <c r="F223"/>
    </row>
    <row r="224" spans="1:15" x14ac:dyDescent="0.25">
      <c r="B224" s="3"/>
      <c r="F224"/>
    </row>
    <row r="225" spans="2:6" x14ac:dyDescent="0.25">
      <c r="B225" s="3"/>
      <c r="F225"/>
    </row>
    <row r="226" spans="2:6" x14ac:dyDescent="0.25">
      <c r="B226" s="3"/>
      <c r="F226"/>
    </row>
    <row r="227" spans="2:6" x14ac:dyDescent="0.25">
      <c r="B227" s="3"/>
      <c r="F227"/>
    </row>
    <row r="228" spans="2:6" x14ac:dyDescent="0.25">
      <c r="B228" s="3"/>
      <c r="F228"/>
    </row>
    <row r="229" spans="2:6" x14ac:dyDescent="0.25">
      <c r="B229" s="3"/>
      <c r="F229"/>
    </row>
    <row r="230" spans="2:6" x14ac:dyDescent="0.25">
      <c r="B230" s="3"/>
      <c r="F230"/>
    </row>
    <row r="231" spans="2:6" x14ac:dyDescent="0.25">
      <c r="B231" s="3"/>
      <c r="F231"/>
    </row>
    <row r="232" spans="2:6" x14ac:dyDescent="0.25">
      <c r="B232" s="3"/>
      <c r="F232"/>
    </row>
    <row r="233" spans="2:6" x14ac:dyDescent="0.25">
      <c r="B233" s="3"/>
      <c r="F233"/>
    </row>
    <row r="234" spans="2:6" x14ac:dyDescent="0.25">
      <c r="B234" s="3"/>
      <c r="F234"/>
    </row>
    <row r="235" spans="2:6" x14ac:dyDescent="0.25">
      <c r="B235" s="3"/>
      <c r="F235"/>
    </row>
    <row r="236" spans="2:6" x14ac:dyDescent="0.25">
      <c r="B236" s="3"/>
      <c r="F236"/>
    </row>
    <row r="237" spans="2:6" x14ac:dyDescent="0.25">
      <c r="B237" s="3"/>
      <c r="F237"/>
    </row>
    <row r="238" spans="2:6" x14ac:dyDescent="0.25">
      <c r="B238" s="3"/>
      <c r="F238"/>
    </row>
    <row r="239" spans="2:6" x14ac:dyDescent="0.25">
      <c r="B239" s="3"/>
      <c r="F239"/>
    </row>
    <row r="240" spans="2:6" x14ac:dyDescent="0.25">
      <c r="B240" s="3"/>
      <c r="F240"/>
    </row>
    <row r="241" spans="2:6" x14ac:dyDescent="0.25">
      <c r="B241" s="3"/>
      <c r="F241"/>
    </row>
    <row r="242" spans="2:6" x14ac:dyDescent="0.25">
      <c r="B242" s="3"/>
      <c r="F242"/>
    </row>
  </sheetData>
  <mergeCells count="1">
    <mergeCell ref="D17:O1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33"/>
  </sheetPr>
  <dimension ref="A1:P219"/>
  <sheetViews>
    <sheetView showGridLines="0" workbookViewId="0">
      <pane ySplit="1" topLeftCell="A74" activePane="bottomLeft" state="frozen"/>
      <selection activeCell="G35" sqref="G35"/>
      <selection pane="bottomLeft" activeCell="G35" sqref="G35"/>
    </sheetView>
  </sheetViews>
  <sheetFormatPr defaultRowHeight="15" x14ac:dyDescent="0.25"/>
  <cols>
    <col min="1" max="1" width="4.140625" customWidth="1"/>
    <col min="2" max="2" width="3.85546875" customWidth="1"/>
    <col min="3" max="3" width="41.7109375" customWidth="1"/>
    <col min="4" max="4" width="18" customWidth="1"/>
    <col min="5" max="7" width="12.85546875" customWidth="1"/>
    <col min="8" max="8" width="2.42578125" customWidth="1"/>
    <col min="9" max="11" width="12.85546875" customWidth="1"/>
    <col min="12" max="12" width="2.42578125" customWidth="1"/>
    <col min="13" max="15" width="12.85546875" customWidth="1"/>
  </cols>
  <sheetData>
    <row r="1" spans="1:16" ht="15.75" x14ac:dyDescent="0.25">
      <c r="A1" s="314"/>
      <c r="B1" s="313" t="e">
        <f>'Service Descriptions'!#REF!</f>
        <v>#REF!</v>
      </c>
      <c r="C1" s="192"/>
      <c r="D1" s="192"/>
      <c r="E1" s="192"/>
    </row>
    <row r="2" spans="1:16" s="3" customFormat="1" ht="15.75" customHeight="1" x14ac:dyDescent="0.25">
      <c r="A2" s="246"/>
      <c r="B2" s="310"/>
      <c r="C2" s="311" t="s">
        <v>395</v>
      </c>
      <c r="D2" s="310"/>
      <c r="E2" s="308"/>
      <c r="F2" s="308"/>
      <c r="G2" s="308"/>
      <c r="H2" s="308"/>
      <c r="I2" s="309"/>
      <c r="J2" s="309"/>
      <c r="K2" s="309"/>
      <c r="L2" s="309"/>
      <c r="M2" s="309"/>
      <c r="N2" s="309"/>
      <c r="O2" s="309"/>
    </row>
    <row r="3" spans="1:16" s="322" customFormat="1" ht="15.75" x14ac:dyDescent="0.25">
      <c r="A3" s="231"/>
      <c r="B3" s="320"/>
      <c r="C3" s="321"/>
      <c r="D3" s="321"/>
      <c r="E3" s="321"/>
    </row>
    <row r="4" spans="1:16" s="322" customFormat="1" ht="15.75" x14ac:dyDescent="0.25">
      <c r="A4" s="231"/>
      <c r="B4" s="320"/>
      <c r="C4" s="321"/>
      <c r="D4" s="321"/>
      <c r="E4" s="321"/>
    </row>
    <row r="5" spans="1:16" s="322" customFormat="1" ht="15.75" x14ac:dyDescent="0.25">
      <c r="A5" s="231"/>
      <c r="B5" s="320"/>
      <c r="C5" s="321"/>
      <c r="D5" s="321"/>
      <c r="E5" s="321"/>
    </row>
    <row r="6" spans="1:16" s="322" customFormat="1" ht="15.75" x14ac:dyDescent="0.25">
      <c r="A6" s="231"/>
      <c r="B6" s="320"/>
      <c r="C6" s="321"/>
      <c r="D6" s="321"/>
      <c r="E6" s="321"/>
    </row>
    <row r="7" spans="1:16" s="322" customFormat="1" ht="15.75" x14ac:dyDescent="0.25">
      <c r="A7" s="231"/>
      <c r="B7" s="320"/>
      <c r="C7" s="321"/>
      <c r="D7" s="321"/>
      <c r="E7" s="321"/>
    </row>
    <row r="8" spans="1:16" s="322" customFormat="1" ht="15.75" x14ac:dyDescent="0.25">
      <c r="A8" s="231"/>
      <c r="B8" s="320"/>
      <c r="C8" s="321"/>
      <c r="D8" s="321"/>
      <c r="E8" s="321"/>
    </row>
    <row r="9" spans="1:16" s="322" customFormat="1" ht="15.75" x14ac:dyDescent="0.25">
      <c r="A9" s="231"/>
      <c r="B9" s="320"/>
      <c r="C9" s="321"/>
      <c r="D9" s="321"/>
      <c r="E9" s="321"/>
    </row>
    <row r="10" spans="1:16" s="322" customFormat="1" ht="15.75" x14ac:dyDescent="0.25">
      <c r="A10" s="231"/>
      <c r="B10" s="320"/>
      <c r="C10" s="321"/>
      <c r="D10" s="321"/>
      <c r="E10" s="321"/>
    </row>
    <row r="11" spans="1:16" s="3" customFormat="1" ht="15.75" customHeight="1" x14ac:dyDescent="0.25">
      <c r="A11" s="246"/>
      <c r="B11" s="310"/>
      <c r="C11" s="311" t="s">
        <v>396</v>
      </c>
      <c r="D11" s="310"/>
      <c r="E11" s="308"/>
      <c r="F11" s="308"/>
      <c r="G11" s="308"/>
      <c r="H11" s="308"/>
      <c r="I11" s="309"/>
      <c r="J11" s="309"/>
      <c r="K11" s="309"/>
      <c r="L11" s="309"/>
      <c r="M11" s="309"/>
      <c r="N11" s="309"/>
      <c r="O11" s="309"/>
    </row>
    <row r="12" spans="1:16" s="28" customFormat="1" ht="15.75" customHeight="1" x14ac:dyDescent="0.2">
      <c r="A12" s="247"/>
      <c r="B12" s="253"/>
      <c r="I12" s="280"/>
      <c r="J12" s="280"/>
      <c r="K12" s="280"/>
      <c r="L12" s="280"/>
      <c r="M12" s="280"/>
      <c r="N12" s="280"/>
      <c r="O12" s="280"/>
      <c r="P12" s="254"/>
    </row>
    <row r="13" spans="1:16" s="28" customFormat="1" ht="15.75" customHeight="1" x14ac:dyDescent="0.2">
      <c r="A13" s="255">
        <v>1</v>
      </c>
      <c r="B13" s="256" t="s">
        <v>366</v>
      </c>
      <c r="C13" s="256"/>
      <c r="D13" s="944"/>
      <c r="E13" s="944"/>
      <c r="F13" s="944"/>
      <c r="G13" s="944"/>
      <c r="I13" s="280"/>
      <c r="J13" s="280"/>
      <c r="K13" s="280"/>
      <c r="L13" s="280"/>
      <c r="M13" s="280"/>
      <c r="N13" s="280"/>
      <c r="O13" s="280"/>
    </row>
    <row r="14" spans="1:16" s="28" customFormat="1" ht="15.75" customHeight="1" x14ac:dyDescent="0.2">
      <c r="A14" s="255"/>
      <c r="B14" s="255" t="s">
        <v>367</v>
      </c>
      <c r="C14" s="256"/>
      <c r="D14" s="257"/>
      <c r="E14" s="255"/>
      <c r="F14" s="255"/>
      <c r="G14" s="255"/>
      <c r="I14" s="280"/>
      <c r="J14" s="280"/>
      <c r="K14" s="280"/>
      <c r="L14" s="280"/>
      <c r="M14" s="280"/>
      <c r="N14" s="280"/>
      <c r="O14" s="280"/>
      <c r="P14" s="258"/>
    </row>
    <row r="15" spans="1:16" s="28" customFormat="1" ht="15.75" customHeight="1" x14ac:dyDescent="0.2">
      <c r="A15" s="255"/>
      <c r="B15" s="255" t="s">
        <v>368</v>
      </c>
      <c r="C15" s="256"/>
      <c r="D15" s="945"/>
      <c r="E15" s="945"/>
      <c r="F15" s="945"/>
      <c r="G15" s="945"/>
      <c r="I15" s="280"/>
      <c r="J15" s="280"/>
      <c r="K15" s="280"/>
      <c r="L15" s="280"/>
      <c r="M15" s="280"/>
      <c r="N15" s="280"/>
      <c r="O15" s="280"/>
      <c r="P15" s="254"/>
    </row>
    <row r="16" spans="1:16" s="28" customFormat="1" ht="15.75" customHeight="1" x14ac:dyDescent="0.2">
      <c r="A16" s="255"/>
      <c r="B16" s="255"/>
      <c r="C16" s="255"/>
      <c r="D16" s="255"/>
      <c r="E16" s="255"/>
      <c r="F16" s="255"/>
      <c r="G16" s="255"/>
      <c r="I16" s="280"/>
      <c r="J16" s="280"/>
      <c r="K16" s="280"/>
      <c r="L16" s="280"/>
      <c r="M16" s="280"/>
      <c r="N16" s="280"/>
      <c r="O16" s="280"/>
      <c r="P16" s="254"/>
    </row>
    <row r="17" spans="1:16" s="28" customFormat="1" ht="15.75" customHeight="1" x14ac:dyDescent="0.2">
      <c r="A17" s="255">
        <v>2</v>
      </c>
      <c r="B17" s="256" t="s">
        <v>366</v>
      </c>
      <c r="C17" s="255"/>
      <c r="D17" s="944"/>
      <c r="E17" s="944"/>
      <c r="F17" s="944"/>
      <c r="G17" s="944"/>
      <c r="H17" s="944"/>
      <c r="I17" s="944"/>
      <c r="J17" s="944"/>
      <c r="K17" s="944"/>
      <c r="L17" s="944"/>
      <c r="M17" s="944"/>
      <c r="N17" s="944"/>
      <c r="O17" s="944"/>
      <c r="P17" s="260"/>
    </row>
    <row r="18" spans="1:16" s="28" customFormat="1" ht="15.75" customHeight="1" x14ac:dyDescent="0.2">
      <c r="A18" s="255"/>
      <c r="B18" s="256"/>
      <c r="C18" s="255"/>
      <c r="D18" s="255"/>
      <c r="E18" s="255"/>
      <c r="F18" s="255"/>
      <c r="G18" s="255"/>
      <c r="I18" s="280"/>
      <c r="J18" s="280"/>
      <c r="K18" s="280"/>
      <c r="L18" s="280"/>
      <c r="M18" s="280"/>
      <c r="N18" s="280"/>
      <c r="O18" s="280"/>
      <c r="P18" s="260"/>
    </row>
    <row r="19" spans="1:16" s="28" customFormat="1" ht="15.75" customHeight="1" x14ac:dyDescent="0.2">
      <c r="A19" s="255">
        <v>3</v>
      </c>
      <c r="B19" s="255" t="s">
        <v>366</v>
      </c>
      <c r="C19" s="261"/>
      <c r="D19" s="255"/>
      <c r="E19" s="255"/>
      <c r="F19" s="255"/>
      <c r="G19" s="255"/>
      <c r="I19" s="280"/>
      <c r="J19" s="280"/>
      <c r="K19" s="280"/>
      <c r="L19" s="280"/>
      <c r="M19" s="280"/>
      <c r="N19" s="280"/>
      <c r="O19" s="280"/>
      <c r="P19" s="262"/>
    </row>
    <row r="20" spans="1:16" s="3" customFormat="1" ht="15.75" customHeight="1" x14ac:dyDescent="0.25">
      <c r="A20" s="246"/>
      <c r="B20" s="299"/>
      <c r="C20" s="300" t="s">
        <v>393</v>
      </c>
      <c r="D20" s="299" t="s">
        <v>365</v>
      </c>
      <c r="E20" s="299" t="s">
        <v>365</v>
      </c>
      <c r="F20" s="301"/>
      <c r="G20" s="301"/>
      <c r="H20" s="301"/>
      <c r="I20" s="302"/>
      <c r="J20" s="302"/>
      <c r="K20" s="302"/>
      <c r="L20" s="302"/>
      <c r="M20" s="302"/>
      <c r="N20" s="302"/>
      <c r="O20" s="302"/>
    </row>
    <row r="21" spans="1:16" x14ac:dyDescent="0.25">
      <c r="A21" s="28"/>
      <c r="B21" s="28"/>
      <c r="C21" s="29" t="s">
        <v>323</v>
      </c>
      <c r="D21" s="28"/>
      <c r="E21" s="28"/>
      <c r="F21" s="28"/>
    </row>
    <row r="22" spans="1:16" x14ac:dyDescent="0.25">
      <c r="A22" s="28"/>
      <c r="B22" s="28"/>
      <c r="C22" s="51" t="s">
        <v>349</v>
      </c>
      <c r="D22" s="53">
        <f>D35+D36+D37</f>
        <v>0</v>
      </c>
      <c r="E22" s="53">
        <f t="shared" ref="E22:F22" si="0">E35+E36+E37</f>
        <v>0</v>
      </c>
      <c r="F22" s="53">
        <f t="shared" si="0"/>
        <v>0</v>
      </c>
    </row>
    <row r="23" spans="1:16" x14ac:dyDescent="0.25">
      <c r="A23" s="28"/>
      <c r="B23" s="28"/>
      <c r="C23" s="65" t="s">
        <v>348</v>
      </c>
      <c r="D23" s="66" t="e">
        <f>SUM(D35:D37)/('4.3.2'!D175+'4.3.2'!D202+'4.3.2'!D208)*1000</f>
        <v>#DIV/0!</v>
      </c>
      <c r="E23" s="66" t="e">
        <f>SUM(E35:E37)/('4.3.2'!E175+'4.3.2'!E202+'4.3.2'!E208)*1000</f>
        <v>#DIV/0!</v>
      </c>
      <c r="F23" s="66" t="e">
        <f>SUM(F35:F37)/('4.3.2'!F175+'4.3.2'!F202+'4.3.2'!F208)*1000</f>
        <v>#DIV/0!</v>
      </c>
    </row>
    <row r="24" spans="1:16" x14ac:dyDescent="0.25">
      <c r="A24" s="28"/>
      <c r="B24" s="28"/>
      <c r="C24" s="28"/>
      <c r="D24" s="28"/>
      <c r="E24" s="28"/>
      <c r="F24" s="28"/>
    </row>
    <row r="25" spans="1:16" x14ac:dyDescent="0.25">
      <c r="A25" s="226" t="s">
        <v>184</v>
      </c>
      <c r="B25" s="226"/>
      <c r="C25" s="227"/>
      <c r="D25" s="227"/>
      <c r="E25" s="227"/>
      <c r="F25" s="227"/>
    </row>
    <row r="26" spans="1:16" x14ac:dyDescent="0.25">
      <c r="A26" s="28"/>
      <c r="B26" s="28"/>
      <c r="C26" s="49" t="s">
        <v>307</v>
      </c>
      <c r="D26" s="37"/>
      <c r="E26" s="37"/>
      <c r="F26" s="37"/>
    </row>
    <row r="27" spans="1:16" x14ac:dyDescent="0.25">
      <c r="A27" s="28"/>
      <c r="B27" s="28"/>
      <c r="C27" s="67" t="s">
        <v>292</v>
      </c>
      <c r="D27" s="74">
        <v>15</v>
      </c>
      <c r="E27" s="79">
        <v>15</v>
      </c>
      <c r="F27" s="79">
        <v>15</v>
      </c>
    </row>
    <row r="28" spans="1:16" x14ac:dyDescent="0.25">
      <c r="A28" s="28"/>
      <c r="B28" s="28"/>
      <c r="C28" s="35" t="s">
        <v>262</v>
      </c>
      <c r="D28" s="72">
        <v>6</v>
      </c>
      <c r="E28" s="80">
        <v>6</v>
      </c>
      <c r="F28" s="80">
        <v>6</v>
      </c>
    </row>
    <row r="29" spans="1:16" x14ac:dyDescent="0.25">
      <c r="A29" s="28"/>
      <c r="B29" s="28"/>
      <c r="C29" s="71" t="s">
        <v>263</v>
      </c>
      <c r="D29" s="73">
        <v>22</v>
      </c>
      <c r="E29" s="81">
        <v>22</v>
      </c>
      <c r="F29" s="81">
        <v>22</v>
      </c>
    </row>
    <row r="30" spans="1:16" x14ac:dyDescent="0.25">
      <c r="A30" s="28"/>
      <c r="B30" s="28"/>
      <c r="C30" s="67" t="s">
        <v>291</v>
      </c>
      <c r="D30" s="67"/>
      <c r="E30" s="67"/>
      <c r="F30" s="67"/>
    </row>
    <row r="31" spans="1:16" x14ac:dyDescent="0.25">
      <c r="A31" s="28"/>
      <c r="B31" s="28"/>
      <c r="C31" s="76" t="s">
        <v>267</v>
      </c>
      <c r="D31" s="68">
        <f>'4.3.2'!D198</f>
        <v>0</v>
      </c>
      <c r="E31" s="68">
        <f>'4.3.2'!E198</f>
        <v>0</v>
      </c>
      <c r="F31" s="68">
        <f>'4.3.2'!F198</f>
        <v>0</v>
      </c>
    </row>
    <row r="32" spans="1:16" x14ac:dyDescent="0.25">
      <c r="A32" s="28"/>
      <c r="B32" s="28"/>
      <c r="C32" s="76" t="s">
        <v>268</v>
      </c>
      <c r="D32" s="68">
        <f>'4.3.2'!D203</f>
        <v>0</v>
      </c>
      <c r="E32" s="68">
        <f>'4.3.2'!E203</f>
        <v>0</v>
      </c>
      <c r="F32" s="68">
        <f>'4.3.2'!F203</f>
        <v>0</v>
      </c>
    </row>
    <row r="33" spans="1:16" x14ac:dyDescent="0.25">
      <c r="A33" s="28"/>
      <c r="B33" s="28"/>
      <c r="C33" s="77" t="s">
        <v>269</v>
      </c>
      <c r="D33" s="70">
        <f>'4.3.2'!D209</f>
        <v>0</v>
      </c>
      <c r="E33" s="70">
        <f>'4.3.2'!E209</f>
        <v>0</v>
      </c>
      <c r="F33" s="70">
        <f>'4.3.2'!F209</f>
        <v>0</v>
      </c>
    </row>
    <row r="34" spans="1:16" x14ac:dyDescent="0.25">
      <c r="A34" s="28"/>
      <c r="B34" s="28"/>
      <c r="C34" s="41" t="s">
        <v>270</v>
      </c>
      <c r="D34" s="28"/>
      <c r="E34" s="28"/>
      <c r="F34" s="28"/>
    </row>
    <row r="35" spans="1:16" x14ac:dyDescent="0.25">
      <c r="A35" s="28"/>
      <c r="B35" s="28"/>
      <c r="C35" s="78" t="s">
        <v>267</v>
      </c>
      <c r="D35" s="53">
        <f>D31/(D28*(60/D27)*D29)</f>
        <v>0</v>
      </c>
      <c r="E35" s="53">
        <f t="shared" ref="E35:F35" si="1">E31/(E28*(60/E27)*E29)</f>
        <v>0</v>
      </c>
      <c r="F35" s="53">
        <f t="shared" si="1"/>
        <v>0</v>
      </c>
    </row>
    <row r="36" spans="1:16" x14ac:dyDescent="0.25">
      <c r="A36" s="28"/>
      <c r="B36" s="28"/>
      <c r="C36" s="78" t="s">
        <v>268</v>
      </c>
      <c r="D36" s="53">
        <f>D32/(D28*(60/D27)*D29)</f>
        <v>0</v>
      </c>
      <c r="E36" s="53">
        <f t="shared" ref="E36:F36" si="2">E32/(E28*(60/E27)*E29)</f>
        <v>0</v>
      </c>
      <c r="F36" s="53">
        <f t="shared" si="2"/>
        <v>0</v>
      </c>
    </row>
    <row r="37" spans="1:16" x14ac:dyDescent="0.25">
      <c r="A37" s="28"/>
      <c r="B37" s="28"/>
      <c r="C37" s="78" t="s">
        <v>269</v>
      </c>
      <c r="D37" s="53">
        <f>D33/(D28*(60/D27)*D29)</f>
        <v>0</v>
      </c>
      <c r="E37" s="53">
        <f t="shared" ref="E37:F37" si="3">E33/(E28*(60/E27)*E29)</f>
        <v>0</v>
      </c>
      <c r="F37" s="53">
        <f t="shared" si="3"/>
        <v>0</v>
      </c>
    </row>
    <row r="38" spans="1:16" x14ac:dyDescent="0.25">
      <c r="A38" s="28"/>
      <c r="B38" s="28"/>
      <c r="C38" s="75" t="s">
        <v>185</v>
      </c>
      <c r="D38" s="218">
        <v>210000</v>
      </c>
      <c r="E38" s="219">
        <v>210000</v>
      </c>
      <c r="F38" s="219">
        <v>210000</v>
      </c>
    </row>
    <row r="39" spans="1:16" s="28" customFormat="1" ht="15.75" customHeight="1" x14ac:dyDescent="0.2">
      <c r="A39" s="263"/>
      <c r="B39" s="263"/>
      <c r="C39" s="256"/>
      <c r="D39" s="259"/>
      <c r="E39" s="263"/>
      <c r="F39" s="263"/>
      <c r="G39" s="263"/>
      <c r="I39" s="280"/>
      <c r="J39" s="280"/>
      <c r="K39" s="280"/>
      <c r="L39" s="280"/>
      <c r="M39" s="280"/>
      <c r="N39" s="280"/>
      <c r="O39" s="280"/>
      <c r="P39" s="258"/>
    </row>
    <row r="40" spans="1:16" s="28" customFormat="1" ht="15.75" customHeight="1" x14ac:dyDescent="0.2">
      <c r="A40" s="263"/>
      <c r="B40" s="263"/>
      <c r="C40" s="256"/>
      <c r="D40" s="259"/>
      <c r="E40" s="263"/>
      <c r="F40" s="263"/>
      <c r="G40" s="263"/>
      <c r="I40" s="280"/>
      <c r="J40" s="280"/>
      <c r="K40" s="280"/>
      <c r="L40" s="280"/>
      <c r="M40" s="280"/>
      <c r="N40" s="280"/>
      <c r="O40" s="280"/>
      <c r="P40" s="258"/>
    </row>
    <row r="41" spans="1:16" s="28" customFormat="1" ht="15.75" customHeight="1" x14ac:dyDescent="0.2">
      <c r="A41" s="263"/>
      <c r="B41" s="263"/>
      <c r="C41" s="256"/>
      <c r="D41" s="259"/>
      <c r="E41" s="263"/>
      <c r="F41" s="263"/>
      <c r="G41" s="263"/>
      <c r="I41" s="280"/>
      <c r="J41" s="280"/>
      <c r="K41" s="280"/>
      <c r="L41" s="280"/>
      <c r="M41" s="280"/>
      <c r="N41" s="280"/>
      <c r="O41" s="280"/>
      <c r="P41" s="258"/>
    </row>
    <row r="42" spans="1:16" s="28" customFormat="1" ht="15.75" customHeight="1" x14ac:dyDescent="0.2">
      <c r="A42" s="263"/>
      <c r="B42" s="263"/>
      <c r="C42" s="256"/>
      <c r="D42" s="259"/>
      <c r="E42" s="263"/>
      <c r="F42" s="263"/>
      <c r="G42" s="263"/>
      <c r="I42" s="280"/>
      <c r="J42" s="280"/>
      <c r="K42" s="280"/>
      <c r="L42" s="280"/>
      <c r="M42" s="280"/>
      <c r="N42" s="280"/>
      <c r="O42" s="280"/>
      <c r="P42" s="258"/>
    </row>
    <row r="43" spans="1:16" s="28" customFormat="1" ht="15.75" customHeight="1" x14ac:dyDescent="0.2">
      <c r="A43" s="263"/>
      <c r="B43" s="263"/>
      <c r="C43" s="256"/>
      <c r="D43" s="259"/>
      <c r="E43" s="263"/>
      <c r="F43" s="263"/>
      <c r="G43" s="263"/>
      <c r="I43" s="280"/>
      <c r="J43" s="280"/>
      <c r="K43" s="280"/>
      <c r="L43" s="280"/>
      <c r="M43" s="280"/>
      <c r="N43" s="280"/>
      <c r="O43" s="280"/>
      <c r="P43" s="258"/>
    </row>
    <row r="44" spans="1:16" s="28" customFormat="1" ht="15.75" customHeight="1" x14ac:dyDescent="0.2">
      <c r="A44" s="263"/>
      <c r="B44" s="263"/>
      <c r="C44" s="256"/>
      <c r="D44" s="259"/>
      <c r="E44" s="263"/>
      <c r="F44" s="263"/>
      <c r="G44" s="263"/>
      <c r="I44" s="280"/>
      <c r="J44" s="280"/>
      <c r="K44" s="280"/>
      <c r="L44" s="280"/>
      <c r="M44" s="280"/>
      <c r="N44" s="280"/>
      <c r="O44" s="280"/>
      <c r="P44" s="258"/>
    </row>
    <row r="45" spans="1:16" s="28" customFormat="1" ht="15.75" customHeight="1" x14ac:dyDescent="0.2">
      <c r="A45" s="263"/>
      <c r="B45" s="263"/>
      <c r="C45" s="256"/>
      <c r="D45" s="259"/>
      <c r="E45" s="263"/>
      <c r="F45" s="263"/>
      <c r="G45" s="263"/>
      <c r="I45" s="280"/>
      <c r="J45" s="280"/>
      <c r="K45" s="280"/>
      <c r="L45" s="280"/>
      <c r="M45" s="280"/>
      <c r="N45" s="280"/>
      <c r="O45" s="280"/>
      <c r="P45" s="258"/>
    </row>
    <row r="46" spans="1:16" s="28" customFormat="1" ht="15.75" customHeight="1" x14ac:dyDescent="0.2">
      <c r="A46" s="263"/>
      <c r="B46" s="263"/>
      <c r="C46" s="256"/>
      <c r="D46" s="259"/>
      <c r="E46" s="263"/>
      <c r="F46" s="263"/>
      <c r="G46" s="263"/>
      <c r="I46" s="280"/>
      <c r="J46" s="280"/>
      <c r="K46" s="280"/>
      <c r="L46" s="280"/>
      <c r="M46" s="280"/>
      <c r="N46" s="280"/>
      <c r="O46" s="280"/>
      <c r="P46" s="258"/>
    </row>
    <row r="47" spans="1:16" s="28" customFormat="1" ht="15.75" customHeight="1" x14ac:dyDescent="0.2">
      <c r="A47" s="263"/>
      <c r="B47" s="263"/>
      <c r="C47" s="256"/>
      <c r="D47" s="259"/>
      <c r="E47" s="263"/>
      <c r="F47" s="263"/>
      <c r="G47" s="263"/>
      <c r="I47" s="280"/>
      <c r="J47" s="280"/>
      <c r="K47" s="280"/>
      <c r="L47" s="280"/>
      <c r="M47" s="280"/>
      <c r="N47" s="280"/>
      <c r="O47" s="280"/>
      <c r="P47" s="258"/>
    </row>
    <row r="48" spans="1:16" s="28" customFormat="1" ht="15.75" customHeight="1" x14ac:dyDescent="0.2">
      <c r="A48" s="263"/>
      <c r="B48" s="263"/>
      <c r="C48" s="256"/>
      <c r="D48" s="259"/>
      <c r="E48" s="263"/>
      <c r="F48" s="263"/>
      <c r="G48" s="263"/>
      <c r="I48" s="280"/>
      <c r="J48" s="280"/>
      <c r="K48" s="280"/>
      <c r="L48" s="280"/>
      <c r="M48" s="280"/>
      <c r="N48" s="280"/>
      <c r="O48" s="280"/>
      <c r="P48" s="258"/>
    </row>
    <row r="49" spans="1:16" s="28" customFormat="1" ht="15.75" customHeight="1" x14ac:dyDescent="0.2">
      <c r="A49" s="263"/>
      <c r="B49" s="263"/>
      <c r="C49" s="256"/>
      <c r="D49" s="259"/>
      <c r="E49" s="263"/>
      <c r="F49" s="263"/>
      <c r="G49" s="263"/>
      <c r="I49" s="280"/>
      <c r="J49" s="280"/>
      <c r="K49" s="280"/>
      <c r="L49" s="280"/>
      <c r="M49" s="280"/>
      <c r="N49" s="280"/>
      <c r="O49" s="280"/>
      <c r="P49" s="258"/>
    </row>
    <row r="50" spans="1:16" s="28" customFormat="1" ht="15.75" customHeight="1" x14ac:dyDescent="0.2">
      <c r="A50" s="263"/>
      <c r="B50" s="263"/>
      <c r="C50" s="256"/>
      <c r="D50" s="259"/>
      <c r="E50" s="263"/>
      <c r="F50" s="263"/>
      <c r="G50" s="263"/>
      <c r="I50" s="280"/>
      <c r="J50" s="280"/>
      <c r="K50" s="280"/>
      <c r="L50" s="280"/>
      <c r="M50" s="280"/>
      <c r="N50" s="280"/>
      <c r="O50" s="280"/>
      <c r="P50" s="258"/>
    </row>
    <row r="51" spans="1:16" s="28" customFormat="1" ht="15.75" customHeight="1" x14ac:dyDescent="0.2">
      <c r="A51" s="263"/>
      <c r="B51" s="263"/>
      <c r="C51" s="256"/>
      <c r="D51" s="259"/>
      <c r="E51" s="263"/>
      <c r="F51" s="263"/>
      <c r="G51" s="263"/>
      <c r="I51" s="280"/>
      <c r="J51" s="280"/>
      <c r="K51" s="280"/>
      <c r="L51" s="280"/>
      <c r="M51" s="280"/>
      <c r="N51" s="280"/>
      <c r="O51" s="280"/>
      <c r="P51" s="258"/>
    </row>
    <row r="52" spans="1:16" s="28" customFormat="1" ht="15.75" customHeight="1" x14ac:dyDescent="0.2">
      <c r="A52" s="263"/>
      <c r="B52" s="263"/>
      <c r="C52" s="256"/>
      <c r="D52" s="259"/>
      <c r="E52" s="263"/>
      <c r="F52" s="263"/>
      <c r="G52" s="263"/>
      <c r="I52" s="280"/>
      <c r="J52" s="280"/>
      <c r="K52" s="280"/>
      <c r="L52" s="280"/>
      <c r="M52" s="280"/>
      <c r="N52" s="280"/>
      <c r="O52" s="280"/>
      <c r="P52" s="258"/>
    </row>
    <row r="53" spans="1:16" s="28" customFormat="1" ht="15.75" customHeight="1" x14ac:dyDescent="0.2">
      <c r="A53" s="263"/>
      <c r="B53" s="263"/>
      <c r="C53" s="256"/>
      <c r="D53" s="259"/>
      <c r="E53" s="263"/>
      <c r="F53" s="263"/>
      <c r="G53" s="263"/>
      <c r="I53" s="280"/>
      <c r="J53" s="280"/>
      <c r="K53" s="280"/>
      <c r="L53" s="280"/>
      <c r="M53" s="280"/>
      <c r="N53" s="280"/>
      <c r="O53" s="280"/>
      <c r="P53" s="258"/>
    </row>
    <row r="54" spans="1:16" s="28" customFormat="1" ht="15.75" customHeight="1" x14ac:dyDescent="0.2">
      <c r="A54" s="263"/>
      <c r="B54" s="263"/>
      <c r="C54" s="256"/>
      <c r="D54" s="259"/>
      <c r="E54" s="263"/>
      <c r="F54" s="263"/>
      <c r="G54" s="263"/>
      <c r="I54" s="280"/>
      <c r="J54" s="280"/>
      <c r="K54" s="280"/>
      <c r="L54" s="280"/>
      <c r="M54" s="280"/>
      <c r="N54" s="280"/>
      <c r="O54" s="280"/>
      <c r="P54" s="258"/>
    </row>
    <row r="55" spans="1:16" s="28" customFormat="1" ht="15.75" customHeight="1" x14ac:dyDescent="0.2">
      <c r="A55" s="263"/>
      <c r="B55" s="263"/>
      <c r="C55" s="256"/>
      <c r="D55" s="259"/>
      <c r="E55" s="263"/>
      <c r="F55" s="263"/>
      <c r="G55" s="263"/>
      <c r="I55" s="280"/>
      <c r="J55" s="280"/>
      <c r="K55" s="280"/>
      <c r="L55" s="280"/>
      <c r="M55" s="280"/>
      <c r="N55" s="280"/>
      <c r="O55" s="280"/>
      <c r="P55" s="258"/>
    </row>
    <row r="56" spans="1:16" s="28" customFormat="1" ht="15.75" customHeight="1" x14ac:dyDescent="0.2">
      <c r="A56" s="263"/>
      <c r="B56" s="263"/>
      <c r="C56" s="256"/>
      <c r="D56" s="259"/>
      <c r="E56" s="263"/>
      <c r="F56" s="263"/>
      <c r="G56" s="263"/>
      <c r="I56" s="280"/>
      <c r="J56" s="280"/>
      <c r="K56" s="280"/>
      <c r="L56" s="280"/>
      <c r="M56" s="280"/>
      <c r="N56" s="280"/>
      <c r="O56" s="280"/>
      <c r="P56" s="258"/>
    </row>
    <row r="57" spans="1:16" s="28" customFormat="1" ht="15.75" customHeight="1" x14ac:dyDescent="0.2">
      <c r="A57" s="263"/>
      <c r="B57" s="263"/>
      <c r="C57" s="256"/>
      <c r="D57" s="259"/>
      <c r="E57" s="263"/>
      <c r="F57" s="263"/>
      <c r="G57" s="263"/>
      <c r="I57" s="280"/>
      <c r="J57" s="280"/>
      <c r="K57" s="280"/>
      <c r="L57" s="280"/>
      <c r="M57" s="280"/>
      <c r="N57" s="280"/>
      <c r="O57" s="280"/>
      <c r="P57" s="258"/>
    </row>
    <row r="58" spans="1:16" s="28" customFormat="1" ht="15.75" customHeight="1" x14ac:dyDescent="0.2">
      <c r="A58" s="263"/>
      <c r="B58" s="263"/>
      <c r="C58" s="256"/>
      <c r="D58" s="259"/>
      <c r="E58" s="263"/>
      <c r="F58" s="263"/>
      <c r="G58" s="263"/>
      <c r="I58" s="280"/>
      <c r="J58" s="280"/>
      <c r="K58" s="280"/>
      <c r="L58" s="280"/>
      <c r="M58" s="280"/>
      <c r="N58" s="280"/>
      <c r="O58" s="280"/>
      <c r="P58" s="258"/>
    </row>
    <row r="59" spans="1:16" s="28" customFormat="1" ht="15.75" customHeight="1" x14ac:dyDescent="0.2">
      <c r="A59" s="263"/>
      <c r="B59" s="263"/>
      <c r="C59" s="256"/>
      <c r="D59" s="259"/>
      <c r="E59" s="263"/>
      <c r="F59" s="263"/>
      <c r="G59" s="263"/>
      <c r="I59" s="280"/>
      <c r="J59" s="280"/>
      <c r="K59" s="280"/>
      <c r="L59" s="280"/>
      <c r="M59" s="280"/>
      <c r="N59" s="280"/>
      <c r="O59" s="280"/>
      <c r="P59" s="258"/>
    </row>
    <row r="60" spans="1:16" s="28" customFormat="1" ht="15.75" customHeight="1" x14ac:dyDescent="0.2">
      <c r="A60" s="263"/>
      <c r="B60" s="263"/>
      <c r="C60" s="256"/>
      <c r="D60" s="259"/>
      <c r="E60" s="263"/>
      <c r="F60" s="263"/>
      <c r="G60" s="263"/>
      <c r="I60" s="280"/>
      <c r="J60" s="280"/>
      <c r="K60" s="280"/>
      <c r="L60" s="280"/>
      <c r="M60" s="280"/>
      <c r="N60" s="280"/>
      <c r="O60" s="280"/>
      <c r="P60" s="258"/>
    </row>
    <row r="61" spans="1:16" s="28" customFormat="1" ht="15.75" customHeight="1" x14ac:dyDescent="0.2">
      <c r="A61" s="263"/>
      <c r="B61" s="263"/>
      <c r="C61" s="256"/>
      <c r="D61" s="259"/>
      <c r="E61" s="263"/>
      <c r="F61" s="263"/>
      <c r="G61" s="263"/>
      <c r="I61" s="280"/>
      <c r="J61" s="280"/>
      <c r="K61" s="280"/>
      <c r="L61" s="280"/>
      <c r="M61" s="280"/>
      <c r="N61" s="280"/>
      <c r="O61" s="280"/>
      <c r="P61" s="258"/>
    </row>
    <row r="62" spans="1:16" s="28" customFormat="1" ht="15.75" customHeight="1" x14ac:dyDescent="0.2">
      <c r="A62" s="263"/>
      <c r="B62" s="263"/>
      <c r="C62" s="256"/>
      <c r="D62" s="259"/>
      <c r="E62" s="263"/>
      <c r="F62" s="263"/>
      <c r="G62" s="263"/>
      <c r="I62" s="280"/>
      <c r="J62" s="280"/>
      <c r="K62" s="280"/>
      <c r="L62" s="280"/>
      <c r="M62" s="280"/>
      <c r="N62" s="280"/>
      <c r="O62" s="280"/>
      <c r="P62" s="258"/>
    </row>
    <row r="63" spans="1:16" s="28" customFormat="1" ht="15.75" customHeight="1" x14ac:dyDescent="0.2">
      <c r="A63" s="263"/>
      <c r="B63" s="263"/>
      <c r="C63" s="256"/>
      <c r="D63" s="259"/>
      <c r="E63" s="263"/>
      <c r="F63" s="263"/>
      <c r="G63" s="263"/>
      <c r="I63" s="280"/>
      <c r="J63" s="280"/>
      <c r="K63" s="280"/>
      <c r="L63" s="280"/>
      <c r="M63" s="280"/>
      <c r="N63" s="280"/>
      <c r="O63" s="280"/>
      <c r="P63" s="258"/>
    </row>
    <row r="64" spans="1:16" s="28" customFormat="1" ht="15.75" customHeight="1" x14ac:dyDescent="0.2">
      <c r="A64" s="263"/>
      <c r="B64" s="263"/>
      <c r="C64" s="256"/>
      <c r="D64" s="259"/>
      <c r="E64" s="263"/>
      <c r="F64" s="263"/>
      <c r="G64" s="263"/>
      <c r="I64" s="280"/>
      <c r="J64" s="280"/>
      <c r="K64" s="280"/>
      <c r="L64" s="280"/>
      <c r="M64" s="280"/>
      <c r="N64" s="280"/>
      <c r="O64" s="280"/>
      <c r="P64" s="258"/>
    </row>
    <row r="65" spans="1:16" s="28" customFormat="1" ht="15.75" customHeight="1" x14ac:dyDescent="0.2">
      <c r="A65" s="263"/>
      <c r="B65" s="263"/>
      <c r="C65" s="256"/>
      <c r="D65" s="259"/>
      <c r="E65" s="263"/>
      <c r="F65" s="263"/>
      <c r="G65" s="263"/>
      <c r="I65" s="280"/>
      <c r="J65" s="280"/>
      <c r="K65" s="280"/>
      <c r="L65" s="280"/>
      <c r="M65" s="280"/>
      <c r="N65" s="280"/>
      <c r="O65" s="280"/>
      <c r="P65" s="258"/>
    </row>
    <row r="66" spans="1:16" s="28" customFormat="1" ht="15.75" customHeight="1" x14ac:dyDescent="0.2">
      <c r="A66" s="263"/>
      <c r="B66" s="263"/>
      <c r="C66" s="256"/>
      <c r="D66" s="259"/>
      <c r="E66" s="263"/>
      <c r="F66" s="263"/>
      <c r="G66" s="263"/>
      <c r="I66" s="280"/>
      <c r="J66" s="280"/>
      <c r="K66" s="280"/>
      <c r="L66" s="280"/>
      <c r="M66" s="280"/>
      <c r="N66" s="280"/>
      <c r="O66" s="280"/>
      <c r="P66" s="258"/>
    </row>
    <row r="67" spans="1:16" s="28" customFormat="1" ht="15.75" customHeight="1" x14ac:dyDescent="0.2">
      <c r="A67" s="263"/>
      <c r="B67" s="263"/>
      <c r="C67" s="256"/>
      <c r="D67" s="259"/>
      <c r="E67" s="263"/>
      <c r="F67" s="263"/>
      <c r="G67" s="263"/>
      <c r="I67" s="280"/>
      <c r="J67" s="280"/>
      <c r="K67" s="280"/>
      <c r="L67" s="280"/>
      <c r="M67" s="280"/>
      <c r="N67" s="280"/>
      <c r="O67" s="280"/>
      <c r="P67" s="258"/>
    </row>
    <row r="68" spans="1:16" s="28" customFormat="1" ht="15.75" customHeight="1" x14ac:dyDescent="0.2">
      <c r="A68" s="263"/>
      <c r="B68" s="263"/>
      <c r="C68" s="256"/>
      <c r="D68" s="259"/>
      <c r="E68" s="263"/>
      <c r="F68" s="263"/>
      <c r="G68" s="263"/>
      <c r="I68" s="280"/>
      <c r="J68" s="280"/>
      <c r="K68" s="280"/>
      <c r="L68" s="280"/>
      <c r="M68" s="280"/>
      <c r="N68" s="280"/>
      <c r="O68" s="280"/>
      <c r="P68" s="258"/>
    </row>
    <row r="69" spans="1:16" s="28" customFormat="1" ht="12.75" x14ac:dyDescent="0.2">
      <c r="A69" s="255"/>
      <c r="B69" s="255"/>
      <c r="C69" s="255"/>
      <c r="D69" s="255"/>
      <c r="E69" s="255"/>
      <c r="F69" s="255"/>
      <c r="G69" s="255"/>
      <c r="I69" s="280"/>
      <c r="J69" s="280"/>
      <c r="K69" s="280"/>
      <c r="L69" s="280"/>
      <c r="M69" s="280"/>
      <c r="N69" s="280"/>
      <c r="O69" s="280"/>
      <c r="P69" s="254"/>
    </row>
    <row r="70" spans="1:16" s="28" customFormat="1" ht="12.75" x14ac:dyDescent="0.2">
      <c r="A70" s="255"/>
      <c r="B70" s="255"/>
      <c r="C70" s="255"/>
      <c r="D70" s="255"/>
      <c r="E70" s="255"/>
      <c r="F70" s="255"/>
      <c r="G70" s="255"/>
      <c r="I70" s="280"/>
      <c r="J70" s="280"/>
      <c r="K70" s="280"/>
      <c r="L70" s="280"/>
      <c r="M70" s="280"/>
      <c r="N70" s="280"/>
      <c r="O70" s="280"/>
      <c r="P70" s="254"/>
    </row>
    <row r="71" spans="1:16" s="28" customFormat="1" ht="12.75" x14ac:dyDescent="0.2">
      <c r="A71" s="255"/>
      <c r="B71" s="255"/>
      <c r="C71" s="255"/>
      <c r="D71" s="255"/>
      <c r="E71" s="255"/>
      <c r="F71" s="255"/>
      <c r="G71" s="255"/>
      <c r="I71" s="280"/>
      <c r="J71" s="280"/>
      <c r="K71" s="280"/>
      <c r="L71" s="280"/>
      <c r="M71" s="280"/>
      <c r="N71" s="280"/>
      <c r="O71" s="280"/>
      <c r="P71" s="254"/>
    </row>
    <row r="72" spans="1:16" s="28" customFormat="1" ht="12.75" x14ac:dyDescent="0.2">
      <c r="A72" s="255"/>
      <c r="B72" s="255"/>
      <c r="C72" s="255"/>
      <c r="D72" s="255"/>
      <c r="E72" s="255"/>
      <c r="F72" s="255"/>
      <c r="G72" s="255"/>
      <c r="I72" s="280"/>
      <c r="J72" s="280"/>
      <c r="K72" s="280"/>
      <c r="L72" s="280"/>
      <c r="M72" s="280"/>
      <c r="N72" s="280"/>
      <c r="O72" s="280"/>
      <c r="P72" s="254"/>
    </row>
    <row r="73" spans="1:16" s="28" customFormat="1" ht="12.75" x14ac:dyDescent="0.2">
      <c r="A73" s="255"/>
      <c r="B73" s="255"/>
      <c r="C73" s="255"/>
      <c r="D73" s="255"/>
      <c r="E73" s="255"/>
      <c r="F73" s="255"/>
      <c r="G73" s="255"/>
      <c r="I73" s="280"/>
      <c r="J73" s="280"/>
      <c r="K73" s="280"/>
      <c r="L73" s="280"/>
      <c r="M73" s="280"/>
      <c r="N73" s="280"/>
      <c r="O73" s="280"/>
      <c r="P73" s="254"/>
    </row>
    <row r="74" spans="1:16" s="28" customFormat="1" ht="12.75" x14ac:dyDescent="0.2">
      <c r="A74" s="255"/>
      <c r="B74" s="255"/>
      <c r="C74" s="255"/>
      <c r="D74" s="255"/>
      <c r="E74" s="255"/>
      <c r="F74" s="255"/>
      <c r="G74" s="255"/>
      <c r="I74" s="280"/>
      <c r="J74" s="280"/>
      <c r="K74" s="280"/>
      <c r="L74" s="280"/>
      <c r="M74" s="280"/>
      <c r="N74" s="280"/>
      <c r="O74" s="280"/>
      <c r="P74" s="254"/>
    </row>
    <row r="75" spans="1:16" s="28" customFormat="1" ht="12.75" x14ac:dyDescent="0.2">
      <c r="A75" s="255"/>
      <c r="B75" s="255"/>
      <c r="C75" s="255"/>
      <c r="D75" s="255"/>
      <c r="E75" s="255"/>
      <c r="F75" s="255"/>
      <c r="G75" s="255"/>
      <c r="I75" s="280"/>
      <c r="J75" s="280"/>
      <c r="K75" s="280"/>
      <c r="L75" s="280"/>
      <c r="M75" s="280"/>
      <c r="N75" s="280"/>
      <c r="O75" s="280"/>
      <c r="P75" s="254"/>
    </row>
    <row r="76" spans="1:16" s="28" customFormat="1" ht="12.75" x14ac:dyDescent="0.2">
      <c r="A76" s="255"/>
      <c r="B76" s="255"/>
      <c r="C76" s="255"/>
      <c r="D76" s="255"/>
      <c r="E76" s="255"/>
      <c r="F76" s="255"/>
      <c r="G76" s="255"/>
      <c r="I76" s="280"/>
      <c r="J76" s="280"/>
      <c r="K76" s="280"/>
      <c r="L76" s="280"/>
      <c r="M76" s="280"/>
      <c r="N76" s="280"/>
      <c r="O76" s="280"/>
      <c r="P76" s="254"/>
    </row>
    <row r="77" spans="1:16" s="28" customFormat="1" ht="12.75" x14ac:dyDescent="0.2">
      <c r="A77" s="255"/>
      <c r="B77" s="255"/>
      <c r="C77" s="255"/>
      <c r="D77" s="255"/>
      <c r="E77" s="255"/>
      <c r="F77" s="255"/>
      <c r="G77" s="255"/>
      <c r="I77" s="280"/>
      <c r="J77" s="280"/>
      <c r="K77" s="280"/>
      <c r="L77" s="280"/>
      <c r="M77" s="280"/>
      <c r="N77" s="280"/>
      <c r="O77" s="280"/>
      <c r="P77" s="254"/>
    </row>
    <row r="78" spans="1:16" s="28" customFormat="1" ht="12.75" x14ac:dyDescent="0.2">
      <c r="A78" s="255"/>
      <c r="B78" s="255"/>
      <c r="C78" s="255"/>
      <c r="D78" s="255"/>
      <c r="E78" s="255"/>
      <c r="F78" s="255"/>
      <c r="G78" s="255"/>
      <c r="I78" s="280"/>
      <c r="J78" s="280"/>
      <c r="K78" s="280"/>
      <c r="L78" s="280"/>
      <c r="M78" s="280"/>
      <c r="N78" s="280"/>
      <c r="O78" s="280"/>
      <c r="P78" s="254"/>
    </row>
    <row r="79" spans="1:16" s="28" customFormat="1" ht="12.75" x14ac:dyDescent="0.2">
      <c r="A79" s="255"/>
      <c r="B79" s="255"/>
      <c r="C79" s="255"/>
      <c r="D79" s="255"/>
      <c r="E79" s="255"/>
      <c r="F79" s="255"/>
      <c r="G79" s="255"/>
      <c r="I79" s="280"/>
      <c r="J79" s="280"/>
      <c r="K79" s="280"/>
      <c r="L79" s="280"/>
      <c r="M79" s="280"/>
      <c r="N79" s="280"/>
      <c r="O79" s="280"/>
      <c r="P79" s="254"/>
    </row>
    <row r="80" spans="1:16" s="28" customFormat="1" ht="15.75" x14ac:dyDescent="0.25">
      <c r="A80" s="255"/>
      <c r="B80" s="315"/>
      <c r="C80" s="316" t="e">
        <f>B1</f>
        <v>#REF!</v>
      </c>
      <c r="D80" s="315"/>
      <c r="E80" s="315"/>
      <c r="F80" s="315"/>
      <c r="G80" s="315"/>
      <c r="H80" s="317"/>
      <c r="I80" s="318"/>
      <c r="J80" s="318"/>
      <c r="K80" s="318"/>
      <c r="L80" s="318"/>
      <c r="M80" s="318"/>
      <c r="N80" s="318"/>
      <c r="O80" s="318"/>
      <c r="P80" s="254"/>
    </row>
    <row r="81" spans="1:16" s="3" customFormat="1" ht="15.75" x14ac:dyDescent="0.25">
      <c r="A81" s="246"/>
      <c r="B81" s="303" t="s">
        <v>346</v>
      </c>
      <c r="C81" s="304" t="s">
        <v>369</v>
      </c>
      <c r="D81" s="305" t="s">
        <v>370</v>
      </c>
      <c r="E81" s="306"/>
      <c r="F81" s="306" t="s">
        <v>392</v>
      </c>
      <c r="G81" s="306"/>
      <c r="H81" s="306"/>
      <c r="I81" s="307"/>
      <c r="J81" s="307" t="s">
        <v>391</v>
      </c>
      <c r="K81" s="307"/>
      <c r="L81" s="279"/>
      <c r="M81" s="307"/>
      <c r="N81" s="307" t="s">
        <v>369</v>
      </c>
      <c r="O81" s="307"/>
    </row>
    <row r="82" spans="1:16" s="3" customFormat="1" ht="15.75" x14ac:dyDescent="0.25">
      <c r="A82" s="246"/>
      <c r="B82" s="266"/>
      <c r="C82" s="264"/>
      <c r="D82" s="266"/>
      <c r="E82" s="267" t="s">
        <v>371</v>
      </c>
      <c r="F82" s="267" t="s">
        <v>372</v>
      </c>
      <c r="G82" s="267" t="s">
        <v>373</v>
      </c>
      <c r="I82" s="281" t="s">
        <v>371</v>
      </c>
      <c r="J82" s="281" t="s">
        <v>372</v>
      </c>
      <c r="K82" s="281" t="s">
        <v>373</v>
      </c>
      <c r="L82" s="278"/>
      <c r="M82" s="293" t="s">
        <v>371</v>
      </c>
      <c r="N82" s="293" t="s">
        <v>372</v>
      </c>
      <c r="O82" s="293" t="s">
        <v>373</v>
      </c>
      <c r="P82" s="254"/>
    </row>
    <row r="83" spans="1:16" s="3" customFormat="1" ht="14.25" x14ac:dyDescent="0.2">
      <c r="A83" s="246"/>
      <c r="B83" s="275"/>
      <c r="C83" s="276" t="s">
        <v>374</v>
      </c>
      <c r="D83" s="277"/>
      <c r="E83" s="57"/>
      <c r="F83" s="57"/>
      <c r="G83" s="57"/>
      <c r="H83" s="57"/>
      <c r="I83" s="282"/>
      <c r="J83" s="282"/>
      <c r="K83" s="282"/>
      <c r="L83" s="282"/>
      <c r="M83" s="294">
        <f>SUM(M84:M84)</f>
        <v>0</v>
      </c>
      <c r="N83" s="294">
        <f>SUM(N84:N84)</f>
        <v>0</v>
      </c>
      <c r="O83" s="294">
        <f>SUM(O84:O84)</f>
        <v>0</v>
      </c>
    </row>
    <row r="84" spans="1:16" s="3" customFormat="1" ht="14.25" x14ac:dyDescent="0.2">
      <c r="A84" s="246"/>
      <c r="B84" s="253"/>
      <c r="C84" s="30" t="s">
        <v>394</v>
      </c>
      <c r="D84" s="41"/>
      <c r="E84" s="270"/>
      <c r="F84" s="270"/>
      <c r="G84" s="270"/>
      <c r="H84" s="28"/>
      <c r="I84" s="283"/>
      <c r="J84" s="283"/>
      <c r="K84" s="283"/>
      <c r="L84" s="280"/>
      <c r="M84" s="295">
        <f>E84*I84</f>
        <v>0</v>
      </c>
      <c r="N84" s="295">
        <f t="shared" ref="N84:O84" si="4">F84*J84</f>
        <v>0</v>
      </c>
      <c r="O84" s="295">
        <f t="shared" si="4"/>
        <v>0</v>
      </c>
    </row>
    <row r="85" spans="1:16" s="3" customFormat="1" ht="14.25" x14ac:dyDescent="0.2">
      <c r="A85" s="246"/>
      <c r="B85" s="275"/>
      <c r="C85" s="276" t="s">
        <v>378</v>
      </c>
      <c r="D85" s="277"/>
      <c r="E85" s="57"/>
      <c r="F85" s="57"/>
      <c r="G85" s="57"/>
      <c r="H85" s="57"/>
      <c r="I85" s="282"/>
      <c r="J85" s="282"/>
      <c r="K85" s="282"/>
      <c r="L85" s="282"/>
      <c r="M85" s="296"/>
      <c r="N85" s="296"/>
      <c r="O85" s="296"/>
    </row>
    <row r="86" spans="1:16" s="3" customFormat="1" ht="14.25" x14ac:dyDescent="0.2">
      <c r="A86" s="246"/>
      <c r="B86" s="268"/>
      <c r="C86" s="274" t="s">
        <v>375</v>
      </c>
      <c r="D86" s="269"/>
      <c r="E86" s="61"/>
      <c r="F86" s="61"/>
      <c r="G86" s="61"/>
      <c r="H86" s="61"/>
      <c r="I86" s="284"/>
      <c r="J86" s="284"/>
      <c r="K86" s="284"/>
      <c r="L86" s="284"/>
      <c r="M86" s="298">
        <f>SUM(M87:M87)</f>
        <v>0</v>
      </c>
      <c r="N86" s="298">
        <f>SUM(N87:N87)</f>
        <v>0</v>
      </c>
      <c r="O86" s="298">
        <f>SUM(O87:O87)</f>
        <v>0</v>
      </c>
    </row>
    <row r="87" spans="1:16" s="3" customFormat="1" ht="14.25" x14ac:dyDescent="0.2">
      <c r="B87" s="253"/>
      <c r="C87" s="30" t="s">
        <v>394</v>
      </c>
      <c r="D87" s="41"/>
      <c r="E87" s="270"/>
      <c r="F87" s="270"/>
      <c r="G87" s="270"/>
      <c r="H87" s="28"/>
      <c r="I87" s="283"/>
      <c r="J87" s="283"/>
      <c r="K87" s="283"/>
      <c r="L87" s="280"/>
      <c r="M87" s="285">
        <f>E87*I87</f>
        <v>0</v>
      </c>
      <c r="N87" s="285">
        <f t="shared" ref="N87:O87" si="5">F87*J87</f>
        <v>0</v>
      </c>
      <c r="O87" s="285">
        <f t="shared" si="5"/>
        <v>0</v>
      </c>
    </row>
    <row r="88" spans="1:16" s="3" customFormat="1" ht="14.25" x14ac:dyDescent="0.2">
      <c r="B88" s="268"/>
      <c r="C88" s="274" t="s">
        <v>376</v>
      </c>
      <c r="D88" s="269"/>
      <c r="E88" s="61"/>
      <c r="F88" s="61"/>
      <c r="G88" s="61"/>
      <c r="H88" s="61"/>
      <c r="I88" s="284"/>
      <c r="J88" s="284"/>
      <c r="K88" s="284"/>
      <c r="L88" s="284"/>
      <c r="M88" s="298">
        <f>SUM(M89:M89)</f>
        <v>0</v>
      </c>
      <c r="N88" s="298">
        <f>SUM(N89:N89)</f>
        <v>0</v>
      </c>
      <c r="O88" s="298">
        <f>SUM(O89:O89)</f>
        <v>0</v>
      </c>
    </row>
    <row r="89" spans="1:16" s="3" customFormat="1" ht="14.25" x14ac:dyDescent="0.2">
      <c r="B89" s="253"/>
      <c r="C89" s="30" t="s">
        <v>394</v>
      </c>
      <c r="D89" s="41"/>
      <c r="E89" s="270"/>
      <c r="F89" s="270"/>
      <c r="G89" s="270"/>
      <c r="H89" s="28"/>
      <c r="I89" s="283"/>
      <c r="J89" s="283"/>
      <c r="K89" s="283"/>
      <c r="L89" s="280"/>
      <c r="M89" s="285">
        <f>E89*I89</f>
        <v>0</v>
      </c>
      <c r="N89" s="285">
        <f t="shared" ref="N89" si="6">F89*J89</f>
        <v>0</v>
      </c>
      <c r="O89" s="285">
        <f>G89*K89</f>
        <v>0</v>
      </c>
    </row>
    <row r="90" spans="1:16" s="3" customFormat="1" ht="14.25" x14ac:dyDescent="0.2">
      <c r="B90" s="268"/>
      <c r="C90" s="274" t="s">
        <v>379</v>
      </c>
      <c r="D90" s="269"/>
      <c r="E90" s="61"/>
      <c r="F90" s="61"/>
      <c r="G90" s="61"/>
      <c r="H90" s="61"/>
      <c r="I90" s="284"/>
      <c r="J90" s="284"/>
      <c r="K90" s="284"/>
      <c r="L90" s="284"/>
      <c r="M90" s="298">
        <f>SUM(M91:M91)</f>
        <v>0</v>
      </c>
      <c r="N90" s="298">
        <f>SUM(N91:N91)</f>
        <v>0</v>
      </c>
      <c r="O90" s="298">
        <f>SUM(O91:O91)</f>
        <v>0</v>
      </c>
    </row>
    <row r="91" spans="1:16" s="3" customFormat="1" ht="14.25" x14ac:dyDescent="0.2">
      <c r="B91" s="253"/>
      <c r="C91" s="30" t="s">
        <v>394</v>
      </c>
      <c r="D91" s="41"/>
      <c r="E91" s="270"/>
      <c r="F91" s="270"/>
      <c r="G91" s="270"/>
      <c r="H91" s="28"/>
      <c r="I91" s="283"/>
      <c r="J91" s="283"/>
      <c r="K91" s="283"/>
      <c r="L91" s="280"/>
      <c r="M91" s="285">
        <f>E91*I91</f>
        <v>0</v>
      </c>
      <c r="N91" s="285">
        <f t="shared" ref="N91" si="7">F91*J91</f>
        <v>0</v>
      </c>
      <c r="O91" s="285">
        <f>G91*K91</f>
        <v>0</v>
      </c>
    </row>
    <row r="92" spans="1:16" s="3" customFormat="1" ht="14.25" x14ac:dyDescent="0.2">
      <c r="B92" s="271"/>
      <c r="C92" s="274" t="s">
        <v>380</v>
      </c>
      <c r="D92" s="272"/>
      <c r="E92" s="61"/>
      <c r="F92" s="61"/>
      <c r="G92" s="61"/>
      <c r="H92" s="61"/>
      <c r="I92" s="284"/>
      <c r="J92" s="284"/>
      <c r="K92" s="284"/>
      <c r="L92" s="284"/>
      <c r="M92" s="298">
        <f>SUM(M93:M93)</f>
        <v>0</v>
      </c>
      <c r="N92" s="298">
        <f>SUM(N93:N93)</f>
        <v>0</v>
      </c>
      <c r="O92" s="298">
        <f>SUM(O93:O93)</f>
        <v>0</v>
      </c>
    </row>
    <row r="93" spans="1:16" s="3" customFormat="1" ht="14.25" x14ac:dyDescent="0.2">
      <c r="B93" s="253"/>
      <c r="C93" s="30" t="s">
        <v>394</v>
      </c>
      <c r="D93" s="41"/>
      <c r="E93" s="270"/>
      <c r="F93" s="270"/>
      <c r="G93" s="270"/>
      <c r="H93" s="28"/>
      <c r="I93" s="283"/>
      <c r="J93" s="283"/>
      <c r="K93" s="283"/>
      <c r="L93" s="280"/>
      <c r="M93" s="285">
        <f>E93*I93</f>
        <v>0</v>
      </c>
      <c r="N93" s="285">
        <f t="shared" ref="N93" si="8">F93*J93</f>
        <v>0</v>
      </c>
      <c r="O93" s="285">
        <f>G93*K93</f>
        <v>0</v>
      </c>
    </row>
    <row r="94" spans="1:16" s="3" customFormat="1" ht="14.25" x14ac:dyDescent="0.2">
      <c r="B94" s="271"/>
      <c r="C94" s="274" t="s">
        <v>381</v>
      </c>
      <c r="D94" s="272"/>
      <c r="E94" s="61"/>
      <c r="F94" s="61"/>
      <c r="G94" s="61"/>
      <c r="H94" s="61"/>
      <c r="I94" s="284"/>
      <c r="J94" s="284"/>
      <c r="K94" s="284"/>
      <c r="L94" s="284"/>
      <c r="M94" s="298">
        <f>SUM(M95:M95)</f>
        <v>0</v>
      </c>
      <c r="N94" s="298">
        <f>SUM(N95:N95)</f>
        <v>0</v>
      </c>
      <c r="O94" s="298">
        <f>SUM(O95:O95)</f>
        <v>0</v>
      </c>
    </row>
    <row r="95" spans="1:16" s="3" customFormat="1" ht="14.25" x14ac:dyDescent="0.2">
      <c r="B95" s="253"/>
      <c r="C95" s="30" t="s">
        <v>394</v>
      </c>
      <c r="D95" s="41"/>
      <c r="E95" s="270"/>
      <c r="F95" s="270"/>
      <c r="G95" s="270"/>
      <c r="H95" s="28"/>
      <c r="I95" s="283"/>
      <c r="J95" s="283"/>
      <c r="K95" s="283"/>
      <c r="L95" s="280"/>
      <c r="M95" s="285">
        <f>E95*I95</f>
        <v>0</v>
      </c>
      <c r="N95" s="285">
        <f>F95*J95</f>
        <v>0</v>
      </c>
      <c r="O95" s="285">
        <f>G95*K95</f>
        <v>0</v>
      </c>
    </row>
    <row r="96" spans="1:16" s="3" customFormat="1" ht="14.25" x14ac:dyDescent="0.2">
      <c r="B96" s="268"/>
      <c r="C96" s="274" t="s">
        <v>377</v>
      </c>
      <c r="D96" s="269"/>
      <c r="E96" s="61"/>
      <c r="F96" s="61"/>
      <c r="G96" s="61"/>
      <c r="H96" s="61"/>
      <c r="I96" s="284"/>
      <c r="J96" s="284"/>
      <c r="K96" s="284"/>
      <c r="L96" s="284"/>
      <c r="M96" s="298">
        <f>SUM(M97:M97)</f>
        <v>0</v>
      </c>
      <c r="N96" s="298">
        <f>SUM(N97:N97)</f>
        <v>0</v>
      </c>
      <c r="O96" s="298">
        <f>SUM(O97:O97)</f>
        <v>0</v>
      </c>
    </row>
    <row r="97" spans="1:15" s="3" customFormat="1" ht="14.25" x14ac:dyDescent="0.2">
      <c r="B97" s="253"/>
      <c r="C97" s="30" t="s">
        <v>394</v>
      </c>
      <c r="D97" s="41"/>
      <c r="E97" s="270"/>
      <c r="F97" s="270"/>
      <c r="G97" s="270"/>
      <c r="H97" s="28"/>
      <c r="I97" s="283"/>
      <c r="J97" s="283"/>
      <c r="K97" s="283"/>
      <c r="L97" s="280"/>
      <c r="M97" s="285">
        <f>E97*I97</f>
        <v>0</v>
      </c>
      <c r="N97" s="285">
        <f t="shared" ref="N97" si="9">F97*J97</f>
        <v>0</v>
      </c>
      <c r="O97" s="285">
        <f>G97*K97</f>
        <v>0</v>
      </c>
    </row>
    <row r="98" spans="1:15" s="3" customFormat="1" ht="14.25" x14ac:dyDescent="0.2">
      <c r="B98" s="268"/>
      <c r="C98" s="274" t="s">
        <v>382</v>
      </c>
      <c r="D98" s="269"/>
      <c r="E98" s="61"/>
      <c r="F98" s="61"/>
      <c r="G98" s="61"/>
      <c r="H98" s="61"/>
      <c r="I98" s="284"/>
      <c r="J98" s="284"/>
      <c r="K98" s="284"/>
      <c r="L98" s="284"/>
      <c r="M98" s="298">
        <f>SUM(M99:M99)</f>
        <v>0</v>
      </c>
      <c r="N98" s="298">
        <f>SUM(N99:N99)</f>
        <v>0</v>
      </c>
      <c r="O98" s="298">
        <f>SUM(O99:O99)</f>
        <v>0</v>
      </c>
    </row>
    <row r="99" spans="1:15" s="3" customFormat="1" ht="14.25" x14ac:dyDescent="0.2">
      <c r="B99" s="253"/>
      <c r="C99" s="30" t="s">
        <v>394</v>
      </c>
      <c r="D99" s="41"/>
      <c r="E99" s="270"/>
      <c r="F99" s="270"/>
      <c r="G99" s="270"/>
      <c r="H99" s="28"/>
      <c r="I99" s="283"/>
      <c r="J99" s="283"/>
      <c r="K99" s="283"/>
      <c r="L99" s="280"/>
      <c r="M99" s="285">
        <f>E99*I99</f>
        <v>0</v>
      </c>
      <c r="N99" s="285">
        <f t="shared" ref="N99" si="10">F99*J99</f>
        <v>0</v>
      </c>
      <c r="O99" s="285">
        <f>G99*K99</f>
        <v>0</v>
      </c>
    </row>
    <row r="100" spans="1:15" s="3" customFormat="1" ht="14.25" x14ac:dyDescent="0.2">
      <c r="A100" s="246"/>
      <c r="B100" s="275"/>
      <c r="C100" s="276" t="s">
        <v>383</v>
      </c>
      <c r="D100" s="277"/>
      <c r="E100" s="57"/>
      <c r="F100" s="57"/>
      <c r="G100" s="57"/>
      <c r="H100" s="57"/>
      <c r="I100" s="282"/>
      <c r="J100" s="282"/>
      <c r="K100" s="282"/>
      <c r="L100" s="282"/>
      <c r="M100" s="296"/>
      <c r="N100" s="296"/>
      <c r="O100" s="296"/>
    </row>
    <row r="101" spans="1:15" s="3" customFormat="1" ht="14.25" x14ac:dyDescent="0.2">
      <c r="B101" s="271"/>
      <c r="C101" s="274" t="s">
        <v>384</v>
      </c>
      <c r="D101" s="272"/>
      <c r="E101" s="61"/>
      <c r="F101" s="61"/>
      <c r="G101" s="61"/>
      <c r="H101" s="61"/>
      <c r="I101" s="284"/>
      <c r="J101" s="284"/>
      <c r="K101" s="284"/>
      <c r="L101" s="284"/>
      <c r="M101" s="298">
        <f>SUM(M102:M102)</f>
        <v>0</v>
      </c>
      <c r="N101" s="298">
        <f>SUM(N102:N102)</f>
        <v>0</v>
      </c>
      <c r="O101" s="298">
        <f>SUM(O102:O102)</f>
        <v>0</v>
      </c>
    </row>
    <row r="102" spans="1:15" s="3" customFormat="1" ht="14.25" x14ac:dyDescent="0.2">
      <c r="B102" s="253"/>
      <c r="C102" s="30" t="s">
        <v>394</v>
      </c>
      <c r="D102" s="41"/>
      <c r="E102" s="270"/>
      <c r="F102" s="270"/>
      <c r="G102" s="270"/>
      <c r="H102" s="28"/>
      <c r="I102" s="283"/>
      <c r="J102" s="283"/>
      <c r="K102" s="283"/>
      <c r="L102" s="280"/>
      <c r="M102" s="285">
        <f>E102*I102</f>
        <v>0</v>
      </c>
      <c r="N102" s="285">
        <f t="shared" ref="N102" si="11">F102*J102</f>
        <v>0</v>
      </c>
      <c r="O102" s="285">
        <f>G102*K102</f>
        <v>0</v>
      </c>
    </row>
    <row r="103" spans="1:15" s="3" customFormat="1" ht="14.25" x14ac:dyDescent="0.2">
      <c r="B103" s="271"/>
      <c r="C103" s="274" t="s">
        <v>385</v>
      </c>
      <c r="D103" s="272"/>
      <c r="E103" s="61"/>
      <c r="F103" s="61"/>
      <c r="G103" s="61"/>
      <c r="H103" s="61"/>
      <c r="I103" s="284"/>
      <c r="J103" s="284"/>
      <c r="K103" s="284"/>
      <c r="L103" s="284"/>
      <c r="M103" s="298">
        <f>SUM(M104:M104)</f>
        <v>0</v>
      </c>
      <c r="N103" s="298">
        <f>SUM(N104:N104)</f>
        <v>0</v>
      </c>
      <c r="O103" s="298">
        <f>SUM(O104:O104)</f>
        <v>0</v>
      </c>
    </row>
    <row r="104" spans="1:15" s="3" customFormat="1" ht="14.25" x14ac:dyDescent="0.2">
      <c r="B104" s="253"/>
      <c r="C104" s="30" t="s">
        <v>394</v>
      </c>
      <c r="D104" s="41"/>
      <c r="E104" s="270"/>
      <c r="F104" s="270"/>
      <c r="G104" s="270"/>
      <c r="H104" s="28"/>
      <c r="I104" s="283"/>
      <c r="J104" s="283"/>
      <c r="K104" s="283"/>
      <c r="L104" s="280"/>
      <c r="M104" s="285">
        <f>E104*I104</f>
        <v>0</v>
      </c>
      <c r="N104" s="285">
        <f t="shared" ref="N104" si="12">F104*J104</f>
        <v>0</v>
      </c>
      <c r="O104" s="285">
        <f>G104*K104</f>
        <v>0</v>
      </c>
    </row>
    <row r="105" spans="1:15" s="3" customFormat="1" ht="14.25" x14ac:dyDescent="0.2">
      <c r="A105" s="246"/>
      <c r="B105" s="288"/>
      <c r="C105" s="289" t="s">
        <v>386</v>
      </c>
      <c r="D105" s="290"/>
      <c r="E105" s="291"/>
      <c r="F105" s="291"/>
      <c r="G105" s="291"/>
      <c r="H105" s="291"/>
      <c r="I105" s="292"/>
      <c r="J105" s="292"/>
      <c r="K105" s="292"/>
      <c r="L105" s="292"/>
      <c r="M105" s="297"/>
      <c r="N105" s="297"/>
      <c r="O105" s="297"/>
    </row>
    <row r="106" spans="1:15" s="3" customFormat="1" ht="14.25" x14ac:dyDescent="0.2">
      <c r="B106" s="271"/>
      <c r="C106" s="274" t="s">
        <v>387</v>
      </c>
      <c r="D106" s="272"/>
      <c r="E106" s="61"/>
      <c r="F106" s="61"/>
      <c r="G106" s="61"/>
      <c r="H106" s="61"/>
      <c r="I106" s="284"/>
      <c r="J106" s="284"/>
      <c r="K106" s="284"/>
      <c r="L106" s="284"/>
      <c r="M106" s="298">
        <f>SUM(M107:M107)</f>
        <v>0</v>
      </c>
      <c r="N106" s="298">
        <f>SUM(N107:N107)</f>
        <v>0</v>
      </c>
      <c r="O106" s="298">
        <f>SUM(O107:O107)</f>
        <v>0</v>
      </c>
    </row>
    <row r="107" spans="1:15" s="3" customFormat="1" ht="14.25" x14ac:dyDescent="0.2">
      <c r="B107" s="253"/>
      <c r="C107" s="30" t="s">
        <v>394</v>
      </c>
      <c r="D107" s="41"/>
      <c r="E107" s="270"/>
      <c r="F107" s="270"/>
      <c r="G107" s="270"/>
      <c r="H107" s="28"/>
      <c r="I107" s="283"/>
      <c r="J107" s="283"/>
      <c r="K107" s="283"/>
      <c r="L107" s="280"/>
      <c r="M107" s="285">
        <f>E107*I107</f>
        <v>0</v>
      </c>
      <c r="N107" s="285">
        <f t="shared" ref="N107" si="13">F107*J107</f>
        <v>0</v>
      </c>
      <c r="O107" s="285">
        <f>G107*K107</f>
        <v>0</v>
      </c>
    </row>
    <row r="108" spans="1:15" s="3" customFormat="1" ht="14.25" x14ac:dyDescent="0.2">
      <c r="B108" s="271"/>
      <c r="C108" s="274" t="s">
        <v>388</v>
      </c>
      <c r="D108" s="272"/>
      <c r="E108" s="61"/>
      <c r="F108" s="61"/>
      <c r="G108" s="61"/>
      <c r="H108" s="61"/>
      <c r="I108" s="284"/>
      <c r="J108" s="284"/>
      <c r="K108" s="284"/>
      <c r="L108" s="284"/>
      <c r="M108" s="298">
        <f>SUM(M109:M109)</f>
        <v>0</v>
      </c>
      <c r="N108" s="298">
        <f>SUM(N109:N109)</f>
        <v>0</v>
      </c>
      <c r="O108" s="298">
        <f>SUM(O109:O109)</f>
        <v>0</v>
      </c>
    </row>
    <row r="109" spans="1:15" s="3" customFormat="1" ht="14.25" x14ac:dyDescent="0.2">
      <c r="B109" s="253"/>
      <c r="C109" s="30" t="s">
        <v>394</v>
      </c>
      <c r="D109" s="41"/>
      <c r="E109" s="270"/>
      <c r="F109" s="270"/>
      <c r="G109" s="270"/>
      <c r="H109" s="28"/>
      <c r="I109" s="283"/>
      <c r="J109" s="283"/>
      <c r="K109" s="283"/>
      <c r="L109" s="280"/>
      <c r="M109" s="285">
        <f>E109*I109</f>
        <v>0</v>
      </c>
      <c r="N109" s="285">
        <f t="shared" ref="N109" si="14">F109*J109</f>
        <v>0</v>
      </c>
      <c r="O109" s="285">
        <f>G109*K109</f>
        <v>0</v>
      </c>
    </row>
    <row r="110" spans="1:15" s="3" customFormat="1" ht="14.25" x14ac:dyDescent="0.2">
      <c r="B110" s="273"/>
      <c r="I110" s="278"/>
      <c r="J110" s="278"/>
      <c r="K110" s="278"/>
      <c r="L110" s="278"/>
      <c r="M110" s="278"/>
      <c r="N110" s="278"/>
      <c r="O110" s="278"/>
    </row>
    <row r="111" spans="1:15" s="3" customFormat="1" ht="15.75" thickBot="1" x14ac:dyDescent="0.3">
      <c r="A111" s="246"/>
      <c r="B111" s="273"/>
      <c r="I111" s="278"/>
      <c r="J111" s="278"/>
      <c r="K111" s="278"/>
      <c r="L111" s="286" t="s">
        <v>390</v>
      </c>
      <c r="M111" s="287">
        <f>SUM(M84:M104)/2</f>
        <v>0</v>
      </c>
      <c r="N111" s="287">
        <f>SUM(N84:N104)/2</f>
        <v>0</v>
      </c>
      <c r="O111" s="287">
        <f>SUM(O84:O104)/2</f>
        <v>0</v>
      </c>
    </row>
    <row r="112" spans="1:15" s="3" customFormat="1" ht="16.5" thickTop="1" thickBot="1" x14ac:dyDescent="0.3">
      <c r="B112" s="273"/>
      <c r="I112" s="278"/>
      <c r="J112" s="278"/>
      <c r="K112" s="278"/>
      <c r="L112" s="286" t="s">
        <v>389</v>
      </c>
      <c r="M112" s="287">
        <f>SUM(M106:M109)/2</f>
        <v>0</v>
      </c>
      <c r="N112" s="287">
        <f>SUM(N106:N109)/2</f>
        <v>0</v>
      </c>
      <c r="O112" s="287">
        <f>SUM(O106:O109)/2</f>
        <v>0</v>
      </c>
    </row>
    <row r="113" spans="1:16" ht="15.75" thickTop="1" x14ac:dyDescent="0.25"/>
    <row r="114" spans="1:16" s="28" customFormat="1" ht="15.75" x14ac:dyDescent="0.25">
      <c r="A114" s="263"/>
      <c r="B114" s="315"/>
      <c r="C114" s="316">
        <f>B35</f>
        <v>0</v>
      </c>
      <c r="D114" s="315"/>
      <c r="E114" s="315"/>
      <c r="F114" s="315"/>
      <c r="G114" s="315"/>
      <c r="H114" s="317"/>
      <c r="I114" s="318"/>
      <c r="J114" s="318"/>
      <c r="K114" s="318"/>
      <c r="L114" s="318"/>
      <c r="M114" s="318"/>
      <c r="N114" s="318"/>
      <c r="O114" s="318"/>
      <c r="P114" s="254"/>
    </row>
    <row r="115" spans="1:16" s="3" customFormat="1" ht="15.75" x14ac:dyDescent="0.25">
      <c r="A115" s="246"/>
      <c r="B115" s="303" t="s">
        <v>346</v>
      </c>
      <c r="C115" s="304" t="s">
        <v>369</v>
      </c>
      <c r="D115" s="305" t="s">
        <v>370</v>
      </c>
      <c r="E115" s="306"/>
      <c r="F115" s="306" t="s">
        <v>392</v>
      </c>
      <c r="G115" s="306"/>
      <c r="H115" s="306"/>
      <c r="I115" s="307"/>
      <c r="J115" s="307" t="s">
        <v>391</v>
      </c>
      <c r="K115" s="307"/>
      <c r="L115" s="279"/>
      <c r="M115" s="307"/>
      <c r="N115" s="307" t="s">
        <v>369</v>
      </c>
      <c r="O115" s="307"/>
    </row>
    <row r="116" spans="1:16" s="3" customFormat="1" ht="15.75" x14ac:dyDescent="0.25">
      <c r="A116" s="246"/>
      <c r="B116" s="266"/>
      <c r="C116" s="264"/>
      <c r="D116" s="266"/>
      <c r="E116" s="267" t="s">
        <v>371</v>
      </c>
      <c r="F116" s="267" t="s">
        <v>372</v>
      </c>
      <c r="G116" s="267" t="s">
        <v>373</v>
      </c>
      <c r="I116" s="281" t="s">
        <v>371</v>
      </c>
      <c r="J116" s="281" t="s">
        <v>372</v>
      </c>
      <c r="K116" s="281" t="s">
        <v>373</v>
      </c>
      <c r="L116" s="278"/>
      <c r="M116" s="293" t="s">
        <v>371</v>
      </c>
      <c r="N116" s="293" t="s">
        <v>372</v>
      </c>
      <c r="O116" s="293" t="s">
        <v>373</v>
      </c>
      <c r="P116" s="254"/>
    </row>
    <row r="117" spans="1:16" s="3" customFormat="1" ht="14.25" x14ac:dyDescent="0.2">
      <c r="A117" s="246"/>
      <c r="B117" s="275"/>
      <c r="C117" s="276" t="s">
        <v>374</v>
      </c>
      <c r="D117" s="277"/>
      <c r="E117" s="57"/>
      <c r="F117" s="57"/>
      <c r="G117" s="57"/>
      <c r="H117" s="57"/>
      <c r="I117" s="282"/>
      <c r="J117" s="282"/>
      <c r="K117" s="282"/>
      <c r="L117" s="282"/>
      <c r="M117" s="294">
        <f>SUM(M118:M118)</f>
        <v>0</v>
      </c>
      <c r="N117" s="294">
        <f>SUM(N118:N118)</f>
        <v>0</v>
      </c>
      <c r="O117" s="294">
        <f>SUM(O118:O118)</f>
        <v>0</v>
      </c>
    </row>
    <row r="118" spans="1:16" s="3" customFormat="1" ht="14.25" x14ac:dyDescent="0.2">
      <c r="A118" s="246"/>
      <c r="B118" s="253"/>
      <c r="C118" s="30" t="s">
        <v>394</v>
      </c>
      <c r="D118" s="41"/>
      <c r="E118" s="270"/>
      <c r="F118" s="270"/>
      <c r="G118" s="270"/>
      <c r="H118" s="28"/>
      <c r="I118" s="283"/>
      <c r="J118" s="283"/>
      <c r="K118" s="283"/>
      <c r="L118" s="280"/>
      <c r="M118" s="295">
        <f>E118*I118</f>
        <v>0</v>
      </c>
      <c r="N118" s="295">
        <f t="shared" ref="N118" si="15">F118*J118</f>
        <v>0</v>
      </c>
      <c r="O118" s="295">
        <f t="shared" ref="O118" si="16">G118*K118</f>
        <v>0</v>
      </c>
    </row>
    <row r="119" spans="1:16" s="3" customFormat="1" ht="14.25" x14ac:dyDescent="0.2">
      <c r="A119" s="246"/>
      <c r="B119" s="275"/>
      <c r="C119" s="276" t="s">
        <v>378</v>
      </c>
      <c r="D119" s="277"/>
      <c r="E119" s="57"/>
      <c r="F119" s="57"/>
      <c r="G119" s="57"/>
      <c r="H119" s="57"/>
      <c r="I119" s="282"/>
      <c r="J119" s="282"/>
      <c r="K119" s="282"/>
      <c r="L119" s="282"/>
      <c r="M119" s="296"/>
      <c r="N119" s="296"/>
      <c r="O119" s="296"/>
    </row>
    <row r="120" spans="1:16" s="3" customFormat="1" ht="14.25" x14ac:dyDescent="0.2">
      <c r="A120" s="246"/>
      <c r="B120" s="268"/>
      <c r="C120" s="274" t="s">
        <v>375</v>
      </c>
      <c r="D120" s="269"/>
      <c r="E120" s="61"/>
      <c r="F120" s="61"/>
      <c r="G120" s="61"/>
      <c r="H120" s="61"/>
      <c r="I120" s="284"/>
      <c r="J120" s="284"/>
      <c r="K120" s="284"/>
      <c r="L120" s="284"/>
      <c r="M120" s="298">
        <f>SUM(M121:M121)</f>
        <v>0</v>
      </c>
      <c r="N120" s="298">
        <f>SUM(N121:N121)</f>
        <v>0</v>
      </c>
      <c r="O120" s="298">
        <f>SUM(O121:O121)</f>
        <v>0</v>
      </c>
    </row>
    <row r="121" spans="1:16" s="3" customFormat="1" ht="14.25" x14ac:dyDescent="0.2">
      <c r="B121" s="253"/>
      <c r="C121" s="30" t="s">
        <v>394</v>
      </c>
      <c r="D121" s="41"/>
      <c r="E121" s="270"/>
      <c r="F121" s="270"/>
      <c r="G121" s="270"/>
      <c r="H121" s="28"/>
      <c r="I121" s="283"/>
      <c r="J121" s="283"/>
      <c r="K121" s="283"/>
      <c r="L121" s="280"/>
      <c r="M121" s="285">
        <f>E121*I121</f>
        <v>0</v>
      </c>
      <c r="N121" s="285">
        <f t="shared" ref="N121" si="17">F121*J121</f>
        <v>0</v>
      </c>
      <c r="O121" s="285">
        <f t="shared" ref="O121" si="18">G121*K121</f>
        <v>0</v>
      </c>
    </row>
    <row r="122" spans="1:16" s="3" customFormat="1" ht="14.25" x14ac:dyDescent="0.2">
      <c r="B122" s="268"/>
      <c r="C122" s="274" t="s">
        <v>376</v>
      </c>
      <c r="D122" s="269"/>
      <c r="E122" s="61"/>
      <c r="F122" s="61"/>
      <c r="G122" s="61"/>
      <c r="H122" s="61"/>
      <c r="I122" s="284"/>
      <c r="J122" s="284"/>
      <c r="K122" s="284"/>
      <c r="L122" s="284"/>
      <c r="M122" s="298">
        <f>SUM(M123:M123)</f>
        <v>0</v>
      </c>
      <c r="N122" s="298">
        <f>SUM(N123:N123)</f>
        <v>0</v>
      </c>
      <c r="O122" s="298">
        <f>SUM(O123:O123)</f>
        <v>0</v>
      </c>
    </row>
    <row r="123" spans="1:16" s="3" customFormat="1" ht="14.25" x14ac:dyDescent="0.2">
      <c r="B123" s="253"/>
      <c r="C123" s="30" t="s">
        <v>394</v>
      </c>
      <c r="D123" s="41"/>
      <c r="E123" s="270"/>
      <c r="F123" s="270"/>
      <c r="G123" s="270"/>
      <c r="H123" s="28"/>
      <c r="I123" s="283"/>
      <c r="J123" s="283"/>
      <c r="K123" s="283"/>
      <c r="L123" s="280"/>
      <c r="M123" s="285">
        <f>E123*I123</f>
        <v>0</v>
      </c>
      <c r="N123" s="285">
        <f t="shared" ref="N123" si="19">F123*J123</f>
        <v>0</v>
      </c>
      <c r="O123" s="285">
        <f>G123*K123</f>
        <v>0</v>
      </c>
    </row>
    <row r="124" spans="1:16" s="3" customFormat="1" ht="14.25" x14ac:dyDescent="0.2">
      <c r="B124" s="268"/>
      <c r="C124" s="274" t="s">
        <v>379</v>
      </c>
      <c r="D124" s="269"/>
      <c r="E124" s="61"/>
      <c r="F124" s="61"/>
      <c r="G124" s="61"/>
      <c r="H124" s="61"/>
      <c r="I124" s="284"/>
      <c r="J124" s="284"/>
      <c r="K124" s="284"/>
      <c r="L124" s="284"/>
      <c r="M124" s="298">
        <f>SUM(M125:M125)</f>
        <v>0</v>
      </c>
      <c r="N124" s="298">
        <f>SUM(N125:N125)</f>
        <v>0</v>
      </c>
      <c r="O124" s="298">
        <f>SUM(O125:O125)</f>
        <v>0</v>
      </c>
    </row>
    <row r="125" spans="1:16" s="3" customFormat="1" ht="14.25" x14ac:dyDescent="0.2">
      <c r="B125" s="253"/>
      <c r="C125" s="30" t="s">
        <v>394</v>
      </c>
      <c r="D125" s="41"/>
      <c r="E125" s="270"/>
      <c r="F125" s="270"/>
      <c r="G125" s="270"/>
      <c r="H125" s="28"/>
      <c r="I125" s="283"/>
      <c r="J125" s="283"/>
      <c r="K125" s="283"/>
      <c r="L125" s="280"/>
      <c r="M125" s="285">
        <f>E125*I125</f>
        <v>0</v>
      </c>
      <c r="N125" s="285">
        <f t="shared" ref="N125" si="20">F125*J125</f>
        <v>0</v>
      </c>
      <c r="O125" s="285">
        <f>G125*K125</f>
        <v>0</v>
      </c>
    </row>
    <row r="126" spans="1:16" s="3" customFormat="1" ht="14.25" x14ac:dyDescent="0.2">
      <c r="B126" s="271"/>
      <c r="C126" s="274" t="s">
        <v>380</v>
      </c>
      <c r="D126" s="272"/>
      <c r="E126" s="61"/>
      <c r="F126" s="61"/>
      <c r="G126" s="61"/>
      <c r="H126" s="61"/>
      <c r="I126" s="284"/>
      <c r="J126" s="284"/>
      <c r="K126" s="284"/>
      <c r="L126" s="284"/>
      <c r="M126" s="298">
        <f>SUM(M127:M127)</f>
        <v>0</v>
      </c>
      <c r="N126" s="298">
        <f>SUM(N127:N127)</f>
        <v>0</v>
      </c>
      <c r="O126" s="298">
        <f>SUM(O127:O127)</f>
        <v>0</v>
      </c>
    </row>
    <row r="127" spans="1:16" s="3" customFormat="1" ht="14.25" x14ac:dyDescent="0.2">
      <c r="B127" s="253"/>
      <c r="C127" s="30" t="s">
        <v>394</v>
      </c>
      <c r="D127" s="41"/>
      <c r="E127" s="270"/>
      <c r="F127" s="270"/>
      <c r="G127" s="270"/>
      <c r="H127" s="28"/>
      <c r="I127" s="283"/>
      <c r="J127" s="283"/>
      <c r="K127" s="283"/>
      <c r="L127" s="280"/>
      <c r="M127" s="285">
        <f>E127*I127</f>
        <v>0</v>
      </c>
      <c r="N127" s="285">
        <f t="shared" ref="N127" si="21">F127*J127</f>
        <v>0</v>
      </c>
      <c r="O127" s="285">
        <f>G127*K127</f>
        <v>0</v>
      </c>
    </row>
    <row r="128" spans="1:16" s="3" customFormat="1" ht="14.25" x14ac:dyDescent="0.2">
      <c r="B128" s="271"/>
      <c r="C128" s="274" t="s">
        <v>381</v>
      </c>
      <c r="D128" s="272"/>
      <c r="E128" s="61"/>
      <c r="F128" s="61"/>
      <c r="G128" s="61"/>
      <c r="H128" s="61"/>
      <c r="I128" s="284"/>
      <c r="J128" s="284"/>
      <c r="K128" s="284"/>
      <c r="L128" s="284"/>
      <c r="M128" s="298">
        <f>SUM(M129:M129)</f>
        <v>0</v>
      </c>
      <c r="N128" s="298">
        <f>SUM(N129:N129)</f>
        <v>0</v>
      </c>
      <c r="O128" s="298">
        <f>SUM(O129:O129)</f>
        <v>0</v>
      </c>
    </row>
    <row r="129" spans="1:15" s="3" customFormat="1" ht="14.25" x14ac:dyDescent="0.2">
      <c r="B129" s="253"/>
      <c r="C129" s="30" t="s">
        <v>394</v>
      </c>
      <c r="D129" s="41"/>
      <c r="E129" s="270"/>
      <c r="F129" s="270"/>
      <c r="G129" s="270"/>
      <c r="H129" s="28"/>
      <c r="I129" s="283"/>
      <c r="J129" s="283"/>
      <c r="K129" s="283"/>
      <c r="L129" s="280"/>
      <c r="M129" s="285">
        <f>E129*I129</f>
        <v>0</v>
      </c>
      <c r="N129" s="285">
        <f>F129*J129</f>
        <v>0</v>
      </c>
      <c r="O129" s="285">
        <f>G129*K129</f>
        <v>0</v>
      </c>
    </row>
    <row r="130" spans="1:15" s="3" customFormat="1" ht="14.25" x14ac:dyDescent="0.2">
      <c r="B130" s="268"/>
      <c r="C130" s="274" t="s">
        <v>377</v>
      </c>
      <c r="D130" s="269"/>
      <c r="E130" s="61"/>
      <c r="F130" s="61"/>
      <c r="G130" s="61"/>
      <c r="H130" s="61"/>
      <c r="I130" s="284"/>
      <c r="J130" s="284"/>
      <c r="K130" s="284"/>
      <c r="L130" s="284"/>
      <c r="M130" s="298">
        <f>SUM(M131:M131)</f>
        <v>0</v>
      </c>
      <c r="N130" s="298">
        <f>SUM(N131:N131)</f>
        <v>0</v>
      </c>
      <c r="O130" s="298">
        <f>SUM(O131:O131)</f>
        <v>0</v>
      </c>
    </row>
    <row r="131" spans="1:15" s="3" customFormat="1" ht="14.25" x14ac:dyDescent="0.2">
      <c r="B131" s="253"/>
      <c r="C131" s="30" t="s">
        <v>394</v>
      </c>
      <c r="D131" s="41"/>
      <c r="E131" s="270"/>
      <c r="F131" s="270"/>
      <c r="G131" s="270"/>
      <c r="H131" s="28"/>
      <c r="I131" s="283"/>
      <c r="J131" s="283"/>
      <c r="K131" s="283"/>
      <c r="L131" s="280"/>
      <c r="M131" s="285">
        <f>E131*I131</f>
        <v>0</v>
      </c>
      <c r="N131" s="285">
        <f t="shared" ref="N131" si="22">F131*J131</f>
        <v>0</v>
      </c>
      <c r="O131" s="285">
        <f>G131*K131</f>
        <v>0</v>
      </c>
    </row>
    <row r="132" spans="1:15" s="3" customFormat="1" ht="14.25" x14ac:dyDescent="0.2">
      <c r="B132" s="268"/>
      <c r="C132" s="274" t="s">
        <v>382</v>
      </c>
      <c r="D132" s="269"/>
      <c r="E132" s="61"/>
      <c r="F132" s="61"/>
      <c r="G132" s="61"/>
      <c r="H132" s="61"/>
      <c r="I132" s="284"/>
      <c r="J132" s="284"/>
      <c r="K132" s="284"/>
      <c r="L132" s="284"/>
      <c r="M132" s="298">
        <f>SUM(M133:M133)</f>
        <v>0</v>
      </c>
      <c r="N132" s="298">
        <f>SUM(N133:N133)</f>
        <v>0</v>
      </c>
      <c r="O132" s="298">
        <f>SUM(O133:O133)</f>
        <v>0</v>
      </c>
    </row>
    <row r="133" spans="1:15" s="3" customFormat="1" ht="14.25" x14ac:dyDescent="0.2">
      <c r="B133" s="253"/>
      <c r="C133" s="30" t="s">
        <v>394</v>
      </c>
      <c r="D133" s="41"/>
      <c r="E133" s="270"/>
      <c r="F133" s="270"/>
      <c r="G133" s="270"/>
      <c r="H133" s="28"/>
      <c r="I133" s="283"/>
      <c r="J133" s="283"/>
      <c r="K133" s="283"/>
      <c r="L133" s="280"/>
      <c r="M133" s="285">
        <f>E133*I133</f>
        <v>0</v>
      </c>
      <c r="N133" s="285">
        <f t="shared" ref="N133" si="23">F133*J133</f>
        <v>0</v>
      </c>
      <c r="O133" s="285">
        <f>G133*K133</f>
        <v>0</v>
      </c>
    </row>
    <row r="134" spans="1:15" s="3" customFormat="1" ht="14.25" x14ac:dyDescent="0.2">
      <c r="A134" s="246"/>
      <c r="B134" s="275"/>
      <c r="C134" s="276" t="s">
        <v>383</v>
      </c>
      <c r="D134" s="277"/>
      <c r="E134" s="57"/>
      <c r="F134" s="57"/>
      <c r="G134" s="57"/>
      <c r="H134" s="57"/>
      <c r="I134" s="282"/>
      <c r="J134" s="282"/>
      <c r="K134" s="282"/>
      <c r="L134" s="282"/>
      <c r="M134" s="296"/>
      <c r="N134" s="296"/>
      <c r="O134" s="296"/>
    </row>
    <row r="135" spans="1:15" s="3" customFormat="1" ht="14.25" x14ac:dyDescent="0.2">
      <c r="B135" s="271"/>
      <c r="C135" s="274" t="s">
        <v>384</v>
      </c>
      <c r="D135" s="272"/>
      <c r="E135" s="61"/>
      <c r="F135" s="61"/>
      <c r="G135" s="61"/>
      <c r="H135" s="61"/>
      <c r="I135" s="284"/>
      <c r="J135" s="284"/>
      <c r="K135" s="284"/>
      <c r="L135" s="284"/>
      <c r="M135" s="298">
        <f>SUM(M136:M136)</f>
        <v>0</v>
      </c>
      <c r="N135" s="298">
        <f>SUM(N136:N136)</f>
        <v>0</v>
      </c>
      <c r="O135" s="298">
        <f>SUM(O136:O136)</f>
        <v>0</v>
      </c>
    </row>
    <row r="136" spans="1:15" s="3" customFormat="1" ht="14.25" x14ac:dyDescent="0.2">
      <c r="B136" s="253"/>
      <c r="C136" s="30" t="s">
        <v>394</v>
      </c>
      <c r="D136" s="41"/>
      <c r="E136" s="270"/>
      <c r="F136" s="270"/>
      <c r="G136" s="270"/>
      <c r="H136" s="28"/>
      <c r="I136" s="283"/>
      <c r="J136" s="283"/>
      <c r="K136" s="283"/>
      <c r="L136" s="280"/>
      <c r="M136" s="285">
        <f>E136*I136</f>
        <v>0</v>
      </c>
      <c r="N136" s="285">
        <f t="shared" ref="N136" si="24">F136*J136</f>
        <v>0</v>
      </c>
      <c r="O136" s="285">
        <f>G136*K136</f>
        <v>0</v>
      </c>
    </row>
    <row r="137" spans="1:15" s="3" customFormat="1" ht="14.25" x14ac:dyDescent="0.2">
      <c r="B137" s="271"/>
      <c r="C137" s="274" t="s">
        <v>385</v>
      </c>
      <c r="D137" s="272"/>
      <c r="E137" s="61"/>
      <c r="F137" s="61"/>
      <c r="G137" s="61"/>
      <c r="H137" s="61"/>
      <c r="I137" s="284"/>
      <c r="J137" s="284"/>
      <c r="K137" s="284"/>
      <c r="L137" s="284"/>
      <c r="M137" s="298">
        <f>SUM(M138:M138)</f>
        <v>0</v>
      </c>
      <c r="N137" s="298">
        <f>SUM(N138:N138)</f>
        <v>0</v>
      </c>
      <c r="O137" s="298">
        <f>SUM(O138:O138)</f>
        <v>0</v>
      </c>
    </row>
    <row r="138" spans="1:15" s="3" customFormat="1" ht="14.25" x14ac:dyDescent="0.2">
      <c r="B138" s="253"/>
      <c r="C138" s="30" t="s">
        <v>394</v>
      </c>
      <c r="D138" s="41"/>
      <c r="E138" s="270"/>
      <c r="F138" s="270"/>
      <c r="G138" s="270"/>
      <c r="H138" s="28"/>
      <c r="I138" s="283"/>
      <c r="J138" s="283"/>
      <c r="K138" s="283"/>
      <c r="L138" s="280"/>
      <c r="M138" s="285">
        <f>E138*I138</f>
        <v>0</v>
      </c>
      <c r="N138" s="285">
        <f t="shared" ref="N138" si="25">F138*J138</f>
        <v>0</v>
      </c>
      <c r="O138" s="285">
        <f>G138*K138</f>
        <v>0</v>
      </c>
    </row>
    <row r="139" spans="1:15" s="3" customFormat="1" ht="14.25" x14ac:dyDescent="0.2">
      <c r="A139" s="246"/>
      <c r="B139" s="288"/>
      <c r="C139" s="289" t="s">
        <v>386</v>
      </c>
      <c r="D139" s="290"/>
      <c r="E139" s="291"/>
      <c r="F139" s="291"/>
      <c r="G139" s="291"/>
      <c r="H139" s="291"/>
      <c r="I139" s="292"/>
      <c r="J139" s="292"/>
      <c r="K139" s="292"/>
      <c r="L139" s="292"/>
      <c r="M139" s="297"/>
      <c r="N139" s="297"/>
      <c r="O139" s="297"/>
    </row>
    <row r="140" spans="1:15" s="3" customFormat="1" ht="14.25" x14ac:dyDescent="0.2">
      <c r="B140" s="271"/>
      <c r="C140" s="274" t="s">
        <v>387</v>
      </c>
      <c r="D140" s="272"/>
      <c r="E140" s="61"/>
      <c r="F140" s="61"/>
      <c r="G140" s="61"/>
      <c r="H140" s="61"/>
      <c r="I140" s="284"/>
      <c r="J140" s="284"/>
      <c r="K140" s="284"/>
      <c r="L140" s="284"/>
      <c r="M140" s="298">
        <f>SUM(M141:M141)</f>
        <v>0</v>
      </c>
      <c r="N140" s="298">
        <f>SUM(N141:N141)</f>
        <v>0</v>
      </c>
      <c r="O140" s="298">
        <f>SUM(O141:O141)</f>
        <v>0</v>
      </c>
    </row>
    <row r="141" spans="1:15" s="3" customFormat="1" ht="14.25" x14ac:dyDescent="0.2">
      <c r="B141" s="253"/>
      <c r="C141" s="30" t="s">
        <v>394</v>
      </c>
      <c r="D141" s="41"/>
      <c r="E141" s="270"/>
      <c r="F141" s="270"/>
      <c r="G141" s="270"/>
      <c r="H141" s="28"/>
      <c r="I141" s="283"/>
      <c r="J141" s="283"/>
      <c r="K141" s="283"/>
      <c r="L141" s="280"/>
      <c r="M141" s="285">
        <f>E141*I141</f>
        <v>0</v>
      </c>
      <c r="N141" s="285">
        <f t="shared" ref="N141" si="26">F141*J141</f>
        <v>0</v>
      </c>
      <c r="O141" s="285">
        <f>G141*K141</f>
        <v>0</v>
      </c>
    </row>
    <row r="142" spans="1:15" s="3" customFormat="1" ht="14.25" x14ac:dyDescent="0.2">
      <c r="B142" s="271"/>
      <c r="C142" s="274" t="s">
        <v>388</v>
      </c>
      <c r="D142" s="272"/>
      <c r="E142" s="61"/>
      <c r="F142" s="61"/>
      <c r="G142" s="61"/>
      <c r="H142" s="61"/>
      <c r="I142" s="284"/>
      <c r="J142" s="284"/>
      <c r="K142" s="284"/>
      <c r="L142" s="284"/>
      <c r="M142" s="298">
        <f>SUM(M143:M143)</f>
        <v>0</v>
      </c>
      <c r="N142" s="298">
        <f>SUM(N143:N143)</f>
        <v>0</v>
      </c>
      <c r="O142" s="298">
        <f>SUM(O143:O143)</f>
        <v>0</v>
      </c>
    </row>
    <row r="143" spans="1:15" s="3" customFormat="1" ht="14.25" x14ac:dyDescent="0.2">
      <c r="B143" s="253"/>
      <c r="C143" s="30" t="s">
        <v>394</v>
      </c>
      <c r="D143" s="41"/>
      <c r="E143" s="270"/>
      <c r="F143" s="270"/>
      <c r="G143" s="270"/>
      <c r="H143" s="28"/>
      <c r="I143" s="283"/>
      <c r="J143" s="283"/>
      <c r="K143" s="283"/>
      <c r="L143" s="280"/>
      <c r="M143" s="285">
        <f>E143*I143</f>
        <v>0</v>
      </c>
      <c r="N143" s="285">
        <f t="shared" ref="N143" si="27">F143*J143</f>
        <v>0</v>
      </c>
      <c r="O143" s="285">
        <f>G143*K143</f>
        <v>0</v>
      </c>
    </row>
    <row r="144" spans="1:15" s="3" customFormat="1" ht="14.25" x14ac:dyDescent="0.2">
      <c r="B144" s="273"/>
      <c r="I144" s="278"/>
      <c r="J144" s="278"/>
      <c r="K144" s="278"/>
      <c r="L144" s="278"/>
      <c r="M144" s="278"/>
      <c r="N144" s="278"/>
      <c r="O144" s="278"/>
    </row>
    <row r="145" spans="1:16" s="3" customFormat="1" ht="15.75" thickBot="1" x14ac:dyDescent="0.3">
      <c r="A145" s="246"/>
      <c r="B145" s="273"/>
      <c r="I145" s="278"/>
      <c r="J145" s="278"/>
      <c r="K145" s="278"/>
      <c r="L145" s="286" t="s">
        <v>390</v>
      </c>
      <c r="M145" s="287">
        <f>SUM(M118:M138)/2</f>
        <v>0</v>
      </c>
      <c r="N145" s="287">
        <f>SUM(N118:N138)/2</f>
        <v>0</v>
      </c>
      <c r="O145" s="287">
        <f>SUM(O118:O138)/2</f>
        <v>0</v>
      </c>
    </row>
    <row r="146" spans="1:16" s="3" customFormat="1" ht="16.5" thickTop="1" thickBot="1" x14ac:dyDescent="0.3">
      <c r="B146" s="273"/>
      <c r="I146" s="278"/>
      <c r="J146" s="278"/>
      <c r="K146" s="278"/>
      <c r="L146" s="286" t="s">
        <v>389</v>
      </c>
      <c r="M146" s="287">
        <f>SUM(M140:M143)/2</f>
        <v>0</v>
      </c>
      <c r="N146" s="287">
        <f>SUM(N140:N143)/2</f>
        <v>0</v>
      </c>
      <c r="O146" s="287">
        <f>SUM(O140:O143)/2</f>
        <v>0</v>
      </c>
    </row>
    <row r="147" spans="1:16" ht="15.75" thickTop="1" x14ac:dyDescent="0.25"/>
    <row r="148" spans="1:16" s="28" customFormat="1" ht="15.75" x14ac:dyDescent="0.25">
      <c r="A148" s="263"/>
      <c r="B148" s="315"/>
      <c r="C148" s="316">
        <f>B69</f>
        <v>0</v>
      </c>
      <c r="D148" s="315"/>
      <c r="E148" s="315"/>
      <c r="F148" s="315"/>
      <c r="G148" s="315"/>
      <c r="H148" s="317"/>
      <c r="I148" s="318"/>
      <c r="J148" s="318"/>
      <c r="K148" s="318"/>
      <c r="L148" s="318"/>
      <c r="M148" s="318"/>
      <c r="N148" s="318"/>
      <c r="O148" s="318"/>
      <c r="P148" s="254"/>
    </row>
    <row r="149" spans="1:16" s="3" customFormat="1" ht="15.75" x14ac:dyDescent="0.25">
      <c r="A149" s="246"/>
      <c r="B149" s="303" t="s">
        <v>346</v>
      </c>
      <c r="C149" s="304" t="s">
        <v>369</v>
      </c>
      <c r="D149" s="305" t="s">
        <v>370</v>
      </c>
      <c r="E149" s="306"/>
      <c r="F149" s="306" t="s">
        <v>392</v>
      </c>
      <c r="G149" s="306"/>
      <c r="H149" s="306"/>
      <c r="I149" s="307"/>
      <c r="J149" s="307" t="s">
        <v>391</v>
      </c>
      <c r="K149" s="307"/>
      <c r="L149" s="279"/>
      <c r="M149" s="307"/>
      <c r="N149" s="307" t="s">
        <v>369</v>
      </c>
      <c r="O149" s="307"/>
    </row>
    <row r="150" spans="1:16" s="3" customFormat="1" ht="15.75" x14ac:dyDescent="0.25">
      <c r="A150" s="246"/>
      <c r="B150" s="266"/>
      <c r="C150" s="264"/>
      <c r="D150" s="266"/>
      <c r="E150" s="267" t="s">
        <v>371</v>
      </c>
      <c r="F150" s="267" t="s">
        <v>372</v>
      </c>
      <c r="G150" s="267" t="s">
        <v>373</v>
      </c>
      <c r="I150" s="281" t="s">
        <v>371</v>
      </c>
      <c r="J150" s="281" t="s">
        <v>372</v>
      </c>
      <c r="K150" s="281" t="s">
        <v>373</v>
      </c>
      <c r="L150" s="278"/>
      <c r="M150" s="293" t="s">
        <v>371</v>
      </c>
      <c r="N150" s="293" t="s">
        <v>372</v>
      </c>
      <c r="O150" s="293" t="s">
        <v>373</v>
      </c>
      <c r="P150" s="254"/>
    </row>
    <row r="151" spans="1:16" s="3" customFormat="1" ht="14.25" x14ac:dyDescent="0.2">
      <c r="A151" s="246"/>
      <c r="B151" s="275"/>
      <c r="C151" s="276" t="s">
        <v>374</v>
      </c>
      <c r="D151" s="277"/>
      <c r="E151" s="57"/>
      <c r="F151" s="57"/>
      <c r="G151" s="57"/>
      <c r="H151" s="57"/>
      <c r="I151" s="282"/>
      <c r="J151" s="282"/>
      <c r="K151" s="282"/>
      <c r="L151" s="282"/>
      <c r="M151" s="294">
        <f>SUM(M152:M152)</f>
        <v>0</v>
      </c>
      <c r="N151" s="294">
        <f>SUM(N152:N152)</f>
        <v>0</v>
      </c>
      <c r="O151" s="294">
        <f>SUM(O152:O152)</f>
        <v>0</v>
      </c>
    </row>
    <row r="152" spans="1:16" s="3" customFormat="1" ht="14.25" x14ac:dyDescent="0.2">
      <c r="A152" s="246"/>
      <c r="B152" s="253"/>
      <c r="C152" s="30" t="s">
        <v>394</v>
      </c>
      <c r="D152" s="41"/>
      <c r="E152" s="270"/>
      <c r="F152" s="270"/>
      <c r="G152" s="270"/>
      <c r="H152" s="28"/>
      <c r="I152" s="283"/>
      <c r="J152" s="283"/>
      <c r="K152" s="283"/>
      <c r="L152" s="280"/>
      <c r="M152" s="295">
        <f>E152*I152</f>
        <v>0</v>
      </c>
      <c r="N152" s="295">
        <f t="shared" ref="N152" si="28">F152*J152</f>
        <v>0</v>
      </c>
      <c r="O152" s="295">
        <f t="shared" ref="O152" si="29">G152*K152</f>
        <v>0</v>
      </c>
    </row>
    <row r="153" spans="1:16" s="3" customFormat="1" ht="14.25" x14ac:dyDescent="0.2">
      <c r="A153" s="246"/>
      <c r="B153" s="275"/>
      <c r="C153" s="276" t="s">
        <v>378</v>
      </c>
      <c r="D153" s="277"/>
      <c r="E153" s="57"/>
      <c r="F153" s="57"/>
      <c r="G153" s="57"/>
      <c r="H153" s="57"/>
      <c r="I153" s="282"/>
      <c r="J153" s="282"/>
      <c r="K153" s="282"/>
      <c r="L153" s="282"/>
      <c r="M153" s="296"/>
      <c r="N153" s="296"/>
      <c r="O153" s="296"/>
    </row>
    <row r="154" spans="1:16" s="3" customFormat="1" ht="14.25" x14ac:dyDescent="0.2">
      <c r="A154" s="246"/>
      <c r="B154" s="268"/>
      <c r="C154" s="274" t="s">
        <v>375</v>
      </c>
      <c r="D154" s="269"/>
      <c r="E154" s="61"/>
      <c r="F154" s="61"/>
      <c r="G154" s="61"/>
      <c r="H154" s="61"/>
      <c r="I154" s="284"/>
      <c r="J154" s="284"/>
      <c r="K154" s="284"/>
      <c r="L154" s="284"/>
      <c r="M154" s="298">
        <f>SUM(M155:M155)</f>
        <v>0</v>
      </c>
      <c r="N154" s="298">
        <f>SUM(N155:N155)</f>
        <v>0</v>
      </c>
      <c r="O154" s="298">
        <f>SUM(O155:O155)</f>
        <v>0</v>
      </c>
    </row>
    <row r="155" spans="1:16" s="3" customFormat="1" ht="14.25" x14ac:dyDescent="0.2">
      <c r="B155" s="253"/>
      <c r="C155" s="30" t="s">
        <v>394</v>
      </c>
      <c r="D155" s="41"/>
      <c r="E155" s="270"/>
      <c r="F155" s="270"/>
      <c r="G155" s="270"/>
      <c r="H155" s="28"/>
      <c r="I155" s="283"/>
      <c r="J155" s="283"/>
      <c r="K155" s="283"/>
      <c r="L155" s="280"/>
      <c r="M155" s="285">
        <f>E155*I155</f>
        <v>0</v>
      </c>
      <c r="N155" s="285">
        <f t="shared" ref="N155" si="30">F155*J155</f>
        <v>0</v>
      </c>
      <c r="O155" s="285">
        <f t="shared" ref="O155" si="31">G155*K155</f>
        <v>0</v>
      </c>
    </row>
    <row r="156" spans="1:16" s="3" customFormat="1" ht="14.25" x14ac:dyDescent="0.2">
      <c r="B156" s="268"/>
      <c r="C156" s="274" t="s">
        <v>376</v>
      </c>
      <c r="D156" s="269"/>
      <c r="E156" s="61"/>
      <c r="F156" s="61"/>
      <c r="G156" s="61"/>
      <c r="H156" s="61"/>
      <c r="I156" s="284"/>
      <c r="J156" s="284"/>
      <c r="K156" s="284"/>
      <c r="L156" s="284"/>
      <c r="M156" s="298">
        <f>SUM(M157:M157)</f>
        <v>0</v>
      </c>
      <c r="N156" s="298">
        <f>SUM(N157:N157)</f>
        <v>0</v>
      </c>
      <c r="O156" s="298">
        <f>SUM(O157:O157)</f>
        <v>0</v>
      </c>
    </row>
    <row r="157" spans="1:16" s="3" customFormat="1" ht="14.25" x14ac:dyDescent="0.2">
      <c r="B157" s="253"/>
      <c r="C157" s="30" t="s">
        <v>394</v>
      </c>
      <c r="D157" s="41"/>
      <c r="E157" s="270"/>
      <c r="F157" s="270"/>
      <c r="G157" s="270"/>
      <c r="H157" s="28"/>
      <c r="I157" s="283"/>
      <c r="J157" s="283"/>
      <c r="K157" s="283"/>
      <c r="L157" s="280"/>
      <c r="M157" s="285">
        <f>E157*I157</f>
        <v>0</v>
      </c>
      <c r="N157" s="285">
        <f t="shared" ref="N157" si="32">F157*J157</f>
        <v>0</v>
      </c>
      <c r="O157" s="285">
        <f>G157*K157</f>
        <v>0</v>
      </c>
    </row>
    <row r="158" spans="1:16" s="3" customFormat="1" ht="14.25" x14ac:dyDescent="0.2">
      <c r="B158" s="268"/>
      <c r="C158" s="274" t="s">
        <v>379</v>
      </c>
      <c r="D158" s="269"/>
      <c r="E158" s="61"/>
      <c r="F158" s="61"/>
      <c r="G158" s="61"/>
      <c r="H158" s="61"/>
      <c r="I158" s="284"/>
      <c r="J158" s="284"/>
      <c r="K158" s="284"/>
      <c r="L158" s="284"/>
      <c r="M158" s="298">
        <f>SUM(M159:M159)</f>
        <v>0</v>
      </c>
      <c r="N158" s="298">
        <f>SUM(N159:N159)</f>
        <v>0</v>
      </c>
      <c r="O158" s="298">
        <f>SUM(O159:O159)</f>
        <v>0</v>
      </c>
    </row>
    <row r="159" spans="1:16" s="3" customFormat="1" ht="14.25" x14ac:dyDescent="0.2">
      <c r="B159" s="253"/>
      <c r="C159" s="30" t="s">
        <v>394</v>
      </c>
      <c r="D159" s="41"/>
      <c r="E159" s="270"/>
      <c r="F159" s="270"/>
      <c r="G159" s="270"/>
      <c r="H159" s="28"/>
      <c r="I159" s="283"/>
      <c r="J159" s="283"/>
      <c r="K159" s="283"/>
      <c r="L159" s="280"/>
      <c r="M159" s="285">
        <f>E159*I159</f>
        <v>0</v>
      </c>
      <c r="N159" s="285">
        <f t="shared" ref="N159" si="33">F159*J159</f>
        <v>0</v>
      </c>
      <c r="O159" s="285">
        <f>G159*K159</f>
        <v>0</v>
      </c>
    </row>
    <row r="160" spans="1:16" s="3" customFormat="1" ht="14.25" x14ac:dyDescent="0.2">
      <c r="B160" s="271"/>
      <c r="C160" s="274" t="s">
        <v>380</v>
      </c>
      <c r="D160" s="272"/>
      <c r="E160" s="61"/>
      <c r="F160" s="61"/>
      <c r="G160" s="61"/>
      <c r="H160" s="61"/>
      <c r="I160" s="284"/>
      <c r="J160" s="284"/>
      <c r="K160" s="284"/>
      <c r="L160" s="284"/>
      <c r="M160" s="298">
        <f>SUM(M161:M161)</f>
        <v>0</v>
      </c>
      <c r="N160" s="298">
        <f>SUM(N161:N161)</f>
        <v>0</v>
      </c>
      <c r="O160" s="298">
        <f>SUM(O161:O161)</f>
        <v>0</v>
      </c>
    </row>
    <row r="161" spans="1:15" s="3" customFormat="1" ht="14.25" x14ac:dyDescent="0.2">
      <c r="B161" s="253"/>
      <c r="C161" s="30" t="s">
        <v>394</v>
      </c>
      <c r="D161" s="41"/>
      <c r="E161" s="270"/>
      <c r="F161" s="270"/>
      <c r="G161" s="270"/>
      <c r="H161" s="28"/>
      <c r="I161" s="283"/>
      <c r="J161" s="283"/>
      <c r="K161" s="283"/>
      <c r="L161" s="280"/>
      <c r="M161" s="285">
        <f>E161*I161</f>
        <v>0</v>
      </c>
      <c r="N161" s="285">
        <f t="shared" ref="N161" si="34">F161*J161</f>
        <v>0</v>
      </c>
      <c r="O161" s="285">
        <f>G161*K161</f>
        <v>0</v>
      </c>
    </row>
    <row r="162" spans="1:15" s="3" customFormat="1" ht="14.25" x14ac:dyDescent="0.2">
      <c r="B162" s="271"/>
      <c r="C162" s="274" t="s">
        <v>381</v>
      </c>
      <c r="D162" s="272"/>
      <c r="E162" s="61"/>
      <c r="F162" s="61"/>
      <c r="G162" s="61"/>
      <c r="H162" s="61"/>
      <c r="I162" s="284"/>
      <c r="J162" s="284"/>
      <c r="K162" s="284"/>
      <c r="L162" s="284"/>
      <c r="M162" s="298">
        <f>SUM(M163:M163)</f>
        <v>0</v>
      </c>
      <c r="N162" s="298">
        <f>SUM(N163:N163)</f>
        <v>0</v>
      </c>
      <c r="O162" s="298">
        <f>SUM(O163:O163)</f>
        <v>0</v>
      </c>
    </row>
    <row r="163" spans="1:15" s="3" customFormat="1" ht="14.25" x14ac:dyDescent="0.2">
      <c r="B163" s="253"/>
      <c r="C163" s="30" t="s">
        <v>394</v>
      </c>
      <c r="D163" s="41"/>
      <c r="E163" s="270"/>
      <c r="F163" s="270"/>
      <c r="G163" s="270"/>
      <c r="H163" s="28"/>
      <c r="I163" s="283"/>
      <c r="J163" s="283"/>
      <c r="K163" s="283"/>
      <c r="L163" s="280"/>
      <c r="M163" s="285">
        <f>E163*I163</f>
        <v>0</v>
      </c>
      <c r="N163" s="285">
        <f>F163*J163</f>
        <v>0</v>
      </c>
      <c r="O163" s="285">
        <f>G163*K163</f>
        <v>0</v>
      </c>
    </row>
    <row r="164" spans="1:15" s="3" customFormat="1" ht="14.25" x14ac:dyDescent="0.2">
      <c r="B164" s="268"/>
      <c r="C164" s="274" t="s">
        <v>377</v>
      </c>
      <c r="D164" s="269"/>
      <c r="E164" s="61"/>
      <c r="F164" s="61"/>
      <c r="G164" s="61"/>
      <c r="H164" s="61"/>
      <c r="I164" s="284"/>
      <c r="J164" s="284"/>
      <c r="K164" s="284"/>
      <c r="L164" s="284"/>
      <c r="M164" s="298">
        <f>SUM(M165:M165)</f>
        <v>0</v>
      </c>
      <c r="N164" s="298">
        <f>SUM(N165:N165)</f>
        <v>0</v>
      </c>
      <c r="O164" s="298">
        <f>SUM(O165:O165)</f>
        <v>0</v>
      </c>
    </row>
    <row r="165" spans="1:15" s="3" customFormat="1" ht="14.25" x14ac:dyDescent="0.2">
      <c r="B165" s="253"/>
      <c r="C165" s="30" t="s">
        <v>394</v>
      </c>
      <c r="D165" s="41"/>
      <c r="E165" s="270"/>
      <c r="F165" s="270"/>
      <c r="G165" s="270"/>
      <c r="H165" s="28"/>
      <c r="I165" s="283"/>
      <c r="J165" s="283"/>
      <c r="K165" s="283"/>
      <c r="L165" s="280"/>
      <c r="M165" s="285">
        <f>E165*I165</f>
        <v>0</v>
      </c>
      <c r="N165" s="285">
        <f t="shared" ref="N165" si="35">F165*J165</f>
        <v>0</v>
      </c>
      <c r="O165" s="285">
        <f>G165*K165</f>
        <v>0</v>
      </c>
    </row>
    <row r="166" spans="1:15" s="3" customFormat="1" ht="14.25" x14ac:dyDescent="0.2">
      <c r="B166" s="268"/>
      <c r="C166" s="274" t="s">
        <v>382</v>
      </c>
      <c r="D166" s="269"/>
      <c r="E166" s="61"/>
      <c r="F166" s="61"/>
      <c r="G166" s="61"/>
      <c r="H166" s="61"/>
      <c r="I166" s="284"/>
      <c r="J166" s="284"/>
      <c r="K166" s="284"/>
      <c r="L166" s="284"/>
      <c r="M166" s="298">
        <f>SUM(M167:M167)</f>
        <v>0</v>
      </c>
      <c r="N166" s="298">
        <f>SUM(N167:N167)</f>
        <v>0</v>
      </c>
      <c r="O166" s="298">
        <f>SUM(O167:O167)</f>
        <v>0</v>
      </c>
    </row>
    <row r="167" spans="1:15" s="3" customFormat="1" ht="14.25" x14ac:dyDescent="0.2">
      <c r="B167" s="253"/>
      <c r="C167" s="30" t="s">
        <v>394</v>
      </c>
      <c r="D167" s="41"/>
      <c r="E167" s="270"/>
      <c r="F167" s="270"/>
      <c r="G167" s="270"/>
      <c r="H167" s="28"/>
      <c r="I167" s="283"/>
      <c r="J167" s="283"/>
      <c r="K167" s="283"/>
      <c r="L167" s="280"/>
      <c r="M167" s="285">
        <f>E167*I167</f>
        <v>0</v>
      </c>
      <c r="N167" s="285">
        <f t="shared" ref="N167" si="36">F167*J167</f>
        <v>0</v>
      </c>
      <c r="O167" s="285">
        <f>G167*K167</f>
        <v>0</v>
      </c>
    </row>
    <row r="168" spans="1:15" s="3" customFormat="1" ht="14.25" x14ac:dyDescent="0.2">
      <c r="A168" s="246"/>
      <c r="B168" s="275"/>
      <c r="C168" s="276" t="s">
        <v>383</v>
      </c>
      <c r="D168" s="277"/>
      <c r="E168" s="57"/>
      <c r="F168" s="57"/>
      <c r="G168" s="57"/>
      <c r="H168" s="57"/>
      <c r="I168" s="282"/>
      <c r="J168" s="282"/>
      <c r="K168" s="282"/>
      <c r="L168" s="282"/>
      <c r="M168" s="296"/>
      <c r="N168" s="296"/>
      <c r="O168" s="296"/>
    </row>
    <row r="169" spans="1:15" s="3" customFormat="1" ht="14.25" x14ac:dyDescent="0.2">
      <c r="B169" s="271"/>
      <c r="C169" s="274" t="s">
        <v>384</v>
      </c>
      <c r="D169" s="272"/>
      <c r="E169" s="61"/>
      <c r="F169" s="61"/>
      <c r="G169" s="61"/>
      <c r="H169" s="61"/>
      <c r="I169" s="284"/>
      <c r="J169" s="284"/>
      <c r="K169" s="284"/>
      <c r="L169" s="284"/>
      <c r="M169" s="298">
        <f>SUM(M170:M170)</f>
        <v>0</v>
      </c>
      <c r="N169" s="298">
        <f>SUM(N170:N170)</f>
        <v>0</v>
      </c>
      <c r="O169" s="298">
        <f>SUM(O170:O170)</f>
        <v>0</v>
      </c>
    </row>
    <row r="170" spans="1:15" s="3" customFormat="1" ht="14.25" x14ac:dyDescent="0.2">
      <c r="B170" s="253"/>
      <c r="C170" s="30" t="s">
        <v>394</v>
      </c>
      <c r="D170" s="41"/>
      <c r="E170" s="270"/>
      <c r="F170" s="270"/>
      <c r="G170" s="270"/>
      <c r="H170" s="28"/>
      <c r="I170" s="283"/>
      <c r="J170" s="283"/>
      <c r="K170" s="283"/>
      <c r="L170" s="280"/>
      <c r="M170" s="285">
        <f>E170*I170</f>
        <v>0</v>
      </c>
      <c r="N170" s="285">
        <f t="shared" ref="N170" si="37">F170*J170</f>
        <v>0</v>
      </c>
      <c r="O170" s="285">
        <f>G170*K170</f>
        <v>0</v>
      </c>
    </row>
    <row r="171" spans="1:15" s="3" customFormat="1" ht="14.25" x14ac:dyDescent="0.2">
      <c r="B171" s="271"/>
      <c r="C171" s="274" t="s">
        <v>385</v>
      </c>
      <c r="D171" s="272"/>
      <c r="E171" s="61"/>
      <c r="F171" s="61"/>
      <c r="G171" s="61"/>
      <c r="H171" s="61"/>
      <c r="I171" s="284"/>
      <c r="J171" s="284"/>
      <c r="K171" s="284"/>
      <c r="L171" s="284"/>
      <c r="M171" s="298">
        <f>SUM(M172:M172)</f>
        <v>0</v>
      </c>
      <c r="N171" s="298">
        <f>SUM(N172:N172)</f>
        <v>0</v>
      </c>
      <c r="O171" s="298">
        <f>SUM(O172:O172)</f>
        <v>0</v>
      </c>
    </row>
    <row r="172" spans="1:15" s="3" customFormat="1" ht="14.25" x14ac:dyDescent="0.2">
      <c r="B172" s="253"/>
      <c r="C172" s="30" t="s">
        <v>394</v>
      </c>
      <c r="D172" s="41"/>
      <c r="E172" s="270"/>
      <c r="F172" s="270"/>
      <c r="G172" s="270"/>
      <c r="H172" s="28"/>
      <c r="I172" s="283"/>
      <c r="J172" s="283"/>
      <c r="K172" s="283"/>
      <c r="L172" s="280"/>
      <c r="M172" s="285">
        <f>E172*I172</f>
        <v>0</v>
      </c>
      <c r="N172" s="285">
        <f t="shared" ref="N172" si="38">F172*J172</f>
        <v>0</v>
      </c>
      <c r="O172" s="285">
        <f>G172*K172</f>
        <v>0</v>
      </c>
    </row>
    <row r="173" spans="1:15" s="3" customFormat="1" ht="14.25" x14ac:dyDescent="0.2">
      <c r="A173" s="246"/>
      <c r="B173" s="288"/>
      <c r="C173" s="289" t="s">
        <v>386</v>
      </c>
      <c r="D173" s="290"/>
      <c r="E173" s="291"/>
      <c r="F173" s="291"/>
      <c r="G173" s="291"/>
      <c r="H173" s="291"/>
      <c r="I173" s="292"/>
      <c r="J173" s="292"/>
      <c r="K173" s="292"/>
      <c r="L173" s="292"/>
      <c r="M173" s="297"/>
      <c r="N173" s="297"/>
      <c r="O173" s="297"/>
    </row>
    <row r="174" spans="1:15" s="3" customFormat="1" ht="14.25" x14ac:dyDescent="0.2">
      <c r="B174" s="271"/>
      <c r="C174" s="274" t="s">
        <v>387</v>
      </c>
      <c r="D174" s="272"/>
      <c r="E174" s="61"/>
      <c r="F174" s="61"/>
      <c r="G174" s="61"/>
      <c r="H174" s="61"/>
      <c r="I174" s="284"/>
      <c r="J174" s="284"/>
      <c r="K174" s="284"/>
      <c r="L174" s="284"/>
      <c r="M174" s="298">
        <f>SUM(M175:M175)</f>
        <v>0</v>
      </c>
      <c r="N174" s="298">
        <f>SUM(N175:N175)</f>
        <v>0</v>
      </c>
      <c r="O174" s="298">
        <f>SUM(O175:O175)</f>
        <v>0</v>
      </c>
    </row>
    <row r="175" spans="1:15" s="3" customFormat="1" ht="14.25" x14ac:dyDescent="0.2">
      <c r="B175" s="253"/>
      <c r="C175" s="30" t="s">
        <v>394</v>
      </c>
      <c r="D175" s="41"/>
      <c r="E175" s="270"/>
      <c r="F175" s="270"/>
      <c r="G175" s="270"/>
      <c r="H175" s="28"/>
      <c r="I175" s="283"/>
      <c r="J175" s="283"/>
      <c r="K175" s="283"/>
      <c r="L175" s="280"/>
      <c r="M175" s="285">
        <f>E175*I175</f>
        <v>0</v>
      </c>
      <c r="N175" s="285">
        <f t="shared" ref="N175" si="39">F175*J175</f>
        <v>0</v>
      </c>
      <c r="O175" s="285">
        <f>G175*K175</f>
        <v>0</v>
      </c>
    </row>
    <row r="176" spans="1:15" s="3" customFormat="1" ht="14.25" x14ac:dyDescent="0.2">
      <c r="B176" s="271"/>
      <c r="C176" s="274" t="s">
        <v>388</v>
      </c>
      <c r="D176" s="272"/>
      <c r="E176" s="61"/>
      <c r="F176" s="61"/>
      <c r="G176" s="61"/>
      <c r="H176" s="61"/>
      <c r="I176" s="284"/>
      <c r="J176" s="284"/>
      <c r="K176" s="284"/>
      <c r="L176" s="284"/>
      <c r="M176" s="298">
        <f>SUM(M177:M177)</f>
        <v>0</v>
      </c>
      <c r="N176" s="298">
        <f>SUM(N177:N177)</f>
        <v>0</v>
      </c>
      <c r="O176" s="298">
        <f>SUM(O177:O177)</f>
        <v>0</v>
      </c>
    </row>
    <row r="177" spans="1:16" s="3" customFormat="1" ht="14.25" x14ac:dyDescent="0.2">
      <c r="B177" s="253"/>
      <c r="C177" s="30" t="s">
        <v>394</v>
      </c>
      <c r="D177" s="41"/>
      <c r="E177" s="270"/>
      <c r="F177" s="270"/>
      <c r="G177" s="270"/>
      <c r="H177" s="28"/>
      <c r="I177" s="283"/>
      <c r="J177" s="283"/>
      <c r="K177" s="283"/>
      <c r="L177" s="280"/>
      <c r="M177" s="285">
        <f>E177*I177</f>
        <v>0</v>
      </c>
      <c r="N177" s="285">
        <f t="shared" ref="N177" si="40">F177*J177</f>
        <v>0</v>
      </c>
      <c r="O177" s="285">
        <f>G177*K177</f>
        <v>0</v>
      </c>
    </row>
    <row r="178" spans="1:16" s="3" customFormat="1" ht="14.25" x14ac:dyDescent="0.2">
      <c r="B178" s="273"/>
      <c r="I178" s="278"/>
      <c r="J178" s="278"/>
      <c r="K178" s="278"/>
      <c r="L178" s="278"/>
      <c r="M178" s="278"/>
      <c r="N178" s="278"/>
      <c r="O178" s="278"/>
    </row>
    <row r="179" spans="1:16" s="3" customFormat="1" ht="15.75" thickBot="1" x14ac:dyDescent="0.3">
      <c r="A179" s="246"/>
      <c r="B179" s="273"/>
      <c r="I179" s="278"/>
      <c r="J179" s="278"/>
      <c r="K179" s="278"/>
      <c r="L179" s="286" t="s">
        <v>390</v>
      </c>
      <c r="M179" s="287">
        <f>SUM(M152:M172)/2</f>
        <v>0</v>
      </c>
      <c r="N179" s="287">
        <f>SUM(N152:N172)/2</f>
        <v>0</v>
      </c>
      <c r="O179" s="287">
        <f>SUM(O152:O172)/2</f>
        <v>0</v>
      </c>
    </row>
    <row r="180" spans="1:16" s="3" customFormat="1" ht="16.5" thickTop="1" thickBot="1" x14ac:dyDescent="0.3">
      <c r="B180" s="273"/>
      <c r="I180" s="278"/>
      <c r="J180" s="278"/>
      <c r="K180" s="278"/>
      <c r="L180" s="286" t="s">
        <v>389</v>
      </c>
      <c r="M180" s="287">
        <f>SUM(M174:M177)/2</f>
        <v>0</v>
      </c>
      <c r="N180" s="287">
        <f>SUM(N174:N177)/2</f>
        <v>0</v>
      </c>
      <c r="O180" s="287">
        <f>SUM(O174:O177)/2</f>
        <v>0</v>
      </c>
    </row>
    <row r="181" spans="1:16" ht="15.75" thickTop="1" x14ac:dyDescent="0.25"/>
    <row r="184" spans="1:16" x14ac:dyDescent="0.25">
      <c r="C184" s="27"/>
      <c r="D184" s="22"/>
    </row>
    <row r="185" spans="1:16" x14ac:dyDescent="0.25">
      <c r="C185" s="27"/>
      <c r="D185" s="22"/>
    </row>
    <row r="186" spans="1:16" s="28" customFormat="1" ht="15.75" x14ac:dyDescent="0.25">
      <c r="A186" s="263"/>
      <c r="B186" s="315"/>
      <c r="C186" s="316">
        <f>B107</f>
        <v>0</v>
      </c>
      <c r="D186" s="315"/>
      <c r="E186" s="315"/>
      <c r="F186" s="315"/>
      <c r="G186" s="315"/>
      <c r="H186" s="317"/>
      <c r="I186" s="318"/>
      <c r="J186" s="318"/>
      <c r="K186" s="318"/>
      <c r="L186" s="318"/>
      <c r="M186" s="318"/>
      <c r="N186" s="318"/>
      <c r="O186" s="318"/>
      <c r="P186" s="254"/>
    </row>
    <row r="187" spans="1:16" s="3" customFormat="1" ht="15.75" x14ac:dyDescent="0.25">
      <c r="A187" s="246"/>
      <c r="B187" s="303" t="s">
        <v>346</v>
      </c>
      <c r="C187" s="304" t="s">
        <v>369</v>
      </c>
      <c r="D187" s="305" t="s">
        <v>370</v>
      </c>
      <c r="E187" s="306"/>
      <c r="F187" s="306" t="s">
        <v>392</v>
      </c>
      <c r="G187" s="306"/>
      <c r="H187" s="306"/>
      <c r="I187" s="307"/>
      <c r="J187" s="307" t="s">
        <v>391</v>
      </c>
      <c r="K187" s="307"/>
      <c r="L187" s="279"/>
      <c r="M187" s="307"/>
      <c r="N187" s="307" t="s">
        <v>369</v>
      </c>
      <c r="O187" s="307"/>
    </row>
    <row r="188" spans="1:16" s="3" customFormat="1" ht="15.75" x14ac:dyDescent="0.25">
      <c r="A188" s="246"/>
      <c r="B188" s="266"/>
      <c r="C188" s="264"/>
      <c r="D188" s="266"/>
      <c r="E188" s="267" t="s">
        <v>371</v>
      </c>
      <c r="F188" s="267" t="s">
        <v>372</v>
      </c>
      <c r="G188" s="267" t="s">
        <v>373</v>
      </c>
      <c r="I188" s="281" t="s">
        <v>371</v>
      </c>
      <c r="J188" s="281" t="s">
        <v>372</v>
      </c>
      <c r="K188" s="281" t="s">
        <v>373</v>
      </c>
      <c r="L188" s="278"/>
      <c r="M188" s="293" t="s">
        <v>371</v>
      </c>
      <c r="N188" s="293" t="s">
        <v>372</v>
      </c>
      <c r="O188" s="293" t="s">
        <v>373</v>
      </c>
      <c r="P188" s="254"/>
    </row>
    <row r="189" spans="1:16" s="3" customFormat="1" ht="14.25" x14ac:dyDescent="0.2">
      <c r="A189" s="246"/>
      <c r="B189" s="275"/>
      <c r="C189" s="276" t="s">
        <v>374</v>
      </c>
      <c r="D189" s="277"/>
      <c r="E189" s="57"/>
      <c r="F189" s="57"/>
      <c r="G189" s="57"/>
      <c r="H189" s="57"/>
      <c r="I189" s="282"/>
      <c r="J189" s="282"/>
      <c r="K189" s="282"/>
      <c r="L189" s="282"/>
      <c r="M189" s="294">
        <f>SUM(M190:M190)</f>
        <v>0</v>
      </c>
      <c r="N189" s="294">
        <f>SUM(N190:N190)</f>
        <v>0</v>
      </c>
      <c r="O189" s="294">
        <f>SUM(O190:O190)</f>
        <v>0</v>
      </c>
    </row>
    <row r="190" spans="1:16" s="3" customFormat="1" ht="14.25" x14ac:dyDescent="0.2">
      <c r="A190" s="246"/>
      <c r="B190" s="253"/>
      <c r="C190" s="30" t="s">
        <v>394</v>
      </c>
      <c r="D190" s="41"/>
      <c r="E190" s="270"/>
      <c r="F190" s="270"/>
      <c r="G190" s="270"/>
      <c r="H190" s="28"/>
      <c r="I190" s="283"/>
      <c r="J190" s="283"/>
      <c r="K190" s="283"/>
      <c r="L190" s="280"/>
      <c r="M190" s="295">
        <f>E190*I190</f>
        <v>0</v>
      </c>
      <c r="N190" s="295">
        <f t="shared" ref="N190" si="41">F190*J190</f>
        <v>0</v>
      </c>
      <c r="O190" s="295">
        <f t="shared" ref="O190" si="42">G190*K190</f>
        <v>0</v>
      </c>
    </row>
    <row r="191" spans="1:16" s="3" customFormat="1" ht="14.25" x14ac:dyDescent="0.2">
      <c r="A191" s="246"/>
      <c r="B191" s="275"/>
      <c r="C191" s="276" t="s">
        <v>378</v>
      </c>
      <c r="D191" s="277"/>
      <c r="E191" s="57"/>
      <c r="F191" s="57"/>
      <c r="G191" s="57"/>
      <c r="H191" s="57"/>
      <c r="I191" s="282"/>
      <c r="J191" s="282"/>
      <c r="K191" s="282"/>
      <c r="L191" s="282"/>
      <c r="M191" s="296"/>
      <c r="N191" s="296"/>
      <c r="O191" s="296"/>
    </row>
    <row r="192" spans="1:16" s="3" customFormat="1" ht="14.25" x14ac:dyDescent="0.2">
      <c r="A192" s="246"/>
      <c r="B192" s="268"/>
      <c r="C192" s="274" t="s">
        <v>375</v>
      </c>
      <c r="D192" s="269"/>
      <c r="E192" s="61"/>
      <c r="F192" s="61"/>
      <c r="G192" s="61"/>
      <c r="H192" s="61"/>
      <c r="I192" s="284"/>
      <c r="J192" s="284"/>
      <c r="K192" s="284"/>
      <c r="L192" s="284"/>
      <c r="M192" s="298">
        <f>SUM(M193:M193)</f>
        <v>0</v>
      </c>
      <c r="N192" s="298">
        <f>SUM(N193:N193)</f>
        <v>0</v>
      </c>
      <c r="O192" s="298">
        <f>SUM(O193:O193)</f>
        <v>0</v>
      </c>
    </row>
    <row r="193" spans="1:15" s="3" customFormat="1" ht="14.25" x14ac:dyDescent="0.2">
      <c r="B193" s="253"/>
      <c r="C193" s="30" t="s">
        <v>394</v>
      </c>
      <c r="D193" s="41"/>
      <c r="E193" s="270"/>
      <c r="F193" s="270"/>
      <c r="G193" s="270"/>
      <c r="H193" s="28"/>
      <c r="I193" s="283"/>
      <c r="J193" s="283"/>
      <c r="K193" s="283"/>
      <c r="L193" s="280"/>
      <c r="M193" s="285">
        <f>E193*I193</f>
        <v>0</v>
      </c>
      <c r="N193" s="285">
        <f t="shared" ref="N193" si="43">F193*J193</f>
        <v>0</v>
      </c>
      <c r="O193" s="285">
        <f t="shared" ref="O193" si="44">G193*K193</f>
        <v>0</v>
      </c>
    </row>
    <row r="194" spans="1:15" s="3" customFormat="1" ht="14.25" x14ac:dyDescent="0.2">
      <c r="B194" s="268"/>
      <c r="C194" s="274" t="s">
        <v>376</v>
      </c>
      <c r="D194" s="269"/>
      <c r="E194" s="61"/>
      <c r="F194" s="61"/>
      <c r="G194" s="61"/>
      <c r="H194" s="61"/>
      <c r="I194" s="284"/>
      <c r="J194" s="284"/>
      <c r="K194" s="284"/>
      <c r="L194" s="284"/>
      <c r="M194" s="298">
        <f>SUM(M195:M195)</f>
        <v>0</v>
      </c>
      <c r="N194" s="298">
        <f>SUM(N195:N195)</f>
        <v>0</v>
      </c>
      <c r="O194" s="298">
        <f>SUM(O195:O195)</f>
        <v>0</v>
      </c>
    </row>
    <row r="195" spans="1:15" s="3" customFormat="1" ht="14.25" x14ac:dyDescent="0.2">
      <c r="B195" s="253"/>
      <c r="C195" s="30" t="s">
        <v>394</v>
      </c>
      <c r="D195" s="41"/>
      <c r="E195" s="270"/>
      <c r="F195" s="270"/>
      <c r="G195" s="270"/>
      <c r="H195" s="28"/>
      <c r="I195" s="283"/>
      <c r="J195" s="283"/>
      <c r="K195" s="283"/>
      <c r="L195" s="280"/>
      <c r="M195" s="285">
        <f>E195*I195</f>
        <v>0</v>
      </c>
      <c r="N195" s="285">
        <f t="shared" ref="N195" si="45">F195*J195</f>
        <v>0</v>
      </c>
      <c r="O195" s="285">
        <f>G195*K195</f>
        <v>0</v>
      </c>
    </row>
    <row r="196" spans="1:15" s="3" customFormat="1" ht="14.25" x14ac:dyDescent="0.2">
      <c r="B196" s="268"/>
      <c r="C196" s="274" t="s">
        <v>379</v>
      </c>
      <c r="D196" s="269"/>
      <c r="E196" s="61"/>
      <c r="F196" s="61"/>
      <c r="G196" s="61"/>
      <c r="H196" s="61"/>
      <c r="I196" s="284"/>
      <c r="J196" s="284"/>
      <c r="K196" s="284"/>
      <c r="L196" s="284"/>
      <c r="M196" s="298">
        <f>SUM(M197:M197)</f>
        <v>0</v>
      </c>
      <c r="N196" s="298">
        <f>SUM(N197:N197)</f>
        <v>0</v>
      </c>
      <c r="O196" s="298">
        <f>SUM(O197:O197)</f>
        <v>0</v>
      </c>
    </row>
    <row r="197" spans="1:15" s="3" customFormat="1" ht="14.25" x14ac:dyDescent="0.2">
      <c r="B197" s="253"/>
      <c r="C197" s="30" t="s">
        <v>394</v>
      </c>
      <c r="D197" s="41"/>
      <c r="E197" s="270"/>
      <c r="F197" s="270"/>
      <c r="G197" s="270"/>
      <c r="H197" s="28"/>
      <c r="I197" s="283"/>
      <c r="J197" s="283"/>
      <c r="K197" s="283"/>
      <c r="L197" s="280"/>
      <c r="M197" s="285">
        <f>E197*I197</f>
        <v>0</v>
      </c>
      <c r="N197" s="285">
        <f t="shared" ref="N197" si="46">F197*J197</f>
        <v>0</v>
      </c>
      <c r="O197" s="285">
        <f>G197*K197</f>
        <v>0</v>
      </c>
    </row>
    <row r="198" spans="1:15" s="3" customFormat="1" ht="14.25" x14ac:dyDescent="0.2">
      <c r="B198" s="271"/>
      <c r="C198" s="274" t="s">
        <v>380</v>
      </c>
      <c r="D198" s="272"/>
      <c r="E198" s="61"/>
      <c r="F198" s="61"/>
      <c r="G198" s="61"/>
      <c r="H198" s="61"/>
      <c r="I198" s="284"/>
      <c r="J198" s="284"/>
      <c r="K198" s="284"/>
      <c r="L198" s="284"/>
      <c r="M198" s="298">
        <f>SUM(M199:M199)</f>
        <v>0</v>
      </c>
      <c r="N198" s="298">
        <f>SUM(N199:N199)</f>
        <v>0</v>
      </c>
      <c r="O198" s="298">
        <f>SUM(O199:O199)</f>
        <v>0</v>
      </c>
    </row>
    <row r="199" spans="1:15" s="3" customFormat="1" ht="14.25" x14ac:dyDescent="0.2">
      <c r="B199" s="253"/>
      <c r="C199" s="30" t="s">
        <v>394</v>
      </c>
      <c r="D199" s="41"/>
      <c r="E199" s="270"/>
      <c r="F199" s="270"/>
      <c r="G199" s="270"/>
      <c r="H199" s="28"/>
      <c r="I199" s="283"/>
      <c r="J199" s="283"/>
      <c r="K199" s="283"/>
      <c r="L199" s="280"/>
      <c r="M199" s="285">
        <f>E199*I199</f>
        <v>0</v>
      </c>
      <c r="N199" s="285">
        <f t="shared" ref="N199" si="47">F199*J199</f>
        <v>0</v>
      </c>
      <c r="O199" s="285">
        <f>G199*K199</f>
        <v>0</v>
      </c>
    </row>
    <row r="200" spans="1:15" s="3" customFormat="1" ht="14.25" x14ac:dyDescent="0.2">
      <c r="B200" s="271"/>
      <c r="C200" s="274" t="s">
        <v>381</v>
      </c>
      <c r="D200" s="272"/>
      <c r="E200" s="61"/>
      <c r="F200" s="61"/>
      <c r="G200" s="61"/>
      <c r="H200" s="61"/>
      <c r="I200" s="284"/>
      <c r="J200" s="284"/>
      <c r="K200" s="284"/>
      <c r="L200" s="284"/>
      <c r="M200" s="298">
        <f>SUM(M201:M201)</f>
        <v>0</v>
      </c>
      <c r="N200" s="298">
        <f>SUM(N201:N201)</f>
        <v>0</v>
      </c>
      <c r="O200" s="298">
        <f>SUM(O201:O201)</f>
        <v>0</v>
      </c>
    </row>
    <row r="201" spans="1:15" s="3" customFormat="1" ht="14.25" x14ac:dyDescent="0.2">
      <c r="B201" s="253"/>
      <c r="C201" s="30" t="s">
        <v>394</v>
      </c>
      <c r="D201" s="41"/>
      <c r="E201" s="270"/>
      <c r="F201" s="270"/>
      <c r="G201" s="270"/>
      <c r="H201" s="28"/>
      <c r="I201" s="283"/>
      <c r="J201" s="283"/>
      <c r="K201" s="283"/>
      <c r="L201" s="280"/>
      <c r="M201" s="285">
        <f>E201*I201</f>
        <v>0</v>
      </c>
      <c r="N201" s="285">
        <f>F201*J201</f>
        <v>0</v>
      </c>
      <c r="O201" s="285">
        <f>G201*K201</f>
        <v>0</v>
      </c>
    </row>
    <row r="202" spans="1:15" s="3" customFormat="1" ht="14.25" x14ac:dyDescent="0.2">
      <c r="B202" s="268"/>
      <c r="C202" s="274" t="s">
        <v>377</v>
      </c>
      <c r="D202" s="269"/>
      <c r="E202" s="61"/>
      <c r="F202" s="61"/>
      <c r="G202" s="61"/>
      <c r="H202" s="61"/>
      <c r="I202" s="284"/>
      <c r="J202" s="284"/>
      <c r="K202" s="284"/>
      <c r="L202" s="284"/>
      <c r="M202" s="298">
        <f>SUM(M203:M203)</f>
        <v>0</v>
      </c>
      <c r="N202" s="298">
        <f>SUM(N203:N203)</f>
        <v>0</v>
      </c>
      <c r="O202" s="298">
        <f>SUM(O203:O203)</f>
        <v>0</v>
      </c>
    </row>
    <row r="203" spans="1:15" s="3" customFormat="1" ht="14.25" x14ac:dyDescent="0.2">
      <c r="B203" s="253"/>
      <c r="C203" s="30" t="s">
        <v>394</v>
      </c>
      <c r="D203" s="41"/>
      <c r="E203" s="270"/>
      <c r="F203" s="270"/>
      <c r="G203" s="270"/>
      <c r="H203" s="28"/>
      <c r="I203" s="283"/>
      <c r="J203" s="283"/>
      <c r="K203" s="283"/>
      <c r="L203" s="280"/>
      <c r="M203" s="285">
        <f>E203*I203</f>
        <v>0</v>
      </c>
      <c r="N203" s="285">
        <f t="shared" ref="N203" si="48">F203*J203</f>
        <v>0</v>
      </c>
      <c r="O203" s="285">
        <f>G203*K203</f>
        <v>0</v>
      </c>
    </row>
    <row r="204" spans="1:15" s="3" customFormat="1" ht="14.25" x14ac:dyDescent="0.2">
      <c r="B204" s="268"/>
      <c r="C204" s="274" t="s">
        <v>382</v>
      </c>
      <c r="D204" s="269"/>
      <c r="E204" s="61"/>
      <c r="F204" s="61"/>
      <c r="G204" s="61"/>
      <c r="H204" s="61"/>
      <c r="I204" s="284"/>
      <c r="J204" s="284"/>
      <c r="K204" s="284"/>
      <c r="L204" s="284"/>
      <c r="M204" s="298">
        <f>SUM(M205:M205)</f>
        <v>0</v>
      </c>
      <c r="N204" s="298">
        <f>SUM(N205:N205)</f>
        <v>0</v>
      </c>
      <c r="O204" s="298">
        <f>SUM(O205:O205)</f>
        <v>0</v>
      </c>
    </row>
    <row r="205" spans="1:15" s="3" customFormat="1" ht="14.25" x14ac:dyDescent="0.2">
      <c r="B205" s="253"/>
      <c r="C205" s="30" t="s">
        <v>394</v>
      </c>
      <c r="D205" s="41"/>
      <c r="E205" s="270"/>
      <c r="F205" s="270"/>
      <c r="G205" s="270"/>
      <c r="H205" s="28"/>
      <c r="I205" s="283"/>
      <c r="J205" s="283"/>
      <c r="K205" s="283"/>
      <c r="L205" s="280"/>
      <c r="M205" s="285">
        <f>E205*I205</f>
        <v>0</v>
      </c>
      <c r="N205" s="285">
        <f t="shared" ref="N205" si="49">F205*J205</f>
        <v>0</v>
      </c>
      <c r="O205" s="285">
        <f>G205*K205</f>
        <v>0</v>
      </c>
    </row>
    <row r="206" spans="1:15" s="3" customFormat="1" ht="14.25" x14ac:dyDescent="0.2">
      <c r="A206" s="246"/>
      <c r="B206" s="275"/>
      <c r="C206" s="276" t="s">
        <v>383</v>
      </c>
      <c r="D206" s="277"/>
      <c r="E206" s="57"/>
      <c r="F206" s="57"/>
      <c r="G206" s="57"/>
      <c r="H206" s="57"/>
      <c r="I206" s="282"/>
      <c r="J206" s="282"/>
      <c r="K206" s="282"/>
      <c r="L206" s="282"/>
      <c r="M206" s="296"/>
      <c r="N206" s="296"/>
      <c r="O206" s="296"/>
    </row>
    <row r="207" spans="1:15" s="3" customFormat="1" ht="14.25" x14ac:dyDescent="0.2">
      <c r="B207" s="271"/>
      <c r="C207" s="274" t="s">
        <v>384</v>
      </c>
      <c r="D207" s="272"/>
      <c r="E207" s="61"/>
      <c r="F207" s="61"/>
      <c r="G207" s="61"/>
      <c r="H207" s="61"/>
      <c r="I207" s="284"/>
      <c r="J207" s="284"/>
      <c r="K207" s="284"/>
      <c r="L207" s="284"/>
      <c r="M207" s="298">
        <f>SUM(M208:M208)</f>
        <v>0</v>
      </c>
      <c r="N207" s="298">
        <f>SUM(N208:N208)</f>
        <v>0</v>
      </c>
      <c r="O207" s="298">
        <f>SUM(O208:O208)</f>
        <v>0</v>
      </c>
    </row>
    <row r="208" spans="1:15" s="3" customFormat="1" ht="14.25" x14ac:dyDescent="0.2">
      <c r="B208" s="253"/>
      <c r="C208" s="30" t="s">
        <v>394</v>
      </c>
      <c r="D208" s="41"/>
      <c r="E208" s="270"/>
      <c r="F208" s="270"/>
      <c r="G208" s="270"/>
      <c r="H208" s="28"/>
      <c r="I208" s="283"/>
      <c r="J208" s="283"/>
      <c r="K208" s="283"/>
      <c r="L208" s="280"/>
      <c r="M208" s="285">
        <f>E208*I208</f>
        <v>0</v>
      </c>
      <c r="N208" s="285">
        <f t="shared" ref="N208" si="50">F208*J208</f>
        <v>0</v>
      </c>
      <c r="O208" s="285">
        <f>G208*K208</f>
        <v>0</v>
      </c>
    </row>
    <row r="209" spans="1:15" s="3" customFormat="1" ht="14.25" x14ac:dyDescent="0.2">
      <c r="B209" s="271"/>
      <c r="C209" s="274" t="s">
        <v>385</v>
      </c>
      <c r="D209" s="272"/>
      <c r="E209" s="61"/>
      <c r="F209" s="61"/>
      <c r="G209" s="61"/>
      <c r="H209" s="61"/>
      <c r="I209" s="284"/>
      <c r="J209" s="284"/>
      <c r="K209" s="284"/>
      <c r="L209" s="284"/>
      <c r="M209" s="298">
        <f>SUM(M210:M210)</f>
        <v>0</v>
      </c>
      <c r="N209" s="298">
        <f>SUM(N210:N210)</f>
        <v>0</v>
      </c>
      <c r="O209" s="298">
        <f>SUM(O210:O210)</f>
        <v>0</v>
      </c>
    </row>
    <row r="210" spans="1:15" s="3" customFormat="1" ht="14.25" x14ac:dyDescent="0.2">
      <c r="B210" s="253"/>
      <c r="C210" s="30" t="s">
        <v>394</v>
      </c>
      <c r="D210" s="41"/>
      <c r="E210" s="270"/>
      <c r="F210" s="270"/>
      <c r="G210" s="270"/>
      <c r="H210" s="28"/>
      <c r="I210" s="283"/>
      <c r="J210" s="283"/>
      <c r="K210" s="283"/>
      <c r="L210" s="280"/>
      <c r="M210" s="285">
        <f>E210*I210</f>
        <v>0</v>
      </c>
      <c r="N210" s="285">
        <f t="shared" ref="N210" si="51">F210*J210</f>
        <v>0</v>
      </c>
      <c r="O210" s="285">
        <f>G210*K210</f>
        <v>0</v>
      </c>
    </row>
    <row r="211" spans="1:15" s="3" customFormat="1" ht="14.25" x14ac:dyDescent="0.2">
      <c r="A211" s="246"/>
      <c r="B211" s="288"/>
      <c r="C211" s="289" t="s">
        <v>386</v>
      </c>
      <c r="D211" s="290"/>
      <c r="E211" s="291"/>
      <c r="F211" s="291"/>
      <c r="G211" s="291"/>
      <c r="H211" s="291"/>
      <c r="I211" s="292"/>
      <c r="J211" s="292"/>
      <c r="K211" s="292"/>
      <c r="L211" s="292"/>
      <c r="M211" s="297"/>
      <c r="N211" s="297"/>
      <c r="O211" s="297"/>
    </row>
    <row r="212" spans="1:15" s="3" customFormat="1" ht="14.25" x14ac:dyDescent="0.2">
      <c r="B212" s="271"/>
      <c r="C212" s="274" t="s">
        <v>387</v>
      </c>
      <c r="D212" s="272"/>
      <c r="E212" s="61"/>
      <c r="F212" s="61"/>
      <c r="G212" s="61"/>
      <c r="H212" s="61"/>
      <c r="I212" s="284"/>
      <c r="J212" s="284"/>
      <c r="K212" s="284"/>
      <c r="L212" s="284"/>
      <c r="M212" s="298">
        <f>SUM(M213:M213)</f>
        <v>0</v>
      </c>
      <c r="N212" s="298">
        <f>SUM(N213:N213)</f>
        <v>0</v>
      </c>
      <c r="O212" s="298">
        <f>SUM(O213:O213)</f>
        <v>0</v>
      </c>
    </row>
    <row r="213" spans="1:15" s="3" customFormat="1" ht="14.25" x14ac:dyDescent="0.2">
      <c r="B213" s="253"/>
      <c r="C213" s="30" t="s">
        <v>394</v>
      </c>
      <c r="D213" s="41"/>
      <c r="E213" s="270"/>
      <c r="F213" s="270"/>
      <c r="G213" s="270"/>
      <c r="H213" s="28"/>
      <c r="I213" s="283"/>
      <c r="J213" s="283"/>
      <c r="K213" s="283"/>
      <c r="L213" s="280"/>
      <c r="M213" s="285">
        <f>E213*I213</f>
        <v>0</v>
      </c>
      <c r="N213" s="285">
        <f t="shared" ref="N213" si="52">F213*J213</f>
        <v>0</v>
      </c>
      <c r="O213" s="285">
        <f>G213*K213</f>
        <v>0</v>
      </c>
    </row>
    <row r="214" spans="1:15" s="3" customFormat="1" ht="14.25" x14ac:dyDescent="0.2">
      <c r="B214" s="271"/>
      <c r="C214" s="274" t="s">
        <v>388</v>
      </c>
      <c r="D214" s="272"/>
      <c r="E214" s="61"/>
      <c r="F214" s="61"/>
      <c r="G214" s="61"/>
      <c r="H214" s="61"/>
      <c r="I214" s="284"/>
      <c r="J214" s="284"/>
      <c r="K214" s="284"/>
      <c r="L214" s="284"/>
      <c r="M214" s="298">
        <f>SUM(M215:M215)</f>
        <v>0</v>
      </c>
      <c r="N214" s="298">
        <f>SUM(N215:N215)</f>
        <v>0</v>
      </c>
      <c r="O214" s="298">
        <f>SUM(O215:O215)</f>
        <v>0</v>
      </c>
    </row>
    <row r="215" spans="1:15" s="3" customFormat="1" ht="14.25" x14ac:dyDescent="0.2">
      <c r="B215" s="253"/>
      <c r="C215" s="30" t="s">
        <v>394</v>
      </c>
      <c r="D215" s="41"/>
      <c r="E215" s="270"/>
      <c r="F215" s="270"/>
      <c r="G215" s="270"/>
      <c r="H215" s="28"/>
      <c r="I215" s="283"/>
      <c r="J215" s="283"/>
      <c r="K215" s="283"/>
      <c r="L215" s="280"/>
      <c r="M215" s="285">
        <f>E215*I215</f>
        <v>0</v>
      </c>
      <c r="N215" s="285">
        <f t="shared" ref="N215" si="53">F215*J215</f>
        <v>0</v>
      </c>
      <c r="O215" s="285">
        <f>G215*K215</f>
        <v>0</v>
      </c>
    </row>
    <row r="216" spans="1:15" s="3" customFormat="1" ht="14.25" x14ac:dyDescent="0.2">
      <c r="B216" s="273"/>
      <c r="I216" s="278"/>
      <c r="J216" s="278"/>
      <c r="K216" s="278"/>
      <c r="L216" s="278"/>
      <c r="M216" s="278"/>
      <c r="N216" s="278"/>
      <c r="O216" s="278"/>
    </row>
    <row r="217" spans="1:15" s="3" customFormat="1" ht="15.75" thickBot="1" x14ac:dyDescent="0.3">
      <c r="A217" s="246"/>
      <c r="B217" s="273"/>
      <c r="I217" s="278"/>
      <c r="J217" s="278"/>
      <c r="K217" s="278"/>
      <c r="L217" s="286" t="s">
        <v>390</v>
      </c>
      <c r="M217" s="287">
        <f>SUM(M190:M210)/2</f>
        <v>0</v>
      </c>
      <c r="N217" s="287">
        <f>SUM(N190:N210)/2</f>
        <v>0</v>
      </c>
      <c r="O217" s="287">
        <f>SUM(O190:O210)/2</f>
        <v>0</v>
      </c>
    </row>
    <row r="218" spans="1:15" s="3" customFormat="1" ht="16.5" thickTop="1" thickBot="1" x14ac:dyDescent="0.3">
      <c r="B218" s="273"/>
      <c r="I218" s="278"/>
      <c r="J218" s="278"/>
      <c r="K218" s="278"/>
      <c r="L218" s="286" t="s">
        <v>389</v>
      </c>
      <c r="M218" s="287">
        <f>SUM(M212:M215)/2</f>
        <v>0</v>
      </c>
      <c r="N218" s="287">
        <f>SUM(N212:N215)/2</f>
        <v>0</v>
      </c>
      <c r="O218" s="287">
        <f>SUM(O212:O215)/2</f>
        <v>0</v>
      </c>
    </row>
    <row r="219" spans="1:15" ht="15.75" thickTop="1" x14ac:dyDescent="0.25"/>
  </sheetData>
  <mergeCells count="3">
    <mergeCell ref="D13:G13"/>
    <mergeCell ref="D15:G15"/>
    <mergeCell ref="D17:O17"/>
  </mergeCell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33"/>
  </sheetPr>
  <dimension ref="A1:P242"/>
  <sheetViews>
    <sheetView showGridLines="0" zoomScaleNormal="100" workbookViewId="0">
      <pane ySplit="1" topLeftCell="A79" activePane="bottomLeft" state="frozen"/>
      <selection activeCell="G35" sqref="G35"/>
      <selection pane="bottomLeft" activeCell="G35" sqref="G35"/>
    </sheetView>
  </sheetViews>
  <sheetFormatPr defaultRowHeight="15" x14ac:dyDescent="0.25"/>
  <cols>
    <col min="1" max="1" width="3.28515625" style="3" customWidth="1"/>
    <col min="2" max="2" width="3.85546875" customWidth="1"/>
    <col min="3" max="3" width="41.7109375" customWidth="1"/>
    <col min="4" max="4" width="18" customWidth="1"/>
    <col min="5" max="5" width="12.85546875" customWidth="1"/>
    <col min="6" max="7" width="12.85546875" style="3" customWidth="1"/>
    <col min="8" max="8" width="2.42578125" style="3" customWidth="1"/>
    <col min="9" max="11" width="12.85546875" style="3" customWidth="1"/>
    <col min="12" max="12" width="2.42578125" style="3" customWidth="1"/>
    <col min="13" max="15" width="12.85546875" style="3" customWidth="1"/>
    <col min="16" max="16384" width="9.140625" style="3"/>
  </cols>
  <sheetData>
    <row r="1" spans="1:16" ht="15.75" x14ac:dyDescent="0.25">
      <c r="A1" s="265"/>
      <c r="B1" s="313" t="e">
        <f>'Service Descriptions'!#REF!</f>
        <v>#REF!</v>
      </c>
      <c r="C1" s="192"/>
      <c r="D1" s="192"/>
      <c r="E1" s="192"/>
    </row>
    <row r="2" spans="1:16" ht="15.75" customHeight="1" x14ac:dyDescent="0.25">
      <c r="A2" s="246"/>
      <c r="B2" s="310"/>
      <c r="C2" s="311" t="s">
        <v>395</v>
      </c>
      <c r="D2" s="310"/>
      <c r="E2" s="308"/>
      <c r="F2" s="308"/>
      <c r="G2" s="308"/>
      <c r="H2" s="308"/>
      <c r="I2" s="309"/>
      <c r="J2" s="309"/>
      <c r="K2" s="309"/>
      <c r="L2" s="309"/>
      <c r="M2" s="309"/>
      <c r="N2" s="309"/>
      <c r="O2" s="309"/>
    </row>
    <row r="3" spans="1:16" s="319" customFormat="1" ht="15.75" x14ac:dyDescent="0.25">
      <c r="B3" s="320"/>
      <c r="C3" s="321"/>
      <c r="D3" s="321"/>
      <c r="E3" s="321"/>
    </row>
    <row r="4" spans="1:16" s="319" customFormat="1" ht="15.75" x14ac:dyDescent="0.25">
      <c r="B4" s="320"/>
      <c r="C4" s="321"/>
      <c r="D4" s="321"/>
      <c r="E4" s="321"/>
    </row>
    <row r="5" spans="1:16" s="319" customFormat="1" ht="15.75" x14ac:dyDescent="0.25">
      <c r="B5" s="320"/>
      <c r="C5" s="321"/>
      <c r="D5" s="321"/>
      <c r="E5" s="321"/>
    </row>
    <row r="6" spans="1:16" s="319" customFormat="1" ht="15.75" x14ac:dyDescent="0.25">
      <c r="B6" s="320"/>
      <c r="C6" s="321"/>
      <c r="D6" s="321"/>
      <c r="E6" s="321"/>
    </row>
    <row r="7" spans="1:16" s="319" customFormat="1" ht="15.75" x14ac:dyDescent="0.25">
      <c r="B7" s="320"/>
      <c r="C7" s="321"/>
      <c r="D7" s="321"/>
      <c r="E7" s="321"/>
    </row>
    <row r="8" spans="1:16" s="319" customFormat="1" ht="15.75" x14ac:dyDescent="0.25">
      <c r="B8" s="320"/>
      <c r="C8" s="321"/>
      <c r="D8" s="321"/>
      <c r="E8" s="321"/>
    </row>
    <row r="9" spans="1:16" s="319" customFormat="1" ht="15.75" x14ac:dyDescent="0.25">
      <c r="B9" s="320"/>
      <c r="C9" s="321"/>
      <c r="D9" s="321"/>
      <c r="E9" s="321"/>
    </row>
    <row r="10" spans="1:16" s="319" customFormat="1" ht="15.75" x14ac:dyDescent="0.25">
      <c r="B10" s="320"/>
      <c r="C10" s="321"/>
      <c r="D10" s="321"/>
      <c r="E10" s="321"/>
    </row>
    <row r="11" spans="1:16" ht="15.75" customHeight="1" x14ac:dyDescent="0.25">
      <c r="A11" s="246"/>
      <c r="B11" s="310"/>
      <c r="C11" s="311" t="s">
        <v>396</v>
      </c>
      <c r="D11" s="310"/>
      <c r="E11" s="308"/>
      <c r="F11" s="308"/>
      <c r="G11" s="308"/>
      <c r="H11" s="308"/>
      <c r="I11" s="309"/>
      <c r="J11" s="309"/>
      <c r="K11" s="309"/>
      <c r="L11" s="309"/>
      <c r="M11" s="309"/>
      <c r="N11" s="309"/>
      <c r="O11" s="309"/>
    </row>
    <row r="12" spans="1:16" ht="14.25" x14ac:dyDescent="0.2">
      <c r="B12" s="3"/>
      <c r="C12" s="54" t="s">
        <v>323</v>
      </c>
      <c r="D12" s="3"/>
      <c r="E12" s="3"/>
    </row>
    <row r="13" spans="1:16" ht="14.25" x14ac:dyDescent="0.2">
      <c r="B13" s="3"/>
      <c r="C13" s="51" t="s">
        <v>333</v>
      </c>
      <c r="D13" s="64">
        <f>D174</f>
        <v>0</v>
      </c>
      <c r="E13" s="64">
        <f>E174</f>
        <v>0</v>
      </c>
      <c r="F13" s="64">
        <f>F174</f>
        <v>0</v>
      </c>
    </row>
    <row r="14" spans="1:16" ht="14.25" x14ac:dyDescent="0.2">
      <c r="B14" s="3"/>
      <c r="C14" s="65" t="s">
        <v>334</v>
      </c>
      <c r="D14" s="63">
        <f>D198+D209+D203</f>
        <v>0</v>
      </c>
      <c r="E14" s="63">
        <f>E198+E209+E203</f>
        <v>0</v>
      </c>
      <c r="F14" s="63">
        <f>F198+F209+F203</f>
        <v>0</v>
      </c>
    </row>
    <row r="15" spans="1:16" s="28" customFormat="1" ht="15.75" customHeight="1" x14ac:dyDescent="0.2">
      <c r="A15" s="255"/>
      <c r="B15" s="255" t="s">
        <v>368</v>
      </c>
      <c r="C15" s="256"/>
      <c r="D15" s="945"/>
      <c r="E15" s="945"/>
      <c r="F15" s="945"/>
      <c r="G15" s="945"/>
      <c r="I15" s="280"/>
      <c r="J15" s="280"/>
      <c r="K15" s="280"/>
      <c r="L15" s="280"/>
      <c r="M15" s="280"/>
      <c r="N15" s="280"/>
      <c r="O15" s="280"/>
      <c r="P15" s="254"/>
    </row>
    <row r="16" spans="1:16" s="28" customFormat="1" ht="15.75" customHeight="1" x14ac:dyDescent="0.2">
      <c r="A16" s="255"/>
      <c r="B16" s="255"/>
      <c r="C16" s="255"/>
      <c r="D16" s="255"/>
      <c r="E16" s="255"/>
      <c r="F16" s="255"/>
      <c r="G16" s="255"/>
      <c r="I16" s="280"/>
      <c r="J16" s="280"/>
      <c r="K16" s="280"/>
      <c r="L16" s="280"/>
      <c r="M16" s="280"/>
      <c r="N16" s="280"/>
      <c r="O16" s="280"/>
      <c r="P16" s="254"/>
    </row>
    <row r="17" spans="1:16" s="28" customFormat="1" ht="15.75" customHeight="1" x14ac:dyDescent="0.2">
      <c r="A17" s="255">
        <v>2</v>
      </c>
      <c r="B17" s="256" t="s">
        <v>366</v>
      </c>
      <c r="C17" s="255"/>
      <c r="D17" s="944"/>
      <c r="E17" s="944"/>
      <c r="F17" s="944"/>
      <c r="G17" s="944"/>
      <c r="H17" s="944"/>
      <c r="I17" s="944"/>
      <c r="J17" s="944"/>
      <c r="K17" s="944"/>
      <c r="L17" s="944"/>
      <c r="M17" s="944"/>
      <c r="N17" s="944"/>
      <c r="O17" s="944"/>
      <c r="P17" s="260"/>
    </row>
    <row r="18" spans="1:16" s="28" customFormat="1" ht="15.75" customHeight="1" x14ac:dyDescent="0.2">
      <c r="A18" s="255"/>
      <c r="B18" s="256"/>
      <c r="C18" s="255"/>
      <c r="D18" s="255"/>
      <c r="E18" s="255"/>
      <c r="F18" s="255"/>
      <c r="G18" s="255"/>
      <c r="I18" s="280"/>
      <c r="J18" s="280"/>
      <c r="K18" s="280"/>
      <c r="L18" s="280"/>
      <c r="M18" s="280"/>
      <c r="N18" s="280"/>
      <c r="O18" s="280"/>
      <c r="P18" s="260"/>
    </row>
    <row r="19" spans="1:16" s="28" customFormat="1" ht="15.75" customHeight="1" x14ac:dyDescent="0.2">
      <c r="A19" s="255">
        <v>3</v>
      </c>
      <c r="B19" s="255" t="s">
        <v>366</v>
      </c>
      <c r="C19" s="261"/>
      <c r="D19" s="255"/>
      <c r="E19" s="255"/>
      <c r="F19" s="255"/>
      <c r="G19" s="255"/>
      <c r="I19" s="280"/>
      <c r="J19" s="280"/>
      <c r="K19" s="280"/>
      <c r="L19" s="280"/>
      <c r="M19" s="280"/>
      <c r="N19" s="280"/>
      <c r="O19" s="280"/>
      <c r="P19" s="262"/>
    </row>
    <row r="20" spans="1:16" ht="15.75" customHeight="1" x14ac:dyDescent="0.25">
      <c r="A20" s="246"/>
      <c r="B20" s="299"/>
      <c r="C20" s="300" t="s">
        <v>393</v>
      </c>
      <c r="D20" s="299" t="s">
        <v>365</v>
      </c>
      <c r="E20" s="299" t="s">
        <v>365</v>
      </c>
      <c r="F20" s="301"/>
      <c r="G20" s="301"/>
      <c r="H20" s="301"/>
      <c r="I20" s="302"/>
      <c r="J20" s="302"/>
      <c r="K20" s="302"/>
      <c r="L20" s="302"/>
      <c r="M20" s="302"/>
      <c r="N20" s="302"/>
      <c r="O20" s="302"/>
    </row>
    <row r="21" spans="1:16" x14ac:dyDescent="0.25">
      <c r="A21" s="228" t="s">
        <v>186</v>
      </c>
      <c r="B21" s="228"/>
      <c r="C21" s="227"/>
      <c r="D21" s="227"/>
      <c r="E21" s="227"/>
      <c r="F21" s="227"/>
    </row>
    <row r="22" spans="1:16" x14ac:dyDescent="0.25">
      <c r="A22"/>
      <c r="C22" s="49" t="s">
        <v>22</v>
      </c>
      <c r="D22" s="37"/>
      <c r="E22" s="37"/>
      <c r="F22" s="37"/>
    </row>
    <row r="23" spans="1:16" ht="14.25" x14ac:dyDescent="0.2">
      <c r="B23" s="3"/>
      <c r="C23" s="34" t="s">
        <v>188</v>
      </c>
      <c r="D23" s="204">
        <v>854518</v>
      </c>
      <c r="E23" s="204">
        <v>854518</v>
      </c>
      <c r="F23" s="204">
        <v>854518</v>
      </c>
    </row>
    <row r="24" spans="1:16" ht="14.25" x14ac:dyDescent="0.2">
      <c r="B24" s="3"/>
      <c r="C24" s="35" t="s">
        <v>189</v>
      </c>
      <c r="D24" s="72">
        <v>3</v>
      </c>
      <c r="E24" s="80">
        <v>3</v>
      </c>
      <c r="F24" s="80">
        <v>3</v>
      </c>
    </row>
    <row r="25" spans="1:16" ht="14.25" x14ac:dyDescent="0.2">
      <c r="B25" s="3"/>
      <c r="C25" s="35" t="s">
        <v>190</v>
      </c>
      <c r="D25" s="102">
        <v>1</v>
      </c>
      <c r="E25" s="107">
        <v>1</v>
      </c>
      <c r="F25" s="107">
        <v>1</v>
      </c>
    </row>
    <row r="26" spans="1:16" ht="14.25" x14ac:dyDescent="0.2">
      <c r="B26" s="3"/>
      <c r="C26" s="36" t="s">
        <v>196</v>
      </c>
      <c r="D26" s="205">
        <v>1</v>
      </c>
      <c r="E26" s="206">
        <v>1</v>
      </c>
      <c r="F26" s="206">
        <v>1</v>
      </c>
    </row>
    <row r="27" spans="1:16" ht="14.25" x14ac:dyDescent="0.2">
      <c r="B27" s="3"/>
      <c r="C27" s="229" t="s">
        <v>286</v>
      </c>
      <c r="D27" s="87"/>
      <c r="E27" s="87"/>
      <c r="F27" s="87"/>
    </row>
    <row r="28" spans="1:16" ht="14.25" x14ac:dyDescent="0.2">
      <c r="B28" s="3"/>
      <c r="C28" s="28" t="s">
        <v>197</v>
      </c>
      <c r="D28" s="47">
        <v>9</v>
      </c>
      <c r="E28" s="93">
        <v>9</v>
      </c>
      <c r="F28" s="93">
        <v>9</v>
      </c>
    </row>
    <row r="29" spans="1:16" ht="14.25" x14ac:dyDescent="0.2">
      <c r="B29" s="3"/>
      <c r="C29" s="28" t="s">
        <v>198</v>
      </c>
      <c r="D29" s="47">
        <v>12</v>
      </c>
      <c r="E29" s="93">
        <v>12</v>
      </c>
      <c r="F29" s="93">
        <v>12</v>
      </c>
    </row>
    <row r="30" spans="1:16" ht="14.25" x14ac:dyDescent="0.2">
      <c r="B30" s="3"/>
      <c r="C30" s="71" t="s">
        <v>282</v>
      </c>
      <c r="D30" s="207">
        <v>0.35</v>
      </c>
      <c r="E30" s="208">
        <v>0.35</v>
      </c>
      <c r="F30" s="208">
        <v>0.35</v>
      </c>
    </row>
    <row r="31" spans="1:16" ht="14.25" x14ac:dyDescent="0.2">
      <c r="B31" s="3"/>
      <c r="C31" s="67" t="s">
        <v>350</v>
      </c>
      <c r="D31" s="74">
        <v>3</v>
      </c>
      <c r="E31" s="79">
        <v>3</v>
      </c>
      <c r="F31" s="79">
        <v>3</v>
      </c>
    </row>
    <row r="32" spans="1:16" ht="14.25" x14ac:dyDescent="0.2">
      <c r="B32" s="3"/>
      <c r="C32" s="35" t="s">
        <v>351</v>
      </c>
      <c r="D32" s="209">
        <v>12</v>
      </c>
      <c r="E32" s="210">
        <v>12</v>
      </c>
      <c r="F32" s="210">
        <v>12</v>
      </c>
    </row>
    <row r="33" spans="2:6" ht="14.25" x14ac:dyDescent="0.2">
      <c r="B33" s="3"/>
      <c r="C33" s="71" t="s">
        <v>352</v>
      </c>
      <c r="D33" s="207">
        <v>4.2999999999999997E-2</v>
      </c>
      <c r="E33" s="208">
        <v>4.2999999999999997E-2</v>
      </c>
      <c r="F33" s="208">
        <v>4.2999999999999997E-2</v>
      </c>
    </row>
    <row r="34" spans="2:6" ht="14.25" x14ac:dyDescent="0.2">
      <c r="B34" s="3"/>
      <c r="C34" s="28" t="s">
        <v>191</v>
      </c>
      <c r="D34" s="46">
        <v>1</v>
      </c>
      <c r="E34" s="104">
        <v>1</v>
      </c>
      <c r="F34" s="104">
        <v>1</v>
      </c>
    </row>
    <row r="35" spans="2:6" ht="14.25" x14ac:dyDescent="0.2">
      <c r="B35" s="3"/>
      <c r="C35" s="28" t="s">
        <v>192</v>
      </c>
      <c r="D35" s="211">
        <v>0.87</v>
      </c>
      <c r="E35" s="212">
        <v>0.87</v>
      </c>
      <c r="F35" s="212">
        <v>0.87</v>
      </c>
    </row>
    <row r="36" spans="2:6" ht="14.25" x14ac:dyDescent="0.2">
      <c r="B36" s="3"/>
      <c r="C36" s="28" t="s">
        <v>193</v>
      </c>
      <c r="D36" s="46">
        <v>1</v>
      </c>
      <c r="E36" s="104">
        <v>1</v>
      </c>
      <c r="F36" s="104">
        <v>1</v>
      </c>
    </row>
    <row r="37" spans="2:6" ht="14.25" x14ac:dyDescent="0.2">
      <c r="B37" s="3"/>
      <c r="C37" s="28" t="s">
        <v>194</v>
      </c>
      <c r="D37" s="47">
        <v>3</v>
      </c>
      <c r="E37" s="93">
        <v>3</v>
      </c>
      <c r="F37" s="93">
        <v>3</v>
      </c>
    </row>
    <row r="38" spans="2:6" ht="14.25" x14ac:dyDescent="0.2">
      <c r="B38" s="3"/>
      <c r="C38" s="28" t="s">
        <v>195</v>
      </c>
      <c r="D38" s="211">
        <v>0.22</v>
      </c>
      <c r="E38" s="212">
        <v>0.22</v>
      </c>
      <c r="F38" s="212">
        <v>0.22</v>
      </c>
    </row>
    <row r="39" spans="2:6" ht="14.25" x14ac:dyDescent="0.2">
      <c r="B39" s="3"/>
      <c r="C39" s="229" t="s">
        <v>287</v>
      </c>
      <c r="D39" s="87"/>
      <c r="E39" s="87"/>
      <c r="F39" s="87"/>
    </row>
    <row r="40" spans="2:6" ht="14.25" x14ac:dyDescent="0.2">
      <c r="B40" s="3"/>
      <c r="C40" s="35" t="s">
        <v>200</v>
      </c>
      <c r="D40" s="35"/>
      <c r="E40" s="35"/>
      <c r="F40" s="35"/>
    </row>
    <row r="41" spans="2:6" ht="14.25" x14ac:dyDescent="0.2">
      <c r="B41" s="3"/>
      <c r="C41" s="76" t="s">
        <v>201</v>
      </c>
      <c r="D41" s="72">
        <v>4</v>
      </c>
      <c r="E41" s="80">
        <v>4</v>
      </c>
      <c r="F41" s="80">
        <v>4</v>
      </c>
    </row>
    <row r="42" spans="2:6" ht="14.25" x14ac:dyDescent="0.2">
      <c r="B42" s="3"/>
      <c r="C42" s="76" t="s">
        <v>202</v>
      </c>
      <c r="D42" s="72">
        <v>2</v>
      </c>
      <c r="E42" s="80">
        <v>2</v>
      </c>
      <c r="F42" s="80">
        <v>2</v>
      </c>
    </row>
    <row r="43" spans="2:6" ht="14.25" x14ac:dyDescent="0.2">
      <c r="B43" s="3"/>
      <c r="C43" s="77" t="s">
        <v>203</v>
      </c>
      <c r="D43" s="73">
        <v>3</v>
      </c>
      <c r="E43" s="81">
        <v>3</v>
      </c>
      <c r="F43" s="81">
        <v>3</v>
      </c>
    </row>
    <row r="44" spans="2:6" ht="14.25" x14ac:dyDescent="0.2">
      <c r="B44" s="3"/>
      <c r="C44" s="41" t="s">
        <v>204</v>
      </c>
      <c r="D44" s="46">
        <v>0.6</v>
      </c>
      <c r="E44" s="104">
        <v>0.6</v>
      </c>
      <c r="F44" s="104">
        <v>0.6</v>
      </c>
    </row>
    <row r="45" spans="2:6" ht="14.25" x14ac:dyDescent="0.2">
      <c r="B45" s="3"/>
      <c r="C45" s="41" t="s">
        <v>205</v>
      </c>
      <c r="D45" s="46">
        <v>0.4</v>
      </c>
      <c r="E45" s="104">
        <v>0.4</v>
      </c>
      <c r="F45" s="104">
        <v>0.4</v>
      </c>
    </row>
    <row r="46" spans="2:6" ht="14.25" x14ac:dyDescent="0.2">
      <c r="B46" s="3"/>
      <c r="C46" s="67" t="s">
        <v>322</v>
      </c>
      <c r="D46" s="213">
        <v>15</v>
      </c>
      <c r="E46" s="214">
        <v>15</v>
      </c>
      <c r="F46" s="214">
        <v>15</v>
      </c>
    </row>
    <row r="47" spans="2:6" ht="15" customHeight="1" x14ac:dyDescent="0.2">
      <c r="B47" s="3"/>
      <c r="C47" s="36" t="s">
        <v>321</v>
      </c>
      <c r="D47" s="215">
        <v>3.5</v>
      </c>
      <c r="E47" s="216">
        <v>3.5</v>
      </c>
      <c r="F47" s="216">
        <v>3.5</v>
      </c>
    </row>
    <row r="48" spans="2:6" ht="25.5" x14ac:dyDescent="0.2">
      <c r="B48" s="3"/>
      <c r="C48" s="230" t="s">
        <v>289</v>
      </c>
      <c r="D48" s="87"/>
      <c r="E48" s="87"/>
      <c r="F48" s="87"/>
    </row>
    <row r="49" spans="1:16" ht="14.25" x14ac:dyDescent="0.2">
      <c r="B49" s="3"/>
      <c r="C49" s="28" t="s">
        <v>207</v>
      </c>
      <c r="D49" s="47">
        <v>6</v>
      </c>
      <c r="E49" s="93">
        <v>6</v>
      </c>
      <c r="F49" s="93">
        <v>6</v>
      </c>
    </row>
    <row r="50" spans="1:16" ht="14.25" x14ac:dyDescent="0.2">
      <c r="B50" s="3"/>
      <c r="C50" s="28" t="s">
        <v>208</v>
      </c>
      <c r="D50" s="47">
        <v>4</v>
      </c>
      <c r="E50" s="93">
        <v>4</v>
      </c>
      <c r="F50" s="93">
        <v>4</v>
      </c>
    </row>
    <row r="51" spans="1:16" ht="14.25" x14ac:dyDescent="0.2">
      <c r="B51" s="3"/>
      <c r="C51" s="109" t="s">
        <v>204</v>
      </c>
      <c r="D51" s="96">
        <v>0.6</v>
      </c>
      <c r="E51" s="97">
        <v>0.6</v>
      </c>
      <c r="F51" s="97">
        <v>0.6</v>
      </c>
    </row>
    <row r="52" spans="1:16" ht="14.25" x14ac:dyDescent="0.2">
      <c r="B52" s="3"/>
      <c r="C52" s="110" t="s">
        <v>205</v>
      </c>
      <c r="D52" s="103">
        <v>0.4</v>
      </c>
      <c r="E52" s="108">
        <v>0.4</v>
      </c>
      <c r="F52" s="108">
        <v>0.4</v>
      </c>
    </row>
    <row r="53" spans="1:16" ht="14.25" x14ac:dyDescent="0.2">
      <c r="B53" s="3"/>
      <c r="C53" s="28" t="s">
        <v>322</v>
      </c>
      <c r="D53" s="211">
        <v>15</v>
      </c>
      <c r="E53" s="212">
        <v>15</v>
      </c>
      <c r="F53" s="212">
        <v>15</v>
      </c>
    </row>
    <row r="54" spans="1:16" ht="14.25" x14ac:dyDescent="0.2">
      <c r="B54" s="3"/>
      <c r="C54" s="28" t="s">
        <v>321</v>
      </c>
      <c r="D54" s="211">
        <v>3.5</v>
      </c>
      <c r="E54" s="212">
        <v>3.5</v>
      </c>
      <c r="F54" s="212">
        <v>3.5</v>
      </c>
    </row>
    <row r="55" spans="1:16" ht="14.25" x14ac:dyDescent="0.2">
      <c r="B55" s="3"/>
      <c r="C55" s="229" t="s">
        <v>290</v>
      </c>
      <c r="D55" s="87"/>
      <c r="E55" s="87"/>
      <c r="F55" s="87"/>
    </row>
    <row r="56" spans="1:16" ht="14.25" x14ac:dyDescent="0.2">
      <c r="B56" s="3"/>
      <c r="C56" s="28" t="s">
        <v>210</v>
      </c>
      <c r="D56" s="47">
        <v>2</v>
      </c>
      <c r="E56" s="93">
        <v>2</v>
      </c>
      <c r="F56" s="93">
        <v>2</v>
      </c>
    </row>
    <row r="57" spans="1:16" ht="14.25" x14ac:dyDescent="0.2">
      <c r="B57" s="3"/>
      <c r="C57" s="67" t="s">
        <v>211</v>
      </c>
      <c r="D57" s="96">
        <v>0.6</v>
      </c>
      <c r="E57" s="97">
        <v>0.6</v>
      </c>
      <c r="F57" s="97">
        <v>0.6</v>
      </c>
    </row>
    <row r="58" spans="1:16" ht="14.25" x14ac:dyDescent="0.2">
      <c r="B58" s="3"/>
      <c r="C58" s="71" t="s">
        <v>212</v>
      </c>
      <c r="D58" s="73">
        <v>30</v>
      </c>
      <c r="E58" s="81">
        <v>30</v>
      </c>
      <c r="F58" s="81">
        <v>30</v>
      </c>
    </row>
    <row r="59" spans="1:16" ht="14.25" x14ac:dyDescent="0.2">
      <c r="B59" s="3"/>
      <c r="C59" s="28" t="s">
        <v>213</v>
      </c>
      <c r="D59" s="46">
        <v>0.2</v>
      </c>
      <c r="E59" s="104">
        <v>0.2</v>
      </c>
      <c r="F59" s="104">
        <v>0.2</v>
      </c>
    </row>
    <row r="60" spans="1:16" ht="14.25" x14ac:dyDescent="0.2">
      <c r="B60" s="3"/>
      <c r="C60" s="28" t="s">
        <v>288</v>
      </c>
      <c r="D60" s="46">
        <v>0.2</v>
      </c>
      <c r="E60" s="104">
        <v>0.2</v>
      </c>
      <c r="F60" s="104">
        <v>0.2</v>
      </c>
    </row>
    <row r="61" spans="1:16" ht="14.25" x14ac:dyDescent="0.2">
      <c r="A61" s="28"/>
      <c r="B61" s="28"/>
      <c r="C61" s="67" t="s">
        <v>322</v>
      </c>
      <c r="D61" s="213">
        <v>50</v>
      </c>
      <c r="E61" s="214">
        <v>50</v>
      </c>
      <c r="F61" s="214">
        <v>50</v>
      </c>
    </row>
    <row r="62" spans="1:16" ht="14.25" x14ac:dyDescent="0.2">
      <c r="A62" s="28"/>
      <c r="B62" s="28"/>
      <c r="C62" s="36" t="s">
        <v>321</v>
      </c>
      <c r="D62" s="215">
        <v>4</v>
      </c>
      <c r="E62" s="216">
        <v>4</v>
      </c>
      <c r="F62" s="216">
        <v>4</v>
      </c>
    </row>
    <row r="63" spans="1:16" s="28" customFormat="1" ht="15.75" customHeight="1" x14ac:dyDescent="0.2">
      <c r="A63" s="263"/>
      <c r="B63" s="263"/>
      <c r="C63" s="256"/>
      <c r="D63" s="259"/>
      <c r="E63" s="263"/>
      <c r="F63" s="263"/>
      <c r="G63" s="263"/>
      <c r="I63" s="280"/>
      <c r="J63" s="280"/>
      <c r="K63" s="280"/>
      <c r="L63" s="280"/>
      <c r="M63" s="280"/>
      <c r="N63" s="280"/>
      <c r="O63" s="280"/>
      <c r="P63" s="258"/>
    </row>
    <row r="64" spans="1:16" s="28" customFormat="1" ht="15.75" customHeight="1" x14ac:dyDescent="0.2">
      <c r="A64" s="263"/>
      <c r="B64" s="263"/>
      <c r="C64" s="256"/>
      <c r="D64" s="259"/>
      <c r="E64" s="263"/>
      <c r="F64" s="263"/>
      <c r="G64" s="263"/>
      <c r="I64" s="280"/>
      <c r="J64" s="280"/>
      <c r="K64" s="280"/>
      <c r="L64" s="280"/>
      <c r="M64" s="280"/>
      <c r="N64" s="280"/>
      <c r="O64" s="280"/>
      <c r="P64" s="258"/>
    </row>
    <row r="65" spans="1:16" s="28" customFormat="1" ht="15.75" customHeight="1" x14ac:dyDescent="0.2">
      <c r="A65" s="263"/>
      <c r="B65" s="263"/>
      <c r="C65" s="256"/>
      <c r="D65" s="259"/>
      <c r="E65" s="263"/>
      <c r="F65" s="263"/>
      <c r="G65" s="263"/>
      <c r="I65" s="280"/>
      <c r="J65" s="280"/>
      <c r="K65" s="280"/>
      <c r="L65" s="280"/>
      <c r="M65" s="280"/>
      <c r="N65" s="280"/>
      <c r="O65" s="280"/>
      <c r="P65" s="258"/>
    </row>
    <row r="66" spans="1:16" s="28" customFormat="1" ht="15.75" customHeight="1" x14ac:dyDescent="0.2">
      <c r="A66" s="263"/>
      <c r="B66" s="263"/>
      <c r="C66" s="256"/>
      <c r="D66" s="259"/>
      <c r="E66" s="263"/>
      <c r="F66" s="263"/>
      <c r="G66" s="263"/>
      <c r="I66" s="280"/>
      <c r="J66" s="280"/>
      <c r="K66" s="280"/>
      <c r="L66" s="280"/>
      <c r="M66" s="280"/>
      <c r="N66" s="280"/>
      <c r="O66" s="280"/>
      <c r="P66" s="258"/>
    </row>
    <row r="67" spans="1:16" s="28" customFormat="1" ht="15.75" customHeight="1" x14ac:dyDescent="0.2">
      <c r="A67" s="263"/>
      <c r="B67" s="263"/>
      <c r="C67" s="256"/>
      <c r="D67" s="259"/>
      <c r="E67" s="263"/>
      <c r="F67" s="263"/>
      <c r="G67" s="263"/>
      <c r="I67" s="280"/>
      <c r="J67" s="280"/>
      <c r="K67" s="280"/>
      <c r="L67" s="280"/>
      <c r="M67" s="280"/>
      <c r="N67" s="280"/>
      <c r="O67" s="280"/>
      <c r="P67" s="258"/>
    </row>
    <row r="68" spans="1:16" s="28" customFormat="1" ht="15.75" customHeight="1" x14ac:dyDescent="0.2">
      <c r="A68" s="263"/>
      <c r="B68" s="263"/>
      <c r="C68" s="256"/>
      <c r="D68" s="259"/>
      <c r="E68" s="263"/>
      <c r="F68" s="263"/>
      <c r="G68" s="263"/>
      <c r="I68" s="280"/>
      <c r="J68" s="280"/>
      <c r="K68" s="280"/>
      <c r="L68" s="280"/>
      <c r="M68" s="280"/>
      <c r="N68" s="280"/>
      <c r="O68" s="280"/>
      <c r="P68" s="258"/>
    </row>
    <row r="69" spans="1:16" s="28" customFormat="1" ht="12.75" x14ac:dyDescent="0.2">
      <c r="A69" s="255"/>
      <c r="B69" s="255"/>
      <c r="C69" s="255"/>
      <c r="D69" s="255"/>
      <c r="E69" s="255"/>
      <c r="F69" s="255"/>
      <c r="G69" s="255"/>
      <c r="I69" s="280"/>
      <c r="J69" s="280"/>
      <c r="K69" s="280"/>
      <c r="L69" s="280"/>
      <c r="M69" s="280"/>
      <c r="N69" s="280"/>
      <c r="O69" s="280"/>
      <c r="P69" s="254"/>
    </row>
    <row r="70" spans="1:16" s="28" customFormat="1" ht="12.75" x14ac:dyDescent="0.2">
      <c r="A70" s="255"/>
      <c r="B70" s="255"/>
      <c r="C70" s="255"/>
      <c r="D70" s="255"/>
      <c r="E70" s="255"/>
      <c r="F70" s="255"/>
      <c r="G70" s="255"/>
      <c r="I70" s="280"/>
      <c r="J70" s="280"/>
      <c r="K70" s="280"/>
      <c r="L70" s="280"/>
      <c r="M70" s="280"/>
      <c r="N70" s="280"/>
      <c r="O70" s="280"/>
      <c r="P70" s="254"/>
    </row>
    <row r="71" spans="1:16" s="28" customFormat="1" ht="12.75" x14ac:dyDescent="0.2">
      <c r="A71" s="255"/>
      <c r="B71" s="255"/>
      <c r="C71" s="255"/>
      <c r="D71" s="255"/>
      <c r="E71" s="255"/>
      <c r="F71" s="255"/>
      <c r="G71" s="255"/>
      <c r="I71" s="280"/>
      <c r="J71" s="280"/>
      <c r="K71" s="280"/>
      <c r="L71" s="280"/>
      <c r="M71" s="280"/>
      <c r="N71" s="280"/>
      <c r="O71" s="280"/>
      <c r="P71" s="254"/>
    </row>
    <row r="72" spans="1:16" s="28" customFormat="1" ht="12.75" x14ac:dyDescent="0.2">
      <c r="A72" s="255"/>
      <c r="B72" s="255"/>
      <c r="C72" s="255"/>
      <c r="D72" s="255"/>
      <c r="E72" s="255"/>
      <c r="F72" s="255"/>
      <c r="G72" s="255"/>
      <c r="I72" s="280"/>
      <c r="J72" s="280"/>
      <c r="K72" s="280"/>
      <c r="L72" s="280"/>
      <c r="M72" s="280"/>
      <c r="N72" s="280"/>
      <c r="O72" s="280"/>
      <c r="P72" s="254"/>
    </row>
    <row r="73" spans="1:16" s="28" customFormat="1" ht="12.75" x14ac:dyDescent="0.2">
      <c r="A73" s="255"/>
      <c r="B73" s="255"/>
      <c r="C73" s="255"/>
      <c r="D73" s="255"/>
      <c r="E73" s="255"/>
      <c r="F73" s="255"/>
      <c r="G73" s="255"/>
      <c r="I73" s="280"/>
      <c r="J73" s="280"/>
      <c r="K73" s="280"/>
      <c r="L73" s="280"/>
      <c r="M73" s="280"/>
      <c r="N73" s="280"/>
      <c r="O73" s="280"/>
      <c r="P73" s="254"/>
    </row>
    <row r="74" spans="1:16" s="28" customFormat="1" ht="12.75" x14ac:dyDescent="0.2">
      <c r="A74" s="255"/>
      <c r="B74" s="255"/>
      <c r="C74" s="255"/>
      <c r="D74" s="255"/>
      <c r="E74" s="255"/>
      <c r="F74" s="255"/>
      <c r="G74" s="255"/>
      <c r="I74" s="280"/>
      <c r="J74" s="280"/>
      <c r="K74" s="280"/>
      <c r="L74" s="280"/>
      <c r="M74" s="280"/>
      <c r="N74" s="280"/>
      <c r="O74" s="280"/>
      <c r="P74" s="254"/>
    </row>
    <row r="75" spans="1:16" s="28" customFormat="1" ht="12.75" x14ac:dyDescent="0.2">
      <c r="A75" s="255"/>
      <c r="B75" s="255"/>
      <c r="C75" s="255"/>
      <c r="D75" s="255"/>
      <c r="E75" s="255"/>
      <c r="F75" s="255"/>
      <c r="G75" s="255"/>
      <c r="I75" s="280"/>
      <c r="J75" s="280"/>
      <c r="K75" s="280"/>
      <c r="L75" s="280"/>
      <c r="M75" s="280"/>
      <c r="N75" s="280"/>
      <c r="O75" s="280"/>
      <c r="P75" s="254"/>
    </row>
    <row r="76" spans="1:16" s="28" customFormat="1" ht="12.75" x14ac:dyDescent="0.2">
      <c r="A76" s="255"/>
      <c r="B76" s="255"/>
      <c r="C76" s="255"/>
      <c r="D76" s="255"/>
      <c r="E76" s="255"/>
      <c r="F76" s="255"/>
      <c r="G76" s="255"/>
      <c r="I76" s="280"/>
      <c r="J76" s="280"/>
      <c r="K76" s="280"/>
      <c r="L76" s="280"/>
      <c r="M76" s="280"/>
      <c r="N76" s="280"/>
      <c r="O76" s="280"/>
      <c r="P76" s="254"/>
    </row>
    <row r="77" spans="1:16" s="28" customFormat="1" ht="12.75" x14ac:dyDescent="0.2">
      <c r="A77" s="255"/>
      <c r="B77" s="255"/>
      <c r="C77" s="255"/>
      <c r="D77" s="255"/>
      <c r="E77" s="255"/>
      <c r="F77" s="255"/>
      <c r="G77" s="255"/>
      <c r="I77" s="280"/>
      <c r="J77" s="280"/>
      <c r="K77" s="280"/>
      <c r="L77" s="280"/>
      <c r="M77" s="280"/>
      <c r="N77" s="280"/>
      <c r="O77" s="280"/>
      <c r="P77" s="254"/>
    </row>
    <row r="78" spans="1:16" s="28" customFormat="1" ht="12.75" x14ac:dyDescent="0.2">
      <c r="A78" s="255"/>
      <c r="B78" s="255"/>
      <c r="C78" s="255"/>
      <c r="D78" s="255"/>
      <c r="E78" s="255"/>
      <c r="F78" s="255"/>
      <c r="G78" s="255"/>
      <c r="I78" s="280"/>
      <c r="J78" s="280"/>
      <c r="K78" s="280"/>
      <c r="L78" s="280"/>
      <c r="M78" s="280"/>
      <c r="N78" s="280"/>
      <c r="O78" s="280"/>
      <c r="P78" s="254"/>
    </row>
    <row r="79" spans="1:16" s="28" customFormat="1" ht="12.75" x14ac:dyDescent="0.2">
      <c r="A79" s="255"/>
      <c r="B79" s="255"/>
      <c r="C79" s="255"/>
      <c r="D79" s="255"/>
      <c r="E79" s="255"/>
      <c r="F79" s="255"/>
      <c r="G79" s="255"/>
      <c r="I79" s="280"/>
      <c r="J79" s="280"/>
      <c r="K79" s="280"/>
      <c r="L79" s="280"/>
      <c r="M79" s="280"/>
      <c r="N79" s="280"/>
      <c r="O79" s="280"/>
      <c r="P79" s="254"/>
    </row>
    <row r="80" spans="1:16" s="28" customFormat="1" ht="15.75" x14ac:dyDescent="0.25">
      <c r="A80" s="255"/>
      <c r="B80" s="315"/>
      <c r="C80" s="316" t="e">
        <f>B1</f>
        <v>#REF!</v>
      </c>
      <c r="D80" s="315"/>
      <c r="E80" s="315"/>
      <c r="F80" s="315"/>
      <c r="G80" s="315"/>
      <c r="H80" s="317"/>
      <c r="I80" s="318"/>
      <c r="J80" s="318"/>
      <c r="K80" s="318"/>
      <c r="L80" s="318"/>
      <c r="M80" s="318"/>
      <c r="N80" s="318"/>
      <c r="O80" s="318"/>
      <c r="P80" s="254"/>
    </row>
    <row r="81" spans="1:16" ht="15.75" x14ac:dyDescent="0.25">
      <c r="A81" s="246"/>
      <c r="B81" s="303" t="s">
        <v>346</v>
      </c>
      <c r="C81" s="304" t="s">
        <v>369</v>
      </c>
      <c r="D81" s="305" t="s">
        <v>370</v>
      </c>
      <c r="E81" s="306"/>
      <c r="F81" s="306" t="s">
        <v>392</v>
      </c>
      <c r="G81" s="306"/>
      <c r="H81" s="306"/>
      <c r="I81" s="307"/>
      <c r="J81" s="307" t="s">
        <v>391</v>
      </c>
      <c r="K81" s="307"/>
      <c r="L81" s="279"/>
      <c r="M81" s="307"/>
      <c r="N81" s="307" t="s">
        <v>369</v>
      </c>
      <c r="O81" s="307"/>
    </row>
    <row r="82" spans="1:16" ht="15.75" x14ac:dyDescent="0.25">
      <c r="A82" s="246"/>
      <c r="B82" s="266"/>
      <c r="C82" s="264"/>
      <c r="D82" s="266"/>
      <c r="E82" s="267" t="s">
        <v>371</v>
      </c>
      <c r="F82" s="267" t="s">
        <v>372</v>
      </c>
      <c r="G82" s="267" t="s">
        <v>373</v>
      </c>
      <c r="I82" s="281" t="s">
        <v>371</v>
      </c>
      <c r="J82" s="281" t="s">
        <v>372</v>
      </c>
      <c r="K82" s="281" t="s">
        <v>373</v>
      </c>
      <c r="L82" s="278"/>
      <c r="M82" s="293" t="s">
        <v>371</v>
      </c>
      <c r="N82" s="293" t="s">
        <v>372</v>
      </c>
      <c r="O82" s="293" t="s">
        <v>373</v>
      </c>
      <c r="P82" s="254"/>
    </row>
    <row r="83" spans="1:16" ht="14.25" x14ac:dyDescent="0.2">
      <c r="A83" s="246"/>
      <c r="B83" s="275"/>
      <c r="C83" s="276" t="s">
        <v>374</v>
      </c>
      <c r="D83" s="277"/>
      <c r="E83" s="57"/>
      <c r="F83" s="57"/>
      <c r="G83" s="57"/>
      <c r="H83" s="57"/>
      <c r="I83" s="282"/>
      <c r="J83" s="282"/>
      <c r="K83" s="282"/>
      <c r="L83" s="282"/>
      <c r="M83" s="294">
        <f>SUM(M84:M84)</f>
        <v>0</v>
      </c>
      <c r="N83" s="294">
        <f>SUM(N84:N84)</f>
        <v>0</v>
      </c>
      <c r="O83" s="294">
        <f>SUM(O84:O84)</f>
        <v>0</v>
      </c>
    </row>
    <row r="84" spans="1:16" ht="14.25" x14ac:dyDescent="0.2">
      <c r="A84" s="246"/>
      <c r="B84" s="253"/>
      <c r="C84" s="30" t="s">
        <v>394</v>
      </c>
      <c r="D84" s="41"/>
      <c r="E84" s="270"/>
      <c r="F84" s="270"/>
      <c r="G84" s="270"/>
      <c r="H84" s="28"/>
      <c r="I84" s="283"/>
      <c r="J84" s="283"/>
      <c r="K84" s="283"/>
      <c r="L84" s="280"/>
      <c r="M84" s="295">
        <f>E84*I84</f>
        <v>0</v>
      </c>
      <c r="N84" s="295">
        <f t="shared" ref="N84:O84" si="0">F84*J84</f>
        <v>0</v>
      </c>
      <c r="O84" s="295">
        <f t="shared" si="0"/>
        <v>0</v>
      </c>
    </row>
    <row r="85" spans="1:16" ht="14.25" x14ac:dyDescent="0.2">
      <c r="A85" s="246"/>
      <c r="B85" s="275"/>
      <c r="C85" s="276" t="s">
        <v>378</v>
      </c>
      <c r="D85" s="277"/>
      <c r="E85" s="57"/>
      <c r="F85" s="57"/>
      <c r="G85" s="57"/>
      <c r="H85" s="57"/>
      <c r="I85" s="282"/>
      <c r="J85" s="282"/>
      <c r="K85" s="282"/>
      <c r="L85" s="282"/>
      <c r="M85" s="296"/>
      <c r="N85" s="296"/>
      <c r="O85" s="296"/>
    </row>
    <row r="86" spans="1:16" ht="14.25" x14ac:dyDescent="0.2">
      <c r="A86" s="246"/>
      <c r="B86" s="268"/>
      <c r="C86" s="274" t="s">
        <v>375</v>
      </c>
      <c r="D86" s="269"/>
      <c r="E86" s="61"/>
      <c r="F86" s="61"/>
      <c r="G86" s="61"/>
      <c r="H86" s="61"/>
      <c r="I86" s="284"/>
      <c r="J86" s="284"/>
      <c r="K86" s="284"/>
      <c r="L86" s="284"/>
      <c r="M86" s="298">
        <f>SUM(M87:M87)</f>
        <v>0</v>
      </c>
      <c r="N86" s="298">
        <f>SUM(N87:N87)</f>
        <v>0</v>
      </c>
      <c r="O86" s="298">
        <f>SUM(O87:O87)</f>
        <v>0</v>
      </c>
    </row>
    <row r="87" spans="1:16" ht="14.25" x14ac:dyDescent="0.2">
      <c r="B87" s="253"/>
      <c r="C87" s="30" t="s">
        <v>394</v>
      </c>
      <c r="D87" s="41"/>
      <c r="E87" s="270"/>
      <c r="F87" s="270"/>
      <c r="G87" s="270"/>
      <c r="H87" s="28"/>
      <c r="I87" s="283"/>
      <c r="J87" s="283"/>
      <c r="K87" s="283"/>
      <c r="L87" s="280"/>
      <c r="M87" s="285">
        <f>E87*I87</f>
        <v>0</v>
      </c>
      <c r="N87" s="285">
        <f t="shared" ref="N87:O87" si="1">F87*J87</f>
        <v>0</v>
      </c>
      <c r="O87" s="285">
        <f t="shared" si="1"/>
        <v>0</v>
      </c>
    </row>
    <row r="88" spans="1:16" ht="14.25" x14ac:dyDescent="0.2">
      <c r="B88" s="268"/>
      <c r="C88" s="274" t="s">
        <v>376</v>
      </c>
      <c r="D88" s="269"/>
      <c r="E88" s="61"/>
      <c r="F88" s="61"/>
      <c r="G88" s="61"/>
      <c r="H88" s="61"/>
      <c r="I88" s="284"/>
      <c r="J88" s="284"/>
      <c r="K88" s="284"/>
      <c r="L88" s="284"/>
      <c r="M88" s="298">
        <f>SUM(M89:M89)</f>
        <v>0</v>
      </c>
      <c r="N88" s="298">
        <f>SUM(N89:N89)</f>
        <v>0</v>
      </c>
      <c r="O88" s="298">
        <f>SUM(O89:O89)</f>
        <v>0</v>
      </c>
    </row>
    <row r="89" spans="1:16" ht="14.25" x14ac:dyDescent="0.2">
      <c r="B89" s="253"/>
      <c r="C89" s="30" t="s">
        <v>394</v>
      </c>
      <c r="D89" s="41"/>
      <c r="E89" s="270"/>
      <c r="F89" s="270"/>
      <c r="G89" s="270"/>
      <c r="H89" s="28"/>
      <c r="I89" s="283"/>
      <c r="J89" s="283"/>
      <c r="K89" s="283"/>
      <c r="L89" s="280"/>
      <c r="M89" s="285">
        <f>E89*I89</f>
        <v>0</v>
      </c>
      <c r="N89" s="285">
        <f t="shared" ref="N89" si="2">F89*J89</f>
        <v>0</v>
      </c>
      <c r="O89" s="285">
        <f>G89*K89</f>
        <v>0</v>
      </c>
    </row>
    <row r="90" spans="1:16" ht="14.25" x14ac:dyDescent="0.2">
      <c r="B90" s="268"/>
      <c r="C90" s="274" t="s">
        <v>379</v>
      </c>
      <c r="D90" s="269"/>
      <c r="E90" s="61"/>
      <c r="F90" s="61"/>
      <c r="G90" s="61"/>
      <c r="H90" s="61"/>
      <c r="I90" s="284"/>
      <c r="J90" s="284"/>
      <c r="K90" s="284"/>
      <c r="L90" s="284"/>
      <c r="M90" s="298">
        <f>SUM(M91:M91)</f>
        <v>0</v>
      </c>
      <c r="N90" s="298">
        <f>SUM(N91:N91)</f>
        <v>0</v>
      </c>
      <c r="O90" s="298">
        <f>SUM(O91:O91)</f>
        <v>0</v>
      </c>
    </row>
    <row r="91" spans="1:16" ht="14.25" x14ac:dyDescent="0.2">
      <c r="B91" s="253"/>
      <c r="C91" s="30" t="s">
        <v>394</v>
      </c>
      <c r="D91" s="41"/>
      <c r="E91" s="270"/>
      <c r="F91" s="270"/>
      <c r="G91" s="270"/>
      <c r="H91" s="28"/>
      <c r="I91" s="283"/>
      <c r="J91" s="283"/>
      <c r="K91" s="283"/>
      <c r="L91" s="280"/>
      <c r="M91" s="285">
        <f>E91*I91</f>
        <v>0</v>
      </c>
      <c r="N91" s="285">
        <f t="shared" ref="N91" si="3">F91*J91</f>
        <v>0</v>
      </c>
      <c r="O91" s="285">
        <f>G91*K91</f>
        <v>0</v>
      </c>
    </row>
    <row r="92" spans="1:16" ht="14.25" x14ac:dyDescent="0.2">
      <c r="B92" s="271"/>
      <c r="C92" s="274" t="s">
        <v>380</v>
      </c>
      <c r="D92" s="272"/>
      <c r="E92" s="61"/>
      <c r="F92" s="61"/>
      <c r="G92" s="61"/>
      <c r="H92" s="61"/>
      <c r="I92" s="284"/>
      <c r="J92" s="284"/>
      <c r="K92" s="284"/>
      <c r="L92" s="284"/>
      <c r="M92" s="298">
        <f>SUM(M93:M93)</f>
        <v>0</v>
      </c>
      <c r="N92" s="298">
        <f>SUM(N93:N93)</f>
        <v>0</v>
      </c>
      <c r="O92" s="298">
        <f>SUM(O93:O93)</f>
        <v>0</v>
      </c>
    </row>
    <row r="93" spans="1:16" ht="14.25" x14ac:dyDescent="0.2">
      <c r="B93" s="253"/>
      <c r="C93" s="30" t="s">
        <v>394</v>
      </c>
      <c r="D93" s="41"/>
      <c r="E93" s="270"/>
      <c r="F93" s="270"/>
      <c r="G93" s="270"/>
      <c r="H93" s="28"/>
      <c r="I93" s="283"/>
      <c r="J93" s="283"/>
      <c r="K93" s="283"/>
      <c r="L93" s="280"/>
      <c r="M93" s="285">
        <f>E93*I93</f>
        <v>0</v>
      </c>
      <c r="N93" s="285">
        <f t="shared" ref="N93" si="4">F93*J93</f>
        <v>0</v>
      </c>
      <c r="O93" s="285">
        <f>G93*K93</f>
        <v>0</v>
      </c>
    </row>
    <row r="94" spans="1:16" ht="14.25" x14ac:dyDescent="0.2">
      <c r="B94" s="271"/>
      <c r="C94" s="274" t="s">
        <v>381</v>
      </c>
      <c r="D94" s="272"/>
      <c r="E94" s="61"/>
      <c r="F94" s="61"/>
      <c r="G94" s="61"/>
      <c r="H94" s="61"/>
      <c r="I94" s="284"/>
      <c r="J94" s="284"/>
      <c r="K94" s="284"/>
      <c r="L94" s="284"/>
      <c r="M94" s="298">
        <f>SUM(M95:M95)</f>
        <v>0</v>
      </c>
      <c r="N94" s="298">
        <f>SUM(N95:N95)</f>
        <v>0</v>
      </c>
      <c r="O94" s="298">
        <f>SUM(O95:O95)</f>
        <v>0</v>
      </c>
    </row>
    <row r="95" spans="1:16" ht="14.25" x14ac:dyDescent="0.2">
      <c r="B95" s="253"/>
      <c r="C95" s="30" t="s">
        <v>394</v>
      </c>
      <c r="D95" s="41"/>
      <c r="E95" s="270"/>
      <c r="F95" s="270"/>
      <c r="G95" s="270"/>
      <c r="H95" s="28"/>
      <c r="I95" s="283"/>
      <c r="J95" s="283"/>
      <c r="K95" s="283"/>
      <c r="L95" s="280"/>
      <c r="M95" s="285">
        <f>E95*I95</f>
        <v>0</v>
      </c>
      <c r="N95" s="285">
        <f>F95*J95</f>
        <v>0</v>
      </c>
      <c r="O95" s="285">
        <f>G95*K95</f>
        <v>0</v>
      </c>
    </row>
    <row r="96" spans="1:16" ht="14.25" x14ac:dyDescent="0.2">
      <c r="B96" s="268"/>
      <c r="C96" s="274" t="s">
        <v>377</v>
      </c>
      <c r="D96" s="269"/>
      <c r="E96" s="61"/>
      <c r="F96" s="61"/>
      <c r="G96" s="61"/>
      <c r="H96" s="61"/>
      <c r="I96" s="284"/>
      <c r="J96" s="284"/>
      <c r="K96" s="284"/>
      <c r="L96" s="284"/>
      <c r="M96" s="298">
        <f>SUM(M97:M97)</f>
        <v>0</v>
      </c>
      <c r="N96" s="298">
        <f>SUM(N97:N97)</f>
        <v>0</v>
      </c>
      <c r="O96" s="298">
        <f>SUM(O97:O97)</f>
        <v>0</v>
      </c>
    </row>
    <row r="97" spans="1:15" ht="14.25" x14ac:dyDescent="0.2">
      <c r="B97" s="253"/>
      <c r="C97" s="30" t="s">
        <v>394</v>
      </c>
      <c r="D97" s="41"/>
      <c r="E97" s="270"/>
      <c r="F97" s="270"/>
      <c r="G97" s="270"/>
      <c r="H97" s="28"/>
      <c r="I97" s="283"/>
      <c r="J97" s="283"/>
      <c r="K97" s="283"/>
      <c r="L97" s="280"/>
      <c r="M97" s="285">
        <f>E97*I97</f>
        <v>0</v>
      </c>
      <c r="N97" s="285">
        <f t="shared" ref="N97" si="5">F97*J97</f>
        <v>0</v>
      </c>
      <c r="O97" s="285">
        <f>G97*K97</f>
        <v>0</v>
      </c>
    </row>
    <row r="98" spans="1:15" ht="14.25" x14ac:dyDescent="0.2">
      <c r="B98" s="268"/>
      <c r="C98" s="274" t="s">
        <v>382</v>
      </c>
      <c r="D98" s="269"/>
      <c r="E98" s="61"/>
      <c r="F98" s="61"/>
      <c r="G98" s="61"/>
      <c r="H98" s="61"/>
      <c r="I98" s="284"/>
      <c r="J98" s="284"/>
      <c r="K98" s="284"/>
      <c r="L98" s="284"/>
      <c r="M98" s="298">
        <f>SUM(M99:M99)</f>
        <v>0</v>
      </c>
      <c r="N98" s="298">
        <f>SUM(N99:N99)</f>
        <v>0</v>
      </c>
      <c r="O98" s="298">
        <f>SUM(O99:O99)</f>
        <v>0</v>
      </c>
    </row>
    <row r="99" spans="1:15" ht="14.25" x14ac:dyDescent="0.2">
      <c r="B99" s="253"/>
      <c r="C99" s="30" t="s">
        <v>394</v>
      </c>
      <c r="D99" s="41"/>
      <c r="E99" s="270"/>
      <c r="F99" s="270"/>
      <c r="G99" s="270"/>
      <c r="H99" s="28"/>
      <c r="I99" s="283"/>
      <c r="J99" s="283"/>
      <c r="K99" s="283"/>
      <c r="L99" s="280"/>
      <c r="M99" s="285">
        <f>E99*I99</f>
        <v>0</v>
      </c>
      <c r="N99" s="285">
        <f t="shared" ref="N99" si="6">F99*J99</f>
        <v>0</v>
      </c>
      <c r="O99" s="285">
        <f>G99*K99</f>
        <v>0</v>
      </c>
    </row>
    <row r="100" spans="1:15" ht="14.25" x14ac:dyDescent="0.2">
      <c r="A100" s="246"/>
      <c r="B100" s="275"/>
      <c r="C100" s="276" t="s">
        <v>383</v>
      </c>
      <c r="D100" s="277"/>
      <c r="E100" s="57"/>
      <c r="F100" s="57"/>
      <c r="G100" s="57"/>
      <c r="H100" s="57"/>
      <c r="I100" s="282"/>
      <c r="J100" s="282"/>
      <c r="K100" s="282"/>
      <c r="L100" s="282"/>
      <c r="M100" s="296"/>
      <c r="N100" s="296"/>
      <c r="O100" s="296"/>
    </row>
    <row r="101" spans="1:15" ht="14.25" x14ac:dyDescent="0.2">
      <c r="B101" s="271"/>
      <c r="C101" s="274" t="s">
        <v>384</v>
      </c>
      <c r="D101" s="272"/>
      <c r="E101" s="61"/>
      <c r="F101" s="61"/>
      <c r="G101" s="61"/>
      <c r="H101" s="61"/>
      <c r="I101" s="284"/>
      <c r="J101" s="284"/>
      <c r="K101" s="284"/>
      <c r="L101" s="284"/>
      <c r="M101" s="298">
        <f>SUM(M102:M102)</f>
        <v>0</v>
      </c>
      <c r="N101" s="298">
        <f>SUM(N102:N102)</f>
        <v>0</v>
      </c>
      <c r="O101" s="298">
        <f>SUM(O102:O102)</f>
        <v>0</v>
      </c>
    </row>
    <row r="102" spans="1:15" ht="14.25" x14ac:dyDescent="0.2">
      <c r="B102" s="253"/>
      <c r="C102" s="30" t="s">
        <v>394</v>
      </c>
      <c r="D102" s="41"/>
      <c r="E102" s="270"/>
      <c r="F102" s="270"/>
      <c r="G102" s="270"/>
      <c r="H102" s="28"/>
      <c r="I102" s="283"/>
      <c r="J102" s="283"/>
      <c r="K102" s="283"/>
      <c r="L102" s="280"/>
      <c r="M102" s="285">
        <f>E102*I102</f>
        <v>0</v>
      </c>
      <c r="N102" s="285">
        <f t="shared" ref="N102" si="7">F102*J102</f>
        <v>0</v>
      </c>
      <c r="O102" s="285">
        <f>G102*K102</f>
        <v>0</v>
      </c>
    </row>
    <row r="103" spans="1:15" ht="14.25" x14ac:dyDescent="0.2">
      <c r="B103" s="271"/>
      <c r="C103" s="274" t="s">
        <v>385</v>
      </c>
      <c r="D103" s="272"/>
      <c r="E103" s="61"/>
      <c r="F103" s="61"/>
      <c r="G103" s="61"/>
      <c r="H103" s="61"/>
      <c r="I103" s="284"/>
      <c r="J103" s="284"/>
      <c r="K103" s="284"/>
      <c r="L103" s="284"/>
      <c r="M103" s="298">
        <f>SUM(M104:M104)</f>
        <v>0</v>
      </c>
      <c r="N103" s="298">
        <f>SUM(N104:N104)</f>
        <v>0</v>
      </c>
      <c r="O103" s="298">
        <f>SUM(O104:O104)</f>
        <v>0</v>
      </c>
    </row>
    <row r="104" spans="1:15" ht="14.25" x14ac:dyDescent="0.2">
      <c r="B104" s="253"/>
      <c r="C104" s="30" t="s">
        <v>394</v>
      </c>
      <c r="D104" s="41"/>
      <c r="E104" s="270"/>
      <c r="F104" s="270"/>
      <c r="G104" s="270"/>
      <c r="H104" s="28"/>
      <c r="I104" s="283"/>
      <c r="J104" s="283"/>
      <c r="K104" s="283"/>
      <c r="L104" s="280"/>
      <c r="M104" s="285">
        <f>E104*I104</f>
        <v>0</v>
      </c>
      <c r="N104" s="285">
        <f t="shared" ref="N104" si="8">F104*J104</f>
        <v>0</v>
      </c>
      <c r="O104" s="285">
        <f>G104*K104</f>
        <v>0</v>
      </c>
    </row>
    <row r="105" spans="1:15" ht="14.25" x14ac:dyDescent="0.2">
      <c r="A105" s="246"/>
      <c r="B105" s="288"/>
      <c r="C105" s="289" t="s">
        <v>386</v>
      </c>
      <c r="D105" s="290"/>
      <c r="E105" s="291"/>
      <c r="F105" s="291"/>
      <c r="G105" s="291"/>
      <c r="H105" s="291"/>
      <c r="I105" s="292"/>
      <c r="J105" s="292"/>
      <c r="K105" s="292"/>
      <c r="L105" s="292"/>
      <c r="M105" s="297"/>
      <c r="N105" s="297"/>
      <c r="O105" s="297"/>
    </row>
    <row r="106" spans="1:15" ht="14.25" x14ac:dyDescent="0.2">
      <c r="B106" s="271"/>
      <c r="C106" s="274" t="s">
        <v>387</v>
      </c>
      <c r="D106" s="272"/>
      <c r="E106" s="61"/>
      <c r="F106" s="61"/>
      <c r="G106" s="61"/>
      <c r="H106" s="61"/>
      <c r="I106" s="284"/>
      <c r="J106" s="284"/>
      <c r="K106" s="284"/>
      <c r="L106" s="284"/>
      <c r="M106" s="298">
        <f>SUM(M107:M107)</f>
        <v>0</v>
      </c>
      <c r="N106" s="298">
        <f>SUM(N107:N107)</f>
        <v>0</v>
      </c>
      <c r="O106" s="298">
        <f>SUM(O107:O107)</f>
        <v>0</v>
      </c>
    </row>
    <row r="107" spans="1:15" ht="14.25" x14ac:dyDescent="0.2">
      <c r="B107" s="253"/>
      <c r="C107" s="30" t="s">
        <v>394</v>
      </c>
      <c r="D107" s="41"/>
      <c r="E107" s="270"/>
      <c r="F107" s="270"/>
      <c r="G107" s="270"/>
      <c r="H107" s="28"/>
      <c r="I107" s="283"/>
      <c r="J107" s="283"/>
      <c r="K107" s="283"/>
      <c r="L107" s="280"/>
      <c r="M107" s="285">
        <f>E107*I107</f>
        <v>0</v>
      </c>
      <c r="N107" s="285">
        <f t="shared" ref="N107" si="9">F107*J107</f>
        <v>0</v>
      </c>
      <c r="O107" s="285">
        <f>G107*K107</f>
        <v>0</v>
      </c>
    </row>
    <row r="108" spans="1:15" ht="14.25" x14ac:dyDescent="0.2">
      <c r="B108" s="271"/>
      <c r="C108" s="274" t="s">
        <v>388</v>
      </c>
      <c r="D108" s="272"/>
      <c r="E108" s="61"/>
      <c r="F108" s="61"/>
      <c r="G108" s="61"/>
      <c r="H108" s="61"/>
      <c r="I108" s="284"/>
      <c r="J108" s="284"/>
      <c r="K108" s="284"/>
      <c r="L108" s="284"/>
      <c r="M108" s="298">
        <f>SUM(M109:M109)</f>
        <v>0</v>
      </c>
      <c r="N108" s="298">
        <f>SUM(N109:N109)</f>
        <v>0</v>
      </c>
      <c r="O108" s="298">
        <f>SUM(O109:O109)</f>
        <v>0</v>
      </c>
    </row>
    <row r="109" spans="1:15" ht="14.25" x14ac:dyDescent="0.2">
      <c r="B109" s="253"/>
      <c r="C109" s="30" t="s">
        <v>394</v>
      </c>
      <c r="D109" s="41"/>
      <c r="E109" s="270"/>
      <c r="F109" s="270"/>
      <c r="G109" s="270"/>
      <c r="H109" s="28"/>
      <c r="I109" s="283"/>
      <c r="J109" s="283"/>
      <c r="K109" s="283"/>
      <c r="L109" s="280"/>
      <c r="M109" s="285">
        <f>E109*I109</f>
        <v>0</v>
      </c>
      <c r="N109" s="285">
        <f t="shared" ref="N109" si="10">F109*J109</f>
        <v>0</v>
      </c>
      <c r="O109" s="285">
        <f>G109*K109</f>
        <v>0</v>
      </c>
    </row>
    <row r="110" spans="1:15" ht="14.25" x14ac:dyDescent="0.2">
      <c r="B110" s="273"/>
      <c r="C110" s="3"/>
      <c r="D110" s="3"/>
      <c r="E110" s="3"/>
      <c r="I110" s="278"/>
      <c r="J110" s="278"/>
      <c r="K110" s="278"/>
      <c r="L110" s="278"/>
      <c r="M110" s="278"/>
      <c r="N110" s="278"/>
      <c r="O110" s="278"/>
    </row>
    <row r="111" spans="1:15" ht="15.75" thickBot="1" x14ac:dyDescent="0.3">
      <c r="A111" s="246"/>
      <c r="B111" s="273"/>
      <c r="C111" s="3"/>
      <c r="D111" s="3"/>
      <c r="E111" s="3"/>
      <c r="I111" s="278"/>
      <c r="J111" s="278"/>
      <c r="K111" s="278"/>
      <c r="L111" s="286" t="s">
        <v>390</v>
      </c>
      <c r="M111" s="287">
        <f>SUM(M84:M104)/2</f>
        <v>0</v>
      </c>
      <c r="N111" s="287">
        <f>SUM(N84:N104)/2</f>
        <v>0</v>
      </c>
      <c r="O111" s="287">
        <f>SUM(O84:O104)/2</f>
        <v>0</v>
      </c>
    </row>
    <row r="112" spans="1:15" ht="16.5" thickTop="1" thickBot="1" x14ac:dyDescent="0.3">
      <c r="B112" s="273"/>
      <c r="C112" s="3"/>
      <c r="D112" s="3"/>
      <c r="E112" s="3"/>
      <c r="I112" s="278"/>
      <c r="J112" s="278"/>
      <c r="K112" s="278"/>
      <c r="L112" s="286" t="s">
        <v>389</v>
      </c>
      <c r="M112" s="287">
        <f>SUM(M106:M109)/2</f>
        <v>0</v>
      </c>
      <c r="N112" s="287">
        <f>SUM(N106:N109)/2</f>
        <v>0</v>
      </c>
      <c r="O112" s="287">
        <f>SUM(O106:O109)/2</f>
        <v>0</v>
      </c>
    </row>
    <row r="113" spans="1:16" ht="15.75" thickTop="1" x14ac:dyDescent="0.25"/>
    <row r="114" spans="1:16" s="28" customFormat="1" ht="15.75" x14ac:dyDescent="0.25">
      <c r="A114" s="263"/>
      <c r="B114" s="315"/>
      <c r="C114" s="316">
        <f>B35</f>
        <v>0</v>
      </c>
      <c r="D114" s="315"/>
      <c r="E114" s="315"/>
      <c r="F114" s="315"/>
      <c r="G114" s="315"/>
      <c r="H114" s="317"/>
      <c r="I114" s="318"/>
      <c r="J114" s="318"/>
      <c r="K114" s="318"/>
      <c r="L114" s="318"/>
      <c r="M114" s="318"/>
      <c r="N114" s="318"/>
      <c r="O114" s="318"/>
      <c r="P114" s="254"/>
    </row>
    <row r="115" spans="1:16" ht="15.75" x14ac:dyDescent="0.25">
      <c r="A115" s="246"/>
      <c r="B115" s="303" t="s">
        <v>346</v>
      </c>
      <c r="C115" s="304" t="s">
        <v>369</v>
      </c>
      <c r="D115" s="305" t="s">
        <v>370</v>
      </c>
      <c r="E115" s="306"/>
      <c r="F115" s="306" t="s">
        <v>392</v>
      </c>
      <c r="G115" s="306"/>
      <c r="H115" s="306"/>
      <c r="I115" s="307"/>
      <c r="J115" s="307" t="s">
        <v>391</v>
      </c>
      <c r="K115" s="307"/>
      <c r="L115" s="279"/>
      <c r="M115" s="307"/>
      <c r="N115" s="307" t="s">
        <v>369</v>
      </c>
      <c r="O115" s="307"/>
    </row>
    <row r="116" spans="1:16" ht="15.75" x14ac:dyDescent="0.25">
      <c r="A116" s="246"/>
      <c r="B116" s="266"/>
      <c r="C116" s="264"/>
      <c r="D116" s="266"/>
      <c r="E116" s="267" t="s">
        <v>371</v>
      </c>
      <c r="F116" s="267" t="s">
        <v>372</v>
      </c>
      <c r="G116" s="267" t="s">
        <v>373</v>
      </c>
      <c r="I116" s="281" t="s">
        <v>371</v>
      </c>
      <c r="J116" s="281" t="s">
        <v>372</v>
      </c>
      <c r="K116" s="281" t="s">
        <v>373</v>
      </c>
      <c r="L116" s="278"/>
      <c r="M116" s="293" t="s">
        <v>371</v>
      </c>
      <c r="N116" s="293" t="s">
        <v>372</v>
      </c>
      <c r="O116" s="293" t="s">
        <v>373</v>
      </c>
      <c r="P116" s="254"/>
    </row>
    <row r="117" spans="1:16" ht="14.25" x14ac:dyDescent="0.2">
      <c r="A117" s="246"/>
      <c r="B117" s="275"/>
      <c r="C117" s="276" t="s">
        <v>374</v>
      </c>
      <c r="D117" s="277"/>
      <c r="E117" s="57"/>
      <c r="F117" s="57"/>
      <c r="G117" s="57"/>
      <c r="H117" s="57"/>
      <c r="I117" s="282"/>
      <c r="J117" s="282"/>
      <c r="K117" s="282"/>
      <c r="L117" s="282"/>
      <c r="M117" s="294">
        <f>SUM(M118:M118)</f>
        <v>0</v>
      </c>
      <c r="N117" s="294">
        <f>SUM(N118:N118)</f>
        <v>0</v>
      </c>
      <c r="O117" s="294">
        <f>SUM(O118:O118)</f>
        <v>0</v>
      </c>
    </row>
    <row r="118" spans="1:16" ht="14.25" x14ac:dyDescent="0.2">
      <c r="A118" s="246"/>
      <c r="B118" s="253"/>
      <c r="C118" s="30" t="s">
        <v>394</v>
      </c>
      <c r="D118" s="41"/>
      <c r="E118" s="270"/>
      <c r="F118" s="270"/>
      <c r="G118" s="270"/>
      <c r="H118" s="28"/>
      <c r="I118" s="283"/>
      <c r="J118" s="283"/>
      <c r="K118" s="283"/>
      <c r="L118" s="280"/>
      <c r="M118" s="295">
        <f>E118*I118</f>
        <v>0</v>
      </c>
      <c r="N118" s="295">
        <f t="shared" ref="N118" si="11">F118*J118</f>
        <v>0</v>
      </c>
      <c r="O118" s="295">
        <f t="shared" ref="O118" si="12">G118*K118</f>
        <v>0</v>
      </c>
    </row>
    <row r="119" spans="1:16" ht="14.25" x14ac:dyDescent="0.2">
      <c r="A119" s="246"/>
      <c r="B119" s="275"/>
      <c r="C119" s="276" t="s">
        <v>378</v>
      </c>
      <c r="D119" s="277"/>
      <c r="E119" s="57"/>
      <c r="F119" s="57"/>
      <c r="G119" s="57"/>
      <c r="H119" s="57"/>
      <c r="I119" s="282"/>
      <c r="J119" s="282"/>
      <c r="K119" s="282"/>
      <c r="L119" s="282"/>
      <c r="M119" s="296"/>
      <c r="N119" s="296"/>
      <c r="O119" s="296"/>
    </row>
    <row r="120" spans="1:16" ht="14.25" x14ac:dyDescent="0.2">
      <c r="A120" s="246"/>
      <c r="B120" s="268"/>
      <c r="C120" s="274" t="s">
        <v>375</v>
      </c>
      <c r="D120" s="269"/>
      <c r="E120" s="61"/>
      <c r="F120" s="61"/>
      <c r="G120" s="61"/>
      <c r="H120" s="61"/>
      <c r="I120" s="284"/>
      <c r="J120" s="284"/>
      <c r="K120" s="284"/>
      <c r="L120" s="284"/>
      <c r="M120" s="298">
        <f>SUM(M121:M121)</f>
        <v>0</v>
      </c>
      <c r="N120" s="298">
        <f>SUM(N121:N121)</f>
        <v>0</v>
      </c>
      <c r="O120" s="298">
        <f>SUM(O121:O121)</f>
        <v>0</v>
      </c>
    </row>
    <row r="121" spans="1:16" ht="14.25" x14ac:dyDescent="0.2">
      <c r="B121" s="253"/>
      <c r="C121" s="30" t="s">
        <v>394</v>
      </c>
      <c r="D121" s="41"/>
      <c r="E121" s="270"/>
      <c r="F121" s="270"/>
      <c r="G121" s="270"/>
      <c r="H121" s="28"/>
      <c r="I121" s="283"/>
      <c r="J121" s="283"/>
      <c r="K121" s="283"/>
      <c r="L121" s="280"/>
      <c r="M121" s="285">
        <f>E121*I121</f>
        <v>0</v>
      </c>
      <c r="N121" s="285">
        <f t="shared" ref="N121" si="13">F121*J121</f>
        <v>0</v>
      </c>
      <c r="O121" s="285">
        <f t="shared" ref="O121" si="14">G121*K121</f>
        <v>0</v>
      </c>
    </row>
    <row r="122" spans="1:16" ht="14.25" x14ac:dyDescent="0.2">
      <c r="B122" s="268"/>
      <c r="C122" s="274" t="s">
        <v>376</v>
      </c>
      <c r="D122" s="269"/>
      <c r="E122" s="61"/>
      <c r="F122" s="61"/>
      <c r="G122" s="61"/>
      <c r="H122" s="61"/>
      <c r="I122" s="284"/>
      <c r="J122" s="284"/>
      <c r="K122" s="284"/>
      <c r="L122" s="284"/>
      <c r="M122" s="298">
        <f>SUM(M123:M123)</f>
        <v>0</v>
      </c>
      <c r="N122" s="298">
        <f>SUM(N123:N123)</f>
        <v>0</v>
      </c>
      <c r="O122" s="298">
        <f>SUM(O123:O123)</f>
        <v>0</v>
      </c>
    </row>
    <row r="123" spans="1:16" ht="14.25" x14ac:dyDescent="0.2">
      <c r="B123" s="253"/>
      <c r="C123" s="30" t="s">
        <v>394</v>
      </c>
      <c r="D123" s="41"/>
      <c r="E123" s="270"/>
      <c r="F123" s="270"/>
      <c r="G123" s="270"/>
      <c r="H123" s="28"/>
      <c r="I123" s="283"/>
      <c r="J123" s="283"/>
      <c r="K123" s="283"/>
      <c r="L123" s="280"/>
      <c r="M123" s="285">
        <f>E123*I123</f>
        <v>0</v>
      </c>
      <c r="N123" s="285">
        <f t="shared" ref="N123" si="15">F123*J123</f>
        <v>0</v>
      </c>
      <c r="O123" s="285">
        <f>G123*K123</f>
        <v>0</v>
      </c>
    </row>
    <row r="124" spans="1:16" ht="14.25" x14ac:dyDescent="0.2">
      <c r="B124" s="268"/>
      <c r="C124" s="274" t="s">
        <v>379</v>
      </c>
      <c r="D124" s="269"/>
      <c r="E124" s="61"/>
      <c r="F124" s="61"/>
      <c r="G124" s="61"/>
      <c r="H124" s="61"/>
      <c r="I124" s="284"/>
      <c r="J124" s="284"/>
      <c r="K124" s="284"/>
      <c r="L124" s="284"/>
      <c r="M124" s="298">
        <f>SUM(M125:M125)</f>
        <v>0</v>
      </c>
      <c r="N124" s="298">
        <f>SUM(N125:N125)</f>
        <v>0</v>
      </c>
      <c r="O124" s="298">
        <f>SUM(O125:O125)</f>
        <v>0</v>
      </c>
    </row>
    <row r="125" spans="1:16" ht="14.25" x14ac:dyDescent="0.2">
      <c r="B125" s="253"/>
      <c r="C125" s="30" t="s">
        <v>394</v>
      </c>
      <c r="D125" s="41"/>
      <c r="E125" s="270"/>
      <c r="F125" s="270"/>
      <c r="G125" s="270"/>
      <c r="H125" s="28"/>
      <c r="I125" s="283"/>
      <c r="J125" s="283"/>
      <c r="K125" s="283"/>
      <c r="L125" s="280"/>
      <c r="M125" s="285">
        <f>E125*I125</f>
        <v>0</v>
      </c>
      <c r="N125" s="285">
        <f t="shared" ref="N125" si="16">F125*J125</f>
        <v>0</v>
      </c>
      <c r="O125" s="285">
        <f>G125*K125</f>
        <v>0</v>
      </c>
    </row>
    <row r="126" spans="1:16" ht="14.25" x14ac:dyDescent="0.2">
      <c r="B126" s="271"/>
      <c r="C126" s="274" t="s">
        <v>380</v>
      </c>
      <c r="D126" s="272"/>
      <c r="E126" s="61"/>
      <c r="F126" s="61"/>
      <c r="G126" s="61"/>
      <c r="H126" s="61"/>
      <c r="I126" s="284"/>
      <c r="J126" s="284"/>
      <c r="K126" s="284"/>
      <c r="L126" s="284"/>
      <c r="M126" s="298">
        <f>SUM(M127:M127)</f>
        <v>0</v>
      </c>
      <c r="N126" s="298">
        <f>SUM(N127:N127)</f>
        <v>0</v>
      </c>
      <c r="O126" s="298">
        <f>SUM(O127:O127)</f>
        <v>0</v>
      </c>
    </row>
    <row r="127" spans="1:16" ht="14.25" x14ac:dyDescent="0.2">
      <c r="B127" s="253"/>
      <c r="C127" s="30" t="s">
        <v>394</v>
      </c>
      <c r="D127" s="41"/>
      <c r="E127" s="270"/>
      <c r="F127" s="270"/>
      <c r="G127" s="270"/>
      <c r="H127" s="28"/>
      <c r="I127" s="283"/>
      <c r="J127" s="283"/>
      <c r="K127" s="283"/>
      <c r="L127" s="280"/>
      <c r="M127" s="285">
        <f>E127*I127</f>
        <v>0</v>
      </c>
      <c r="N127" s="285">
        <f t="shared" ref="N127" si="17">F127*J127</f>
        <v>0</v>
      </c>
      <c r="O127" s="285">
        <f>G127*K127</f>
        <v>0</v>
      </c>
    </row>
    <row r="128" spans="1:16" ht="14.25" x14ac:dyDescent="0.2">
      <c r="B128" s="271"/>
      <c r="C128" s="274" t="s">
        <v>381</v>
      </c>
      <c r="D128" s="272"/>
      <c r="E128" s="61"/>
      <c r="F128" s="61"/>
      <c r="G128" s="61"/>
      <c r="H128" s="61"/>
      <c r="I128" s="284"/>
      <c r="J128" s="284"/>
      <c r="K128" s="284"/>
      <c r="L128" s="284"/>
      <c r="M128" s="298">
        <f>SUM(M129:M129)</f>
        <v>0</v>
      </c>
      <c r="N128" s="298">
        <f>SUM(N129:N129)</f>
        <v>0</v>
      </c>
      <c r="O128" s="298">
        <f>SUM(O129:O129)</f>
        <v>0</v>
      </c>
    </row>
    <row r="129" spans="1:15" ht="14.25" x14ac:dyDescent="0.2">
      <c r="B129" s="253"/>
      <c r="C129" s="30" t="s">
        <v>394</v>
      </c>
      <c r="D129" s="41"/>
      <c r="E129" s="270"/>
      <c r="F129" s="270"/>
      <c r="G129" s="270"/>
      <c r="H129" s="28"/>
      <c r="I129" s="283"/>
      <c r="J129" s="283"/>
      <c r="K129" s="283"/>
      <c r="L129" s="280"/>
      <c r="M129" s="285">
        <f>E129*I129</f>
        <v>0</v>
      </c>
      <c r="N129" s="285">
        <f>F129*J129</f>
        <v>0</v>
      </c>
      <c r="O129" s="285">
        <f>G129*K129</f>
        <v>0</v>
      </c>
    </row>
    <row r="130" spans="1:15" ht="14.25" x14ac:dyDescent="0.2">
      <c r="B130" s="268"/>
      <c r="C130" s="274" t="s">
        <v>377</v>
      </c>
      <c r="D130" s="269"/>
      <c r="E130" s="61"/>
      <c r="F130" s="61"/>
      <c r="G130" s="61"/>
      <c r="H130" s="61"/>
      <c r="I130" s="284"/>
      <c r="J130" s="284"/>
      <c r="K130" s="284"/>
      <c r="L130" s="284"/>
      <c r="M130" s="298">
        <f>SUM(M131:M131)</f>
        <v>0</v>
      </c>
      <c r="N130" s="298">
        <f>SUM(N131:N131)</f>
        <v>0</v>
      </c>
      <c r="O130" s="298">
        <f>SUM(O131:O131)</f>
        <v>0</v>
      </c>
    </row>
    <row r="131" spans="1:15" ht="14.25" x14ac:dyDescent="0.2">
      <c r="B131" s="253"/>
      <c r="C131" s="30" t="s">
        <v>394</v>
      </c>
      <c r="D131" s="41"/>
      <c r="E131" s="270"/>
      <c r="F131" s="270"/>
      <c r="G131" s="270"/>
      <c r="H131" s="28"/>
      <c r="I131" s="283"/>
      <c r="J131" s="283"/>
      <c r="K131" s="283"/>
      <c r="L131" s="280"/>
      <c r="M131" s="285">
        <f>E131*I131</f>
        <v>0</v>
      </c>
      <c r="N131" s="285">
        <f t="shared" ref="N131" si="18">F131*J131</f>
        <v>0</v>
      </c>
      <c r="O131" s="285">
        <f>G131*K131</f>
        <v>0</v>
      </c>
    </row>
    <row r="132" spans="1:15" ht="14.25" x14ac:dyDescent="0.2">
      <c r="B132" s="268"/>
      <c r="C132" s="274" t="s">
        <v>382</v>
      </c>
      <c r="D132" s="269"/>
      <c r="E132" s="61"/>
      <c r="F132" s="61"/>
      <c r="G132" s="61"/>
      <c r="H132" s="61"/>
      <c r="I132" s="284"/>
      <c r="J132" s="284"/>
      <c r="K132" s="284"/>
      <c r="L132" s="284"/>
      <c r="M132" s="298">
        <f>SUM(M133:M133)</f>
        <v>0</v>
      </c>
      <c r="N132" s="298">
        <f>SUM(N133:N133)</f>
        <v>0</v>
      </c>
      <c r="O132" s="298">
        <f>SUM(O133:O133)</f>
        <v>0</v>
      </c>
    </row>
    <row r="133" spans="1:15" ht="14.25" x14ac:dyDescent="0.2">
      <c r="B133" s="253"/>
      <c r="C133" s="30" t="s">
        <v>394</v>
      </c>
      <c r="D133" s="41"/>
      <c r="E133" s="270"/>
      <c r="F133" s="270"/>
      <c r="G133" s="270"/>
      <c r="H133" s="28"/>
      <c r="I133" s="283"/>
      <c r="J133" s="283"/>
      <c r="K133" s="283"/>
      <c r="L133" s="280"/>
      <c r="M133" s="285">
        <f>E133*I133</f>
        <v>0</v>
      </c>
      <c r="N133" s="285">
        <f t="shared" ref="N133" si="19">F133*J133</f>
        <v>0</v>
      </c>
      <c r="O133" s="285">
        <f>G133*K133</f>
        <v>0</v>
      </c>
    </row>
    <row r="134" spans="1:15" ht="14.25" x14ac:dyDescent="0.2">
      <c r="A134" s="246"/>
      <c r="B134" s="275"/>
      <c r="C134" s="276" t="s">
        <v>383</v>
      </c>
      <c r="D134" s="277"/>
      <c r="E134" s="57"/>
      <c r="F134" s="57"/>
      <c r="G134" s="57"/>
      <c r="H134" s="57"/>
      <c r="I134" s="282"/>
      <c r="J134" s="282"/>
      <c r="K134" s="282"/>
      <c r="L134" s="282"/>
      <c r="M134" s="296"/>
      <c r="N134" s="296"/>
      <c r="O134" s="296"/>
    </row>
    <row r="135" spans="1:15" ht="14.25" x14ac:dyDescent="0.2">
      <c r="B135" s="271"/>
      <c r="C135" s="274" t="s">
        <v>384</v>
      </c>
      <c r="D135" s="272"/>
      <c r="E135" s="61"/>
      <c r="F135" s="61"/>
      <c r="G135" s="61"/>
      <c r="H135" s="61"/>
      <c r="I135" s="284"/>
      <c r="J135" s="284"/>
      <c r="K135" s="284"/>
      <c r="L135" s="284"/>
      <c r="M135" s="298">
        <f>SUM(M136:M136)</f>
        <v>0</v>
      </c>
      <c r="N135" s="298">
        <f>SUM(N136:N136)</f>
        <v>0</v>
      </c>
      <c r="O135" s="298">
        <f>SUM(O136:O136)</f>
        <v>0</v>
      </c>
    </row>
    <row r="136" spans="1:15" ht="14.25" x14ac:dyDescent="0.2">
      <c r="B136" s="253"/>
      <c r="C136" s="30" t="s">
        <v>394</v>
      </c>
      <c r="D136" s="41"/>
      <c r="E136" s="270"/>
      <c r="F136" s="270"/>
      <c r="G136" s="270"/>
      <c r="H136" s="28"/>
      <c r="I136" s="283"/>
      <c r="J136" s="283"/>
      <c r="K136" s="283"/>
      <c r="L136" s="280"/>
      <c r="M136" s="285">
        <f>E136*I136</f>
        <v>0</v>
      </c>
      <c r="N136" s="285">
        <f t="shared" ref="N136" si="20">F136*J136</f>
        <v>0</v>
      </c>
      <c r="O136" s="285">
        <f>G136*K136</f>
        <v>0</v>
      </c>
    </row>
    <row r="137" spans="1:15" ht="14.25" x14ac:dyDescent="0.2">
      <c r="B137" s="271"/>
      <c r="C137" s="274" t="s">
        <v>385</v>
      </c>
      <c r="D137" s="272"/>
      <c r="E137" s="61"/>
      <c r="F137" s="61"/>
      <c r="G137" s="61"/>
      <c r="H137" s="61"/>
      <c r="I137" s="284"/>
      <c r="J137" s="284"/>
      <c r="K137" s="284"/>
      <c r="L137" s="284"/>
      <c r="M137" s="298">
        <f>SUM(M138:M138)</f>
        <v>0</v>
      </c>
      <c r="N137" s="298">
        <f>SUM(N138:N138)</f>
        <v>0</v>
      </c>
      <c r="O137" s="298">
        <f>SUM(O138:O138)</f>
        <v>0</v>
      </c>
    </row>
    <row r="138" spans="1:15" ht="14.25" x14ac:dyDescent="0.2">
      <c r="B138" s="253"/>
      <c r="C138" s="30" t="s">
        <v>394</v>
      </c>
      <c r="D138" s="41"/>
      <c r="E138" s="270"/>
      <c r="F138" s="270"/>
      <c r="G138" s="270"/>
      <c r="H138" s="28"/>
      <c r="I138" s="283"/>
      <c r="J138" s="283"/>
      <c r="K138" s="283"/>
      <c r="L138" s="280"/>
      <c r="M138" s="285">
        <f>E138*I138</f>
        <v>0</v>
      </c>
      <c r="N138" s="285">
        <f t="shared" ref="N138" si="21">F138*J138</f>
        <v>0</v>
      </c>
      <c r="O138" s="285">
        <f>G138*K138</f>
        <v>0</v>
      </c>
    </row>
    <row r="139" spans="1:15" ht="14.25" x14ac:dyDescent="0.2">
      <c r="A139" s="246"/>
      <c r="B139" s="288"/>
      <c r="C139" s="289" t="s">
        <v>386</v>
      </c>
      <c r="D139" s="290"/>
      <c r="E139" s="291"/>
      <c r="F139" s="291"/>
      <c r="G139" s="291"/>
      <c r="H139" s="291"/>
      <c r="I139" s="292"/>
      <c r="J139" s="292"/>
      <c r="K139" s="292"/>
      <c r="L139" s="292"/>
      <c r="M139" s="297"/>
      <c r="N139" s="297"/>
      <c r="O139" s="297"/>
    </row>
    <row r="140" spans="1:15" ht="14.25" x14ac:dyDescent="0.2">
      <c r="B140" s="271"/>
      <c r="C140" s="274" t="s">
        <v>387</v>
      </c>
      <c r="D140" s="272"/>
      <c r="E140" s="61"/>
      <c r="F140" s="61"/>
      <c r="G140" s="61"/>
      <c r="H140" s="61"/>
      <c r="I140" s="284"/>
      <c r="J140" s="284"/>
      <c r="K140" s="284"/>
      <c r="L140" s="284"/>
      <c r="M140" s="298">
        <f>SUM(M141:M141)</f>
        <v>0</v>
      </c>
      <c r="N140" s="298">
        <f>SUM(N141:N141)</f>
        <v>0</v>
      </c>
      <c r="O140" s="298">
        <f>SUM(O141:O141)</f>
        <v>0</v>
      </c>
    </row>
    <row r="141" spans="1:15" ht="14.25" x14ac:dyDescent="0.2">
      <c r="B141" s="253"/>
      <c r="C141" s="30" t="s">
        <v>394</v>
      </c>
      <c r="D141" s="41"/>
      <c r="E141" s="270"/>
      <c r="F141" s="270"/>
      <c r="G141" s="270"/>
      <c r="H141" s="28"/>
      <c r="I141" s="283"/>
      <c r="J141" s="283"/>
      <c r="K141" s="283"/>
      <c r="L141" s="280"/>
      <c r="M141" s="285">
        <f>E141*I141</f>
        <v>0</v>
      </c>
      <c r="N141" s="285">
        <f t="shared" ref="N141" si="22">F141*J141</f>
        <v>0</v>
      </c>
      <c r="O141" s="285">
        <f>G141*K141</f>
        <v>0</v>
      </c>
    </row>
    <row r="142" spans="1:15" ht="14.25" x14ac:dyDescent="0.2">
      <c r="B142" s="271"/>
      <c r="C142" s="274" t="s">
        <v>388</v>
      </c>
      <c r="D142" s="272"/>
      <c r="E142" s="61"/>
      <c r="F142" s="61"/>
      <c r="G142" s="61"/>
      <c r="H142" s="61"/>
      <c r="I142" s="284"/>
      <c r="J142" s="284"/>
      <c r="K142" s="284"/>
      <c r="L142" s="284"/>
      <c r="M142" s="298">
        <f>SUM(M143:M143)</f>
        <v>0</v>
      </c>
      <c r="N142" s="298">
        <f>SUM(N143:N143)</f>
        <v>0</v>
      </c>
      <c r="O142" s="298">
        <f>SUM(O143:O143)</f>
        <v>0</v>
      </c>
    </row>
    <row r="143" spans="1:15" ht="14.25" x14ac:dyDescent="0.2">
      <c r="B143" s="253"/>
      <c r="C143" s="30" t="s">
        <v>394</v>
      </c>
      <c r="D143" s="41"/>
      <c r="E143" s="270"/>
      <c r="F143" s="270"/>
      <c r="G143" s="270"/>
      <c r="H143" s="28"/>
      <c r="I143" s="283"/>
      <c r="J143" s="283"/>
      <c r="K143" s="283"/>
      <c r="L143" s="280"/>
      <c r="M143" s="285">
        <f>E143*I143</f>
        <v>0</v>
      </c>
      <c r="N143" s="285">
        <f t="shared" ref="N143" si="23">F143*J143</f>
        <v>0</v>
      </c>
      <c r="O143" s="285">
        <f>G143*K143</f>
        <v>0</v>
      </c>
    </row>
    <row r="144" spans="1:15" ht="14.25" x14ac:dyDescent="0.2">
      <c r="B144" s="273"/>
      <c r="C144" s="3"/>
      <c r="D144" s="3"/>
      <c r="E144" s="3"/>
      <c r="I144" s="278"/>
      <c r="J144" s="278"/>
      <c r="K144" s="278"/>
      <c r="L144" s="278"/>
      <c r="M144" s="278"/>
      <c r="N144" s="278"/>
      <c r="O144" s="278"/>
    </row>
    <row r="145" spans="1:16" ht="15.75" thickBot="1" x14ac:dyDescent="0.3">
      <c r="A145" s="246"/>
      <c r="B145" s="273"/>
      <c r="C145" s="3"/>
      <c r="D145" s="3"/>
      <c r="E145" s="3"/>
      <c r="I145" s="278"/>
      <c r="J145" s="278"/>
      <c r="K145" s="278"/>
      <c r="L145" s="286" t="s">
        <v>390</v>
      </c>
      <c r="M145" s="287">
        <f>SUM(M118:M138)/2</f>
        <v>0</v>
      </c>
      <c r="N145" s="287">
        <f>SUM(N118:N138)/2</f>
        <v>0</v>
      </c>
      <c r="O145" s="287">
        <f>SUM(O118:O138)/2</f>
        <v>0</v>
      </c>
    </row>
    <row r="146" spans="1:16" ht="16.5" thickTop="1" thickBot="1" x14ac:dyDescent="0.3">
      <c r="B146" s="273"/>
      <c r="C146" s="3"/>
      <c r="D146" s="3"/>
      <c r="E146" s="3"/>
      <c r="I146" s="278"/>
      <c r="J146" s="278"/>
      <c r="K146" s="278"/>
      <c r="L146" s="286" t="s">
        <v>389</v>
      </c>
      <c r="M146" s="287">
        <f>SUM(M140:M143)/2</f>
        <v>0</v>
      </c>
      <c r="N146" s="287">
        <f>SUM(N140:N143)/2</f>
        <v>0</v>
      </c>
      <c r="O146" s="287">
        <f>SUM(O140:O143)/2</f>
        <v>0</v>
      </c>
    </row>
    <row r="147" spans="1:16" ht="15.75" thickTop="1" x14ac:dyDescent="0.25"/>
    <row r="148" spans="1:16" s="28" customFormat="1" ht="15.75" x14ac:dyDescent="0.25">
      <c r="A148" s="263"/>
      <c r="B148" s="315"/>
      <c r="C148" s="316">
        <f>B69</f>
        <v>0</v>
      </c>
      <c r="D148" s="315"/>
      <c r="E148" s="315"/>
      <c r="F148" s="315"/>
      <c r="G148" s="315"/>
      <c r="H148" s="317"/>
      <c r="I148" s="318"/>
      <c r="J148" s="318"/>
      <c r="K148" s="318"/>
      <c r="L148" s="318"/>
      <c r="M148" s="318"/>
      <c r="N148" s="318"/>
      <c r="O148" s="318"/>
      <c r="P148" s="254"/>
    </row>
    <row r="149" spans="1:16" ht="15.75" x14ac:dyDescent="0.25">
      <c r="A149" s="246"/>
      <c r="B149" s="303" t="s">
        <v>346</v>
      </c>
      <c r="C149" s="304" t="s">
        <v>369</v>
      </c>
      <c r="D149" s="305" t="s">
        <v>370</v>
      </c>
      <c r="E149" s="306"/>
      <c r="F149" s="306" t="s">
        <v>392</v>
      </c>
      <c r="G149" s="306"/>
      <c r="H149" s="306"/>
      <c r="I149" s="307"/>
      <c r="J149" s="307" t="s">
        <v>391</v>
      </c>
      <c r="K149" s="307"/>
      <c r="L149" s="279"/>
      <c r="M149" s="307"/>
      <c r="N149" s="307" t="s">
        <v>369</v>
      </c>
      <c r="O149" s="307"/>
    </row>
    <row r="150" spans="1:16" ht="15.75" x14ac:dyDescent="0.25">
      <c r="A150" s="246"/>
      <c r="B150" s="266"/>
      <c r="C150" s="264"/>
      <c r="D150" s="266"/>
      <c r="E150" s="267" t="s">
        <v>371</v>
      </c>
      <c r="F150" s="267" t="s">
        <v>372</v>
      </c>
      <c r="G150" s="267" t="s">
        <v>373</v>
      </c>
      <c r="I150" s="281" t="s">
        <v>371</v>
      </c>
      <c r="J150" s="281" t="s">
        <v>372</v>
      </c>
      <c r="K150" s="281" t="s">
        <v>373</v>
      </c>
      <c r="L150" s="278"/>
      <c r="M150" s="293" t="s">
        <v>371</v>
      </c>
      <c r="N150" s="293" t="s">
        <v>372</v>
      </c>
      <c r="O150" s="293" t="s">
        <v>373</v>
      </c>
      <c r="P150" s="254"/>
    </row>
    <row r="151" spans="1:16" ht="14.25" x14ac:dyDescent="0.2">
      <c r="A151" s="246"/>
      <c r="B151" s="275"/>
      <c r="C151" s="276" t="s">
        <v>374</v>
      </c>
      <c r="D151" s="277"/>
      <c r="E151" s="57"/>
      <c r="F151" s="57"/>
      <c r="G151" s="57"/>
      <c r="H151" s="57"/>
      <c r="I151" s="282"/>
      <c r="J151" s="282"/>
      <c r="K151" s="282"/>
      <c r="L151" s="282"/>
      <c r="M151" s="294">
        <f>SUM(M152:M152)</f>
        <v>0</v>
      </c>
      <c r="N151" s="294">
        <f>SUM(N152:N152)</f>
        <v>0</v>
      </c>
      <c r="O151" s="294">
        <f>SUM(O152:O152)</f>
        <v>0</v>
      </c>
    </row>
    <row r="152" spans="1:16" ht="14.25" x14ac:dyDescent="0.2">
      <c r="A152" s="246"/>
      <c r="B152" s="253"/>
      <c r="C152" s="30" t="s">
        <v>394</v>
      </c>
      <c r="D152" s="41"/>
      <c r="E152" s="270"/>
      <c r="F152" s="270"/>
      <c r="G152" s="270"/>
      <c r="H152" s="28"/>
      <c r="I152" s="283"/>
      <c r="J152" s="283"/>
      <c r="K152" s="283"/>
      <c r="L152" s="280"/>
      <c r="M152" s="295">
        <f>E152*I152</f>
        <v>0</v>
      </c>
      <c r="N152" s="295">
        <f t="shared" ref="N152" si="24">F152*J152</f>
        <v>0</v>
      </c>
      <c r="O152" s="295">
        <f t="shared" ref="O152" si="25">G152*K152</f>
        <v>0</v>
      </c>
    </row>
    <row r="153" spans="1:16" ht="14.25" x14ac:dyDescent="0.2">
      <c r="A153" s="246"/>
      <c r="B153" s="275"/>
      <c r="C153" s="276" t="s">
        <v>378</v>
      </c>
      <c r="D153" s="277"/>
      <c r="E153" s="57"/>
      <c r="F153" s="57"/>
      <c r="G153" s="57"/>
      <c r="H153" s="57"/>
      <c r="I153" s="282"/>
      <c r="J153" s="282"/>
      <c r="K153" s="282"/>
      <c r="L153" s="282"/>
      <c r="M153" s="296"/>
      <c r="N153" s="296"/>
      <c r="O153" s="296"/>
    </row>
    <row r="154" spans="1:16" ht="14.25" x14ac:dyDescent="0.2">
      <c r="A154" s="246"/>
      <c r="B154" s="268"/>
      <c r="C154" s="274" t="s">
        <v>375</v>
      </c>
      <c r="D154" s="269"/>
      <c r="E154" s="61"/>
      <c r="F154" s="61"/>
      <c r="G154" s="61"/>
      <c r="H154" s="61"/>
      <c r="I154" s="284"/>
      <c r="J154" s="284"/>
      <c r="K154" s="284"/>
      <c r="L154" s="284"/>
      <c r="M154" s="298">
        <f>SUM(M155:M155)</f>
        <v>0</v>
      </c>
      <c r="N154" s="298">
        <f>SUM(N155:N155)</f>
        <v>0</v>
      </c>
      <c r="O154" s="298">
        <f>SUM(O155:O155)</f>
        <v>0</v>
      </c>
    </row>
    <row r="155" spans="1:16" ht="14.25" x14ac:dyDescent="0.2">
      <c r="B155" s="253"/>
      <c r="C155" s="30" t="s">
        <v>394</v>
      </c>
      <c r="D155" s="41"/>
      <c r="E155" s="270"/>
      <c r="F155" s="270"/>
      <c r="G155" s="270"/>
      <c r="H155" s="28"/>
      <c r="I155" s="283"/>
      <c r="J155" s="283"/>
      <c r="K155" s="283"/>
      <c r="L155" s="280"/>
      <c r="M155" s="285">
        <f>E155*I155</f>
        <v>0</v>
      </c>
      <c r="N155" s="285">
        <f t="shared" ref="N155" si="26">F155*J155</f>
        <v>0</v>
      </c>
      <c r="O155" s="285">
        <f t="shared" ref="O155" si="27">G155*K155</f>
        <v>0</v>
      </c>
    </row>
    <row r="156" spans="1:16" ht="14.25" x14ac:dyDescent="0.2">
      <c r="B156" s="268"/>
      <c r="C156" s="274" t="s">
        <v>376</v>
      </c>
      <c r="D156" s="269"/>
      <c r="E156" s="61"/>
      <c r="F156" s="61"/>
      <c r="G156" s="61"/>
      <c r="H156" s="61"/>
      <c r="I156" s="284"/>
      <c r="J156" s="284"/>
      <c r="K156" s="284"/>
      <c r="L156" s="284"/>
      <c r="M156" s="298">
        <f>SUM(M157:M157)</f>
        <v>0</v>
      </c>
      <c r="N156" s="298">
        <f>SUM(N157:N157)</f>
        <v>0</v>
      </c>
      <c r="O156" s="298">
        <f>SUM(O157:O157)</f>
        <v>0</v>
      </c>
    </row>
    <row r="157" spans="1:16" ht="14.25" x14ac:dyDescent="0.2">
      <c r="B157" s="253"/>
      <c r="C157" s="30" t="s">
        <v>394</v>
      </c>
      <c r="D157" s="41"/>
      <c r="E157" s="270"/>
      <c r="F157" s="270"/>
      <c r="G157" s="270"/>
      <c r="H157" s="28"/>
      <c r="I157" s="283"/>
      <c r="J157" s="283"/>
      <c r="K157" s="283"/>
      <c r="L157" s="280"/>
      <c r="M157" s="285">
        <f>E157*I157</f>
        <v>0</v>
      </c>
      <c r="N157" s="285">
        <f t="shared" ref="N157" si="28">F157*J157</f>
        <v>0</v>
      </c>
      <c r="O157" s="285">
        <f>G157*K157</f>
        <v>0</v>
      </c>
    </row>
    <row r="158" spans="1:16" ht="14.25" x14ac:dyDescent="0.2">
      <c r="B158" s="268"/>
      <c r="C158" s="274" t="s">
        <v>379</v>
      </c>
      <c r="D158" s="269"/>
      <c r="E158" s="61"/>
      <c r="F158" s="61"/>
      <c r="G158" s="61"/>
      <c r="H158" s="61"/>
      <c r="I158" s="284"/>
      <c r="J158" s="284"/>
      <c r="K158" s="284"/>
      <c r="L158" s="284"/>
      <c r="M158" s="298">
        <f>SUM(M159:M159)</f>
        <v>0</v>
      </c>
      <c r="N158" s="298">
        <f>SUM(N159:N159)</f>
        <v>0</v>
      </c>
      <c r="O158" s="298">
        <f>SUM(O159:O159)</f>
        <v>0</v>
      </c>
    </row>
    <row r="159" spans="1:16" ht="14.25" x14ac:dyDescent="0.2">
      <c r="B159" s="253"/>
      <c r="C159" s="30" t="s">
        <v>394</v>
      </c>
      <c r="D159" s="41"/>
      <c r="E159" s="270"/>
      <c r="F159" s="270"/>
      <c r="G159" s="270"/>
      <c r="H159" s="28"/>
      <c r="I159" s="283"/>
      <c r="J159" s="283"/>
      <c r="K159" s="283"/>
      <c r="L159" s="280"/>
      <c r="M159" s="285">
        <f>E159*I159</f>
        <v>0</v>
      </c>
      <c r="N159" s="285">
        <f t="shared" ref="N159" si="29">F159*J159</f>
        <v>0</v>
      </c>
      <c r="O159" s="285">
        <f>G159*K159</f>
        <v>0</v>
      </c>
    </row>
    <row r="160" spans="1:16" ht="14.25" x14ac:dyDescent="0.2">
      <c r="B160" s="271"/>
      <c r="C160" s="274" t="s">
        <v>380</v>
      </c>
      <c r="D160" s="272"/>
      <c r="E160" s="61"/>
      <c r="F160" s="61"/>
      <c r="G160" s="61"/>
      <c r="H160" s="61"/>
      <c r="I160" s="284"/>
      <c r="J160" s="284"/>
      <c r="K160" s="284"/>
      <c r="L160" s="284"/>
      <c r="M160" s="298">
        <f>SUM(M161:M161)</f>
        <v>0</v>
      </c>
      <c r="N160" s="298">
        <f>SUM(N161:N161)</f>
        <v>0</v>
      </c>
      <c r="O160" s="298">
        <f>SUM(O161:O161)</f>
        <v>0</v>
      </c>
    </row>
    <row r="161" spans="1:15" ht="14.25" x14ac:dyDescent="0.2">
      <c r="B161" s="253"/>
      <c r="C161" s="30" t="s">
        <v>394</v>
      </c>
      <c r="D161" s="41"/>
      <c r="E161" s="270"/>
      <c r="F161" s="270"/>
      <c r="G161" s="270"/>
      <c r="H161" s="28"/>
      <c r="I161" s="283"/>
      <c r="J161" s="283"/>
      <c r="K161" s="283"/>
      <c r="L161" s="280"/>
      <c r="M161" s="285">
        <f>E161*I161</f>
        <v>0</v>
      </c>
      <c r="N161" s="285">
        <f t="shared" ref="N161" si="30">F161*J161</f>
        <v>0</v>
      </c>
      <c r="O161" s="285">
        <f>G161*K161</f>
        <v>0</v>
      </c>
    </row>
    <row r="162" spans="1:15" ht="14.25" x14ac:dyDescent="0.2">
      <c r="B162" s="271"/>
      <c r="C162" s="274" t="s">
        <v>381</v>
      </c>
      <c r="D162" s="272"/>
      <c r="E162" s="61"/>
      <c r="F162" s="61"/>
      <c r="G162" s="61"/>
      <c r="H162" s="61"/>
      <c r="I162" s="284"/>
      <c r="J162" s="284"/>
      <c r="K162" s="284"/>
      <c r="L162" s="284"/>
      <c r="M162" s="298">
        <f>SUM(M163:M163)</f>
        <v>0</v>
      </c>
      <c r="N162" s="298">
        <f>SUM(N163:N163)</f>
        <v>0</v>
      </c>
      <c r="O162" s="298">
        <f>SUM(O163:O163)</f>
        <v>0</v>
      </c>
    </row>
    <row r="163" spans="1:15" ht="14.25" x14ac:dyDescent="0.2">
      <c r="B163" s="253"/>
      <c r="C163" s="30" t="s">
        <v>394</v>
      </c>
      <c r="D163" s="41"/>
      <c r="E163" s="270"/>
      <c r="F163" s="270"/>
      <c r="G163" s="270"/>
      <c r="H163" s="28"/>
      <c r="I163" s="283"/>
      <c r="J163" s="283"/>
      <c r="K163" s="283"/>
      <c r="L163" s="280"/>
      <c r="M163" s="285">
        <f>E163*I163</f>
        <v>0</v>
      </c>
      <c r="N163" s="285">
        <f>F163*J163</f>
        <v>0</v>
      </c>
      <c r="O163" s="285">
        <f>G163*K163</f>
        <v>0</v>
      </c>
    </row>
    <row r="164" spans="1:15" ht="14.25" x14ac:dyDescent="0.2">
      <c r="B164" s="268"/>
      <c r="C164" s="274" t="s">
        <v>377</v>
      </c>
      <c r="D164" s="269"/>
      <c r="E164" s="61"/>
      <c r="F164" s="61"/>
      <c r="G164" s="61"/>
      <c r="H164" s="61"/>
      <c r="I164" s="284"/>
      <c r="J164" s="284"/>
      <c r="K164" s="284"/>
      <c r="L164" s="284"/>
      <c r="M164" s="298">
        <f>SUM(M165:M165)</f>
        <v>0</v>
      </c>
      <c r="N164" s="298">
        <f>SUM(N165:N165)</f>
        <v>0</v>
      </c>
      <c r="O164" s="298">
        <f>SUM(O165:O165)</f>
        <v>0</v>
      </c>
    </row>
    <row r="165" spans="1:15" ht="14.25" x14ac:dyDescent="0.2">
      <c r="B165" s="253"/>
      <c r="C165" s="30" t="s">
        <v>394</v>
      </c>
      <c r="D165" s="41"/>
      <c r="E165" s="270"/>
      <c r="F165" s="270"/>
      <c r="G165" s="270"/>
      <c r="H165" s="28"/>
      <c r="I165" s="283"/>
      <c r="J165" s="283"/>
      <c r="K165" s="283"/>
      <c r="L165" s="280"/>
      <c r="M165" s="285">
        <f>E165*I165</f>
        <v>0</v>
      </c>
      <c r="N165" s="285">
        <f t="shared" ref="N165" si="31">F165*J165</f>
        <v>0</v>
      </c>
      <c r="O165" s="285">
        <f>G165*K165</f>
        <v>0</v>
      </c>
    </row>
    <row r="166" spans="1:15" ht="14.25" x14ac:dyDescent="0.2">
      <c r="B166" s="268"/>
      <c r="C166" s="274" t="s">
        <v>382</v>
      </c>
      <c r="D166" s="269"/>
      <c r="E166" s="61"/>
      <c r="F166" s="61"/>
      <c r="G166" s="61"/>
      <c r="H166" s="61"/>
      <c r="I166" s="284"/>
      <c r="J166" s="284"/>
      <c r="K166" s="284"/>
      <c r="L166" s="284"/>
      <c r="M166" s="298">
        <f>SUM(M167:M167)</f>
        <v>0</v>
      </c>
      <c r="N166" s="298">
        <f>SUM(N167:N167)</f>
        <v>0</v>
      </c>
      <c r="O166" s="298">
        <f>SUM(O167:O167)</f>
        <v>0</v>
      </c>
    </row>
    <row r="167" spans="1:15" ht="14.25" x14ac:dyDescent="0.2">
      <c r="B167" s="253"/>
      <c r="C167" s="30" t="s">
        <v>394</v>
      </c>
      <c r="D167" s="41"/>
      <c r="E167" s="270"/>
      <c r="F167" s="270"/>
      <c r="G167" s="270"/>
      <c r="H167" s="28"/>
      <c r="I167" s="283"/>
      <c r="J167" s="283"/>
      <c r="K167" s="283"/>
      <c r="L167" s="280"/>
      <c r="M167" s="285">
        <f>E167*I167</f>
        <v>0</v>
      </c>
      <c r="N167" s="285">
        <f t="shared" ref="N167" si="32">F167*J167</f>
        <v>0</v>
      </c>
      <c r="O167" s="285">
        <f>G167*K167</f>
        <v>0</v>
      </c>
    </row>
    <row r="168" spans="1:15" ht="14.25" x14ac:dyDescent="0.2">
      <c r="A168" s="246"/>
      <c r="B168" s="275"/>
      <c r="C168" s="276" t="s">
        <v>383</v>
      </c>
      <c r="D168" s="277"/>
      <c r="E168" s="57"/>
      <c r="F168" s="57"/>
      <c r="G168" s="57"/>
      <c r="H168" s="57"/>
      <c r="I168" s="282"/>
      <c r="J168" s="282"/>
      <c r="K168" s="282"/>
      <c r="L168" s="282"/>
      <c r="M168" s="296"/>
      <c r="N168" s="296"/>
      <c r="O168" s="296"/>
    </row>
    <row r="169" spans="1:15" ht="14.25" x14ac:dyDescent="0.2">
      <c r="B169" s="271"/>
      <c r="C169" s="274" t="s">
        <v>384</v>
      </c>
      <c r="D169" s="272"/>
      <c r="E169" s="61"/>
      <c r="F169" s="61"/>
      <c r="G169" s="61"/>
      <c r="H169" s="61"/>
      <c r="I169" s="284"/>
      <c r="J169" s="284"/>
      <c r="K169" s="284"/>
      <c r="L169" s="284"/>
      <c r="M169" s="298">
        <f>SUM(M170:M170)</f>
        <v>0</v>
      </c>
      <c r="N169" s="298">
        <f>SUM(N170:N170)</f>
        <v>0</v>
      </c>
      <c r="O169" s="298">
        <f>SUM(O170:O170)</f>
        <v>0</v>
      </c>
    </row>
    <row r="170" spans="1:15" ht="14.25" x14ac:dyDescent="0.2">
      <c r="B170" s="253"/>
      <c r="C170" s="30" t="s">
        <v>394</v>
      </c>
      <c r="D170" s="41"/>
      <c r="E170" s="270"/>
      <c r="F170" s="270"/>
      <c r="G170" s="270"/>
      <c r="H170" s="28"/>
      <c r="I170" s="283"/>
      <c r="J170" s="283"/>
      <c r="K170" s="283"/>
      <c r="L170" s="280"/>
      <c r="M170" s="285">
        <f>E170*I170</f>
        <v>0</v>
      </c>
      <c r="N170" s="285">
        <f t="shared" ref="N170" si="33">F170*J170</f>
        <v>0</v>
      </c>
      <c r="O170" s="285">
        <f>G170*K170</f>
        <v>0</v>
      </c>
    </row>
    <row r="171" spans="1:15" ht="14.25" x14ac:dyDescent="0.2">
      <c r="B171" s="271"/>
      <c r="C171" s="274" t="s">
        <v>385</v>
      </c>
      <c r="D171" s="272"/>
      <c r="E171" s="61"/>
      <c r="F171" s="61"/>
      <c r="G171" s="61"/>
      <c r="H171" s="61"/>
      <c r="I171" s="284"/>
      <c r="J171" s="284"/>
      <c r="K171" s="284"/>
      <c r="L171" s="284"/>
      <c r="M171" s="298">
        <f>SUM(M172:M172)</f>
        <v>0</v>
      </c>
      <c r="N171" s="298">
        <f>SUM(N172:N172)</f>
        <v>0</v>
      </c>
      <c r="O171" s="298">
        <f>SUM(O172:O172)</f>
        <v>0</v>
      </c>
    </row>
    <row r="172" spans="1:15" ht="14.25" x14ac:dyDescent="0.2">
      <c r="B172" s="253"/>
      <c r="C172" s="30" t="s">
        <v>394</v>
      </c>
      <c r="D172" s="41"/>
      <c r="E172" s="270"/>
      <c r="F172" s="270"/>
      <c r="G172" s="270"/>
      <c r="H172" s="28"/>
      <c r="I172" s="283"/>
      <c r="J172" s="283"/>
      <c r="K172" s="283"/>
      <c r="L172" s="280"/>
      <c r="M172" s="285">
        <f>E172*I172</f>
        <v>0</v>
      </c>
      <c r="N172" s="285">
        <f t="shared" ref="N172" si="34">F172*J172</f>
        <v>0</v>
      </c>
      <c r="O172" s="285">
        <f>G172*K172</f>
        <v>0</v>
      </c>
    </row>
    <row r="173" spans="1:15" ht="14.25" x14ac:dyDescent="0.2">
      <c r="A173" s="246"/>
      <c r="B173" s="288"/>
      <c r="C173" s="289" t="s">
        <v>386</v>
      </c>
      <c r="D173" s="290"/>
      <c r="E173" s="291"/>
      <c r="F173" s="291"/>
      <c r="G173" s="291"/>
      <c r="H173" s="291"/>
      <c r="I173" s="292"/>
      <c r="J173" s="292"/>
      <c r="K173" s="292"/>
      <c r="L173" s="292"/>
      <c r="M173" s="297"/>
      <c r="N173" s="297"/>
      <c r="O173" s="297"/>
    </row>
    <row r="174" spans="1:15" ht="14.25" x14ac:dyDescent="0.2">
      <c r="B174" s="271"/>
      <c r="C174" s="274" t="s">
        <v>387</v>
      </c>
      <c r="D174" s="272"/>
      <c r="E174" s="61"/>
      <c r="F174" s="61"/>
      <c r="G174" s="61"/>
      <c r="H174" s="61"/>
      <c r="I174" s="284"/>
      <c r="J174" s="284"/>
      <c r="K174" s="284"/>
      <c r="L174" s="284"/>
      <c r="M174" s="298">
        <f>SUM(M175:M175)</f>
        <v>0</v>
      </c>
      <c r="N174" s="298">
        <f>SUM(N175:N175)</f>
        <v>0</v>
      </c>
      <c r="O174" s="298">
        <f>SUM(O175:O175)</f>
        <v>0</v>
      </c>
    </row>
    <row r="175" spans="1:15" ht="14.25" x14ac:dyDescent="0.2">
      <c r="B175" s="253"/>
      <c r="C175" s="30" t="s">
        <v>394</v>
      </c>
      <c r="D175" s="41"/>
      <c r="E175" s="270"/>
      <c r="F175" s="270"/>
      <c r="G175" s="270"/>
      <c r="H175" s="28"/>
      <c r="I175" s="283"/>
      <c r="J175" s="283"/>
      <c r="K175" s="283"/>
      <c r="L175" s="280"/>
      <c r="M175" s="285">
        <f>E175*I175</f>
        <v>0</v>
      </c>
      <c r="N175" s="285">
        <f t="shared" ref="N175" si="35">F175*J175</f>
        <v>0</v>
      </c>
      <c r="O175" s="285">
        <f>G175*K175</f>
        <v>0</v>
      </c>
    </row>
    <row r="176" spans="1:15" ht="14.25" x14ac:dyDescent="0.2">
      <c r="B176" s="271"/>
      <c r="C176" s="274" t="s">
        <v>388</v>
      </c>
      <c r="D176" s="272"/>
      <c r="E176" s="61"/>
      <c r="F176" s="61"/>
      <c r="G176" s="61"/>
      <c r="H176" s="61"/>
      <c r="I176" s="284"/>
      <c r="J176" s="284"/>
      <c r="K176" s="284"/>
      <c r="L176" s="284"/>
      <c r="M176" s="298">
        <f>SUM(M177:M177)</f>
        <v>0</v>
      </c>
      <c r="N176" s="298">
        <f>SUM(N177:N177)</f>
        <v>0</v>
      </c>
      <c r="O176" s="298">
        <f>SUM(O177:O177)</f>
        <v>0</v>
      </c>
    </row>
    <row r="177" spans="1:16" ht="14.25" x14ac:dyDescent="0.2">
      <c r="B177" s="253"/>
      <c r="C177" s="30" t="s">
        <v>394</v>
      </c>
      <c r="D177" s="41"/>
      <c r="E177" s="270"/>
      <c r="F177" s="270"/>
      <c r="G177" s="270"/>
      <c r="H177" s="28"/>
      <c r="I177" s="283"/>
      <c r="J177" s="283"/>
      <c r="K177" s="283"/>
      <c r="L177" s="280"/>
      <c r="M177" s="285">
        <f>E177*I177</f>
        <v>0</v>
      </c>
      <c r="N177" s="285">
        <f t="shared" ref="N177" si="36">F177*J177</f>
        <v>0</v>
      </c>
      <c r="O177" s="285">
        <f>G177*K177</f>
        <v>0</v>
      </c>
    </row>
    <row r="178" spans="1:16" ht="14.25" x14ac:dyDescent="0.2">
      <c r="B178" s="273"/>
      <c r="C178" s="3"/>
      <c r="D178" s="3"/>
      <c r="E178" s="3"/>
      <c r="I178" s="278"/>
      <c r="J178" s="278"/>
      <c r="K178" s="278"/>
      <c r="L178" s="278"/>
      <c r="M178" s="278"/>
      <c r="N178" s="278"/>
      <c r="O178" s="278"/>
    </row>
    <row r="179" spans="1:16" ht="15.75" thickBot="1" x14ac:dyDescent="0.3">
      <c r="A179" s="246"/>
      <c r="B179" s="273"/>
      <c r="C179" s="3"/>
      <c r="D179" s="3"/>
      <c r="E179" s="3"/>
      <c r="I179" s="278"/>
      <c r="J179" s="278"/>
      <c r="K179" s="278"/>
      <c r="L179" s="286" t="s">
        <v>390</v>
      </c>
      <c r="M179" s="287">
        <f>SUM(M152:M172)/2</f>
        <v>0</v>
      </c>
      <c r="N179" s="287">
        <f>SUM(N152:N172)/2</f>
        <v>0</v>
      </c>
      <c r="O179" s="287">
        <f>SUM(O152:O172)/2</f>
        <v>0</v>
      </c>
    </row>
    <row r="180" spans="1:16" ht="16.5" thickTop="1" thickBot="1" x14ac:dyDescent="0.3">
      <c r="B180" s="273"/>
      <c r="C180" s="3"/>
      <c r="D180" s="3"/>
      <c r="E180" s="3"/>
      <c r="I180" s="278"/>
      <c r="J180" s="278"/>
      <c r="K180" s="278"/>
      <c r="L180" s="286" t="s">
        <v>389</v>
      </c>
      <c r="M180" s="287">
        <f>SUM(M174:M177)/2</f>
        <v>0</v>
      </c>
      <c r="N180" s="287">
        <f>SUM(N174:N177)/2</f>
        <v>0</v>
      </c>
      <c r="O180" s="287">
        <f>SUM(O174:O177)/2</f>
        <v>0</v>
      </c>
    </row>
    <row r="181" spans="1:16" ht="14.25" hidden="1" x14ac:dyDescent="0.2">
      <c r="B181" s="3"/>
      <c r="C181" s="3" t="s">
        <v>281</v>
      </c>
      <c r="D181" s="3">
        <f>D31*30.4+D32*7</f>
        <v>175.2</v>
      </c>
      <c r="E181" s="3">
        <f>E31*30.4+E32*7</f>
        <v>175.2</v>
      </c>
      <c r="F181" s="3">
        <f>F31*30.4+F32*7</f>
        <v>175.2</v>
      </c>
    </row>
    <row r="182" spans="1:16" ht="14.25" hidden="1" x14ac:dyDescent="0.2">
      <c r="B182" s="3"/>
      <c r="C182" s="3" t="s">
        <v>283</v>
      </c>
      <c r="D182" s="3">
        <f>D181*D174</f>
        <v>0</v>
      </c>
      <c r="E182" s="3">
        <f t="shared" ref="E182:F182" si="37">E181*E174</f>
        <v>0</v>
      </c>
      <c r="F182" s="3">
        <f t="shared" si="37"/>
        <v>0</v>
      </c>
    </row>
    <row r="183" spans="1:16" ht="14.25" hidden="1" x14ac:dyDescent="0.2">
      <c r="B183" s="3"/>
      <c r="C183" s="40" t="s">
        <v>284</v>
      </c>
      <c r="D183" s="42">
        <f>D182*D33</f>
        <v>0</v>
      </c>
      <c r="E183" s="42">
        <f>E182*E33</f>
        <v>0</v>
      </c>
      <c r="F183" s="42">
        <f>F182*F33</f>
        <v>0</v>
      </c>
    </row>
    <row r="184" spans="1:16" ht="14.25" hidden="1" x14ac:dyDescent="0.2">
      <c r="B184" s="3"/>
      <c r="C184" s="19"/>
      <c r="D184" s="42"/>
      <c r="E184" s="42"/>
      <c r="F184" s="42"/>
    </row>
    <row r="185" spans="1:16" ht="14.25" hidden="1" x14ac:dyDescent="0.2">
      <c r="B185" s="3"/>
      <c r="C185" s="19" t="s">
        <v>285</v>
      </c>
      <c r="D185" s="39">
        <f>D34*D174*D35</f>
        <v>0</v>
      </c>
      <c r="E185" s="39">
        <f>E34*E174*E35</f>
        <v>0</v>
      </c>
      <c r="F185" s="39">
        <f>F34*F174*F35</f>
        <v>0</v>
      </c>
    </row>
    <row r="186" spans="1:16" s="28" customFormat="1" ht="16.5" thickTop="1" x14ac:dyDescent="0.25">
      <c r="A186" s="263"/>
      <c r="B186" s="315"/>
      <c r="C186" s="316">
        <f>B107</f>
        <v>0</v>
      </c>
      <c r="D186" s="315"/>
      <c r="E186" s="315"/>
      <c r="F186" s="315"/>
      <c r="G186" s="315"/>
      <c r="H186" s="317"/>
      <c r="I186" s="318"/>
      <c r="J186" s="318"/>
      <c r="K186" s="318"/>
      <c r="L186" s="318"/>
      <c r="M186" s="318"/>
      <c r="N186" s="318"/>
      <c r="O186" s="318"/>
      <c r="P186" s="254"/>
    </row>
    <row r="187" spans="1:16" ht="15.75" x14ac:dyDescent="0.25">
      <c r="A187" s="246"/>
      <c r="B187" s="303" t="s">
        <v>346</v>
      </c>
      <c r="C187" s="304" t="s">
        <v>369</v>
      </c>
      <c r="D187" s="305" t="s">
        <v>370</v>
      </c>
      <c r="E187" s="306"/>
      <c r="F187" s="306" t="s">
        <v>392</v>
      </c>
      <c r="G187" s="306"/>
      <c r="H187" s="306"/>
      <c r="I187" s="307"/>
      <c r="J187" s="307" t="s">
        <v>391</v>
      </c>
      <c r="K187" s="307"/>
      <c r="L187" s="279"/>
      <c r="M187" s="307"/>
      <c r="N187" s="307" t="s">
        <v>369</v>
      </c>
      <c r="O187" s="307"/>
    </row>
    <row r="188" spans="1:16" ht="15.75" x14ac:dyDescent="0.25">
      <c r="A188" s="246"/>
      <c r="B188" s="266"/>
      <c r="C188" s="264"/>
      <c r="D188" s="266"/>
      <c r="E188" s="267" t="s">
        <v>371</v>
      </c>
      <c r="F188" s="267" t="s">
        <v>372</v>
      </c>
      <c r="G188" s="267" t="s">
        <v>373</v>
      </c>
      <c r="I188" s="281" t="s">
        <v>371</v>
      </c>
      <c r="J188" s="281" t="s">
        <v>372</v>
      </c>
      <c r="K188" s="281" t="s">
        <v>373</v>
      </c>
      <c r="L188" s="278"/>
      <c r="M188" s="293" t="s">
        <v>371</v>
      </c>
      <c r="N188" s="293" t="s">
        <v>372</v>
      </c>
      <c r="O188" s="293" t="s">
        <v>373</v>
      </c>
      <c r="P188" s="254"/>
    </row>
    <row r="189" spans="1:16" ht="14.25" x14ac:dyDescent="0.2">
      <c r="A189" s="246"/>
      <c r="B189" s="275"/>
      <c r="C189" s="276" t="s">
        <v>374</v>
      </c>
      <c r="D189" s="277"/>
      <c r="E189" s="57"/>
      <c r="F189" s="57"/>
      <c r="G189" s="57"/>
      <c r="H189" s="57"/>
      <c r="I189" s="282"/>
      <c r="J189" s="282"/>
      <c r="K189" s="282"/>
      <c r="L189" s="282"/>
      <c r="M189" s="294">
        <f>SUM(M190:M190)</f>
        <v>0</v>
      </c>
      <c r="N189" s="294">
        <f>SUM(N190:N190)</f>
        <v>0</v>
      </c>
      <c r="O189" s="294">
        <f>SUM(O190:O190)</f>
        <v>0</v>
      </c>
    </row>
    <row r="190" spans="1:16" ht="14.25" x14ac:dyDescent="0.2">
      <c r="A190" s="246"/>
      <c r="B190" s="253"/>
      <c r="C190" s="30" t="s">
        <v>394</v>
      </c>
      <c r="D190" s="41"/>
      <c r="E190" s="270"/>
      <c r="F190" s="270"/>
      <c r="G190" s="270"/>
      <c r="H190" s="28"/>
      <c r="I190" s="283"/>
      <c r="J190" s="283"/>
      <c r="K190" s="283"/>
      <c r="L190" s="280"/>
      <c r="M190" s="295">
        <f>E190*I190</f>
        <v>0</v>
      </c>
      <c r="N190" s="295">
        <f t="shared" ref="N190" si="38">F190*J190</f>
        <v>0</v>
      </c>
      <c r="O190" s="295">
        <f t="shared" ref="O190" si="39">G190*K190</f>
        <v>0</v>
      </c>
    </row>
    <row r="191" spans="1:16" ht="14.25" x14ac:dyDescent="0.2">
      <c r="A191" s="246"/>
      <c r="B191" s="275"/>
      <c r="C191" s="276" t="s">
        <v>378</v>
      </c>
      <c r="D191" s="277"/>
      <c r="E191" s="57"/>
      <c r="F191" s="57"/>
      <c r="G191" s="57"/>
      <c r="H191" s="57"/>
      <c r="I191" s="282"/>
      <c r="J191" s="282"/>
      <c r="K191" s="282"/>
      <c r="L191" s="282"/>
      <c r="M191" s="296"/>
      <c r="N191" s="296"/>
      <c r="O191" s="296"/>
    </row>
    <row r="192" spans="1:16" ht="14.25" x14ac:dyDescent="0.2">
      <c r="A192" s="246"/>
      <c r="B192" s="268"/>
      <c r="C192" s="274" t="s">
        <v>375</v>
      </c>
      <c r="D192" s="269"/>
      <c r="E192" s="61"/>
      <c r="F192" s="61"/>
      <c r="G192" s="61"/>
      <c r="H192" s="61"/>
      <c r="I192" s="284"/>
      <c r="J192" s="284"/>
      <c r="K192" s="284"/>
      <c r="L192" s="284"/>
      <c r="M192" s="298">
        <f>SUM(M193:M193)</f>
        <v>0</v>
      </c>
      <c r="N192" s="298">
        <f>SUM(N193:N193)</f>
        <v>0</v>
      </c>
      <c r="O192" s="298">
        <f>SUM(O193:O193)</f>
        <v>0</v>
      </c>
    </row>
    <row r="193" spans="1:15" ht="14.25" x14ac:dyDescent="0.2">
      <c r="B193" s="253"/>
      <c r="C193" s="30" t="s">
        <v>394</v>
      </c>
      <c r="D193" s="41"/>
      <c r="E193" s="270"/>
      <c r="F193" s="270"/>
      <c r="G193" s="270"/>
      <c r="H193" s="28"/>
      <c r="I193" s="283"/>
      <c r="J193" s="283"/>
      <c r="K193" s="283"/>
      <c r="L193" s="280"/>
      <c r="M193" s="285">
        <f>E193*I193</f>
        <v>0</v>
      </c>
      <c r="N193" s="285">
        <f t="shared" ref="N193" si="40">F193*J193</f>
        <v>0</v>
      </c>
      <c r="O193" s="285">
        <f t="shared" ref="O193" si="41">G193*K193</f>
        <v>0</v>
      </c>
    </row>
    <row r="194" spans="1:15" ht="14.25" x14ac:dyDescent="0.2">
      <c r="B194" s="268"/>
      <c r="C194" s="274" t="s">
        <v>376</v>
      </c>
      <c r="D194" s="269"/>
      <c r="E194" s="61"/>
      <c r="F194" s="61"/>
      <c r="G194" s="61"/>
      <c r="H194" s="61"/>
      <c r="I194" s="284"/>
      <c r="J194" s="284"/>
      <c r="K194" s="284"/>
      <c r="L194" s="284"/>
      <c r="M194" s="298">
        <f>SUM(M195:M195)</f>
        <v>0</v>
      </c>
      <c r="N194" s="298">
        <f>SUM(N195:N195)</f>
        <v>0</v>
      </c>
      <c r="O194" s="298">
        <f>SUM(O195:O195)</f>
        <v>0</v>
      </c>
    </row>
    <row r="195" spans="1:15" ht="14.25" x14ac:dyDescent="0.2">
      <c r="B195" s="253"/>
      <c r="C195" s="30" t="s">
        <v>394</v>
      </c>
      <c r="D195" s="41"/>
      <c r="E195" s="270"/>
      <c r="F195" s="270"/>
      <c r="G195" s="270"/>
      <c r="H195" s="28"/>
      <c r="I195" s="283"/>
      <c r="J195" s="283"/>
      <c r="K195" s="283"/>
      <c r="L195" s="280"/>
      <c r="M195" s="285">
        <f>E195*I195</f>
        <v>0</v>
      </c>
      <c r="N195" s="285">
        <f t="shared" ref="N195" si="42">F195*J195</f>
        <v>0</v>
      </c>
      <c r="O195" s="285">
        <f>G195*K195</f>
        <v>0</v>
      </c>
    </row>
    <row r="196" spans="1:15" ht="14.25" x14ac:dyDescent="0.2">
      <c r="B196" s="268"/>
      <c r="C196" s="274" t="s">
        <v>379</v>
      </c>
      <c r="D196" s="269"/>
      <c r="E196" s="61"/>
      <c r="F196" s="61"/>
      <c r="G196" s="61"/>
      <c r="H196" s="61"/>
      <c r="I196" s="284"/>
      <c r="J196" s="284"/>
      <c r="K196" s="284"/>
      <c r="L196" s="284"/>
      <c r="M196" s="298">
        <f>SUM(M197:M197)</f>
        <v>0</v>
      </c>
      <c r="N196" s="298">
        <f>SUM(N197:N197)</f>
        <v>0</v>
      </c>
      <c r="O196" s="298">
        <f>SUM(O197:O197)</f>
        <v>0</v>
      </c>
    </row>
    <row r="197" spans="1:15" ht="14.25" x14ac:dyDescent="0.2">
      <c r="B197" s="253"/>
      <c r="C197" s="30" t="s">
        <v>394</v>
      </c>
      <c r="D197" s="41"/>
      <c r="E197" s="270"/>
      <c r="F197" s="270"/>
      <c r="G197" s="270"/>
      <c r="H197" s="28"/>
      <c r="I197" s="283"/>
      <c r="J197" s="283"/>
      <c r="K197" s="283"/>
      <c r="L197" s="280"/>
      <c r="M197" s="285">
        <f>E197*I197</f>
        <v>0</v>
      </c>
      <c r="N197" s="285">
        <f t="shared" ref="N197" si="43">F197*J197</f>
        <v>0</v>
      </c>
      <c r="O197" s="285">
        <f>G197*K197</f>
        <v>0</v>
      </c>
    </row>
    <row r="198" spans="1:15" ht="14.25" x14ac:dyDescent="0.2">
      <c r="B198" s="271"/>
      <c r="C198" s="274" t="s">
        <v>380</v>
      </c>
      <c r="D198" s="272"/>
      <c r="E198" s="61"/>
      <c r="F198" s="61"/>
      <c r="G198" s="61"/>
      <c r="H198" s="61"/>
      <c r="I198" s="284"/>
      <c r="J198" s="284"/>
      <c r="K198" s="284"/>
      <c r="L198" s="284"/>
      <c r="M198" s="298">
        <f>SUM(M199:M199)</f>
        <v>0</v>
      </c>
      <c r="N198" s="298">
        <f>SUM(N199:N199)</f>
        <v>0</v>
      </c>
      <c r="O198" s="298">
        <f>SUM(O199:O199)</f>
        <v>0</v>
      </c>
    </row>
    <row r="199" spans="1:15" ht="14.25" x14ac:dyDescent="0.2">
      <c r="B199" s="253"/>
      <c r="C199" s="30" t="s">
        <v>394</v>
      </c>
      <c r="D199" s="41"/>
      <c r="E199" s="270"/>
      <c r="F199" s="270"/>
      <c r="G199" s="270"/>
      <c r="H199" s="28"/>
      <c r="I199" s="283"/>
      <c r="J199" s="283"/>
      <c r="K199" s="283"/>
      <c r="L199" s="280"/>
      <c r="M199" s="285">
        <f>E199*I199</f>
        <v>0</v>
      </c>
      <c r="N199" s="285">
        <f t="shared" ref="N199" si="44">F199*J199</f>
        <v>0</v>
      </c>
      <c r="O199" s="285">
        <f>G199*K199</f>
        <v>0</v>
      </c>
    </row>
    <row r="200" spans="1:15" ht="14.25" x14ac:dyDescent="0.2">
      <c r="B200" s="271"/>
      <c r="C200" s="274" t="s">
        <v>381</v>
      </c>
      <c r="D200" s="272"/>
      <c r="E200" s="61"/>
      <c r="F200" s="61"/>
      <c r="G200" s="61"/>
      <c r="H200" s="61"/>
      <c r="I200" s="284"/>
      <c r="J200" s="284"/>
      <c r="K200" s="284"/>
      <c r="L200" s="284"/>
      <c r="M200" s="298">
        <f>SUM(M201:M201)</f>
        <v>0</v>
      </c>
      <c r="N200" s="298">
        <f>SUM(N201:N201)</f>
        <v>0</v>
      </c>
      <c r="O200" s="298">
        <f>SUM(O201:O201)</f>
        <v>0</v>
      </c>
    </row>
    <row r="201" spans="1:15" ht="14.25" x14ac:dyDescent="0.2">
      <c r="B201" s="253"/>
      <c r="C201" s="30" t="s">
        <v>394</v>
      </c>
      <c r="D201" s="41"/>
      <c r="E201" s="270"/>
      <c r="F201" s="270"/>
      <c r="G201" s="270"/>
      <c r="H201" s="28"/>
      <c r="I201" s="283"/>
      <c r="J201" s="283"/>
      <c r="K201" s="283"/>
      <c r="L201" s="280"/>
      <c r="M201" s="285">
        <f>E201*I201</f>
        <v>0</v>
      </c>
      <c r="N201" s="285">
        <f>F201*J201</f>
        <v>0</v>
      </c>
      <c r="O201" s="285">
        <f>G201*K201</f>
        <v>0</v>
      </c>
    </row>
    <row r="202" spans="1:15" ht="14.25" x14ac:dyDescent="0.2">
      <c r="B202" s="268"/>
      <c r="C202" s="274" t="s">
        <v>377</v>
      </c>
      <c r="D202" s="269"/>
      <c r="E202" s="61"/>
      <c r="F202" s="61"/>
      <c r="G202" s="61"/>
      <c r="H202" s="61"/>
      <c r="I202" s="284"/>
      <c r="J202" s="284"/>
      <c r="K202" s="284"/>
      <c r="L202" s="284"/>
      <c r="M202" s="298">
        <f>SUM(M203:M203)</f>
        <v>0</v>
      </c>
      <c r="N202" s="298">
        <f>SUM(N203:N203)</f>
        <v>0</v>
      </c>
      <c r="O202" s="298">
        <f>SUM(O203:O203)</f>
        <v>0</v>
      </c>
    </row>
    <row r="203" spans="1:15" ht="14.25" x14ac:dyDescent="0.2">
      <c r="B203" s="253"/>
      <c r="C203" s="30" t="s">
        <v>394</v>
      </c>
      <c r="D203" s="41"/>
      <c r="E203" s="270"/>
      <c r="F203" s="270"/>
      <c r="G203" s="270"/>
      <c r="H203" s="28"/>
      <c r="I203" s="283"/>
      <c r="J203" s="283"/>
      <c r="K203" s="283"/>
      <c r="L203" s="280"/>
      <c r="M203" s="285">
        <f>E203*I203</f>
        <v>0</v>
      </c>
      <c r="N203" s="285">
        <f t="shared" ref="N203" si="45">F203*J203</f>
        <v>0</v>
      </c>
      <c r="O203" s="285">
        <f>G203*K203</f>
        <v>0</v>
      </c>
    </row>
    <row r="204" spans="1:15" ht="14.25" x14ac:dyDescent="0.2">
      <c r="B204" s="268"/>
      <c r="C204" s="274" t="s">
        <v>382</v>
      </c>
      <c r="D204" s="269"/>
      <c r="E204" s="61"/>
      <c r="F204" s="61"/>
      <c r="G204" s="61"/>
      <c r="H204" s="61"/>
      <c r="I204" s="284"/>
      <c r="J204" s="284"/>
      <c r="K204" s="284"/>
      <c r="L204" s="284"/>
      <c r="M204" s="298">
        <f>SUM(M205:M205)</f>
        <v>0</v>
      </c>
      <c r="N204" s="298">
        <f>SUM(N205:N205)</f>
        <v>0</v>
      </c>
      <c r="O204" s="298">
        <f>SUM(O205:O205)</f>
        <v>0</v>
      </c>
    </row>
    <row r="205" spans="1:15" ht="14.25" x14ac:dyDescent="0.2">
      <c r="B205" s="253"/>
      <c r="C205" s="30" t="s">
        <v>394</v>
      </c>
      <c r="D205" s="41"/>
      <c r="E205" s="270"/>
      <c r="F205" s="270"/>
      <c r="G205" s="270"/>
      <c r="H205" s="28"/>
      <c r="I205" s="283"/>
      <c r="J205" s="283"/>
      <c r="K205" s="283"/>
      <c r="L205" s="280"/>
      <c r="M205" s="285">
        <f>E205*I205</f>
        <v>0</v>
      </c>
      <c r="N205" s="285">
        <f t="shared" ref="N205" si="46">F205*J205</f>
        <v>0</v>
      </c>
      <c r="O205" s="285">
        <f>G205*K205</f>
        <v>0</v>
      </c>
    </row>
    <row r="206" spans="1:15" ht="14.25" x14ac:dyDescent="0.2">
      <c r="A206" s="246"/>
      <c r="B206" s="275"/>
      <c r="C206" s="276" t="s">
        <v>383</v>
      </c>
      <c r="D206" s="277"/>
      <c r="E206" s="57"/>
      <c r="F206" s="57"/>
      <c r="G206" s="57"/>
      <c r="H206" s="57"/>
      <c r="I206" s="282"/>
      <c r="J206" s="282"/>
      <c r="K206" s="282"/>
      <c r="L206" s="282"/>
      <c r="M206" s="296"/>
      <c r="N206" s="296"/>
      <c r="O206" s="296"/>
    </row>
    <row r="207" spans="1:15" ht="14.25" x14ac:dyDescent="0.2">
      <c r="B207" s="271"/>
      <c r="C207" s="274" t="s">
        <v>384</v>
      </c>
      <c r="D207" s="272"/>
      <c r="E207" s="61"/>
      <c r="F207" s="61"/>
      <c r="G207" s="61"/>
      <c r="H207" s="61"/>
      <c r="I207" s="284"/>
      <c r="J207" s="284"/>
      <c r="K207" s="284"/>
      <c r="L207" s="284"/>
      <c r="M207" s="298">
        <f>SUM(M208:M208)</f>
        <v>0</v>
      </c>
      <c r="N207" s="298">
        <f>SUM(N208:N208)</f>
        <v>0</v>
      </c>
      <c r="O207" s="298">
        <f>SUM(O208:O208)</f>
        <v>0</v>
      </c>
    </row>
    <row r="208" spans="1:15" ht="14.25" x14ac:dyDescent="0.2">
      <c r="B208" s="253"/>
      <c r="C208" s="30" t="s">
        <v>394</v>
      </c>
      <c r="D208" s="41"/>
      <c r="E208" s="270"/>
      <c r="F208" s="270"/>
      <c r="G208" s="270"/>
      <c r="H208" s="28"/>
      <c r="I208" s="283"/>
      <c r="J208" s="283"/>
      <c r="K208" s="283"/>
      <c r="L208" s="280"/>
      <c r="M208" s="285">
        <f>E208*I208</f>
        <v>0</v>
      </c>
      <c r="N208" s="285">
        <f t="shared" ref="N208" si="47">F208*J208</f>
        <v>0</v>
      </c>
      <c r="O208" s="285">
        <f>G208*K208</f>
        <v>0</v>
      </c>
    </row>
    <row r="209" spans="1:15" ht="14.25" x14ac:dyDescent="0.2">
      <c r="B209" s="271"/>
      <c r="C209" s="274" t="s">
        <v>385</v>
      </c>
      <c r="D209" s="272"/>
      <c r="E209" s="61"/>
      <c r="F209" s="61"/>
      <c r="G209" s="61"/>
      <c r="H209" s="61"/>
      <c r="I209" s="284"/>
      <c r="J209" s="284"/>
      <c r="K209" s="284"/>
      <c r="L209" s="284"/>
      <c r="M209" s="298">
        <f>SUM(M210:M210)</f>
        <v>0</v>
      </c>
      <c r="N209" s="298">
        <f>SUM(N210:N210)</f>
        <v>0</v>
      </c>
      <c r="O209" s="298">
        <f>SUM(O210:O210)</f>
        <v>0</v>
      </c>
    </row>
    <row r="210" spans="1:15" ht="14.25" x14ac:dyDescent="0.2">
      <c r="B210" s="253"/>
      <c r="C210" s="30" t="s">
        <v>394</v>
      </c>
      <c r="D210" s="41"/>
      <c r="E210" s="270"/>
      <c r="F210" s="270"/>
      <c r="G210" s="270"/>
      <c r="H210" s="28"/>
      <c r="I210" s="283"/>
      <c r="J210" s="283"/>
      <c r="K210" s="283"/>
      <c r="L210" s="280"/>
      <c r="M210" s="285">
        <f>E210*I210</f>
        <v>0</v>
      </c>
      <c r="N210" s="285">
        <f t="shared" ref="N210" si="48">F210*J210</f>
        <v>0</v>
      </c>
      <c r="O210" s="285">
        <f>G210*K210</f>
        <v>0</v>
      </c>
    </row>
    <row r="211" spans="1:15" ht="14.25" x14ac:dyDescent="0.2">
      <c r="A211" s="246"/>
      <c r="B211" s="288"/>
      <c r="C211" s="289" t="s">
        <v>386</v>
      </c>
      <c r="D211" s="290"/>
      <c r="E211" s="291"/>
      <c r="F211" s="291"/>
      <c r="G211" s="291"/>
      <c r="H211" s="291"/>
      <c r="I211" s="292"/>
      <c r="J211" s="292"/>
      <c r="K211" s="292"/>
      <c r="L211" s="292"/>
      <c r="M211" s="297"/>
      <c r="N211" s="297"/>
      <c r="O211" s="297"/>
    </row>
    <row r="212" spans="1:15" ht="14.25" x14ac:dyDescent="0.2">
      <c r="B212" s="271"/>
      <c r="C212" s="274" t="s">
        <v>387</v>
      </c>
      <c r="D212" s="272"/>
      <c r="E212" s="61"/>
      <c r="F212" s="61"/>
      <c r="G212" s="61"/>
      <c r="H212" s="61"/>
      <c r="I212" s="284"/>
      <c r="J212" s="284"/>
      <c r="K212" s="284"/>
      <c r="L212" s="284"/>
      <c r="M212" s="298">
        <f>SUM(M213:M213)</f>
        <v>0</v>
      </c>
      <c r="N212" s="298">
        <f>SUM(N213:N213)</f>
        <v>0</v>
      </c>
      <c r="O212" s="298">
        <f>SUM(O213:O213)</f>
        <v>0</v>
      </c>
    </row>
    <row r="213" spans="1:15" ht="14.25" x14ac:dyDescent="0.2">
      <c r="B213" s="253"/>
      <c r="C213" s="30" t="s">
        <v>394</v>
      </c>
      <c r="D213" s="41"/>
      <c r="E213" s="270"/>
      <c r="F213" s="270"/>
      <c r="G213" s="270"/>
      <c r="H213" s="28"/>
      <c r="I213" s="283"/>
      <c r="J213" s="283"/>
      <c r="K213" s="283"/>
      <c r="L213" s="280"/>
      <c r="M213" s="285">
        <f>E213*I213</f>
        <v>0</v>
      </c>
      <c r="N213" s="285">
        <f t="shared" ref="N213" si="49">F213*J213</f>
        <v>0</v>
      </c>
      <c r="O213" s="285">
        <f>G213*K213</f>
        <v>0</v>
      </c>
    </row>
    <row r="214" spans="1:15" ht="14.25" x14ac:dyDescent="0.2">
      <c r="B214" s="271"/>
      <c r="C214" s="274" t="s">
        <v>388</v>
      </c>
      <c r="D214" s="272"/>
      <c r="E214" s="61"/>
      <c r="F214" s="61"/>
      <c r="G214" s="61"/>
      <c r="H214" s="61"/>
      <c r="I214" s="284"/>
      <c r="J214" s="284"/>
      <c r="K214" s="284"/>
      <c r="L214" s="284"/>
      <c r="M214" s="298">
        <f>SUM(M215:M215)</f>
        <v>0</v>
      </c>
      <c r="N214" s="298">
        <f>SUM(N215:N215)</f>
        <v>0</v>
      </c>
      <c r="O214" s="298">
        <f>SUM(O215:O215)</f>
        <v>0</v>
      </c>
    </row>
    <row r="215" spans="1:15" ht="14.25" x14ac:dyDescent="0.2">
      <c r="B215" s="253"/>
      <c r="C215" s="30" t="s">
        <v>394</v>
      </c>
      <c r="D215" s="41"/>
      <c r="E215" s="270"/>
      <c r="F215" s="270"/>
      <c r="G215" s="270"/>
      <c r="H215" s="28"/>
      <c r="I215" s="283"/>
      <c r="J215" s="283"/>
      <c r="K215" s="283"/>
      <c r="L215" s="280"/>
      <c r="M215" s="285">
        <f>E215*I215</f>
        <v>0</v>
      </c>
      <c r="N215" s="285">
        <f t="shared" ref="N215" si="50">F215*J215</f>
        <v>0</v>
      </c>
      <c r="O215" s="285">
        <f>G215*K215</f>
        <v>0</v>
      </c>
    </row>
    <row r="216" spans="1:15" ht="14.25" x14ac:dyDescent="0.2">
      <c r="B216" s="273"/>
      <c r="C216" s="3"/>
      <c r="D216" s="3"/>
      <c r="E216" s="3"/>
      <c r="I216" s="278"/>
      <c r="J216" s="278"/>
      <c r="K216" s="278"/>
      <c r="L216" s="278"/>
      <c r="M216" s="278"/>
      <c r="N216" s="278"/>
      <c r="O216" s="278"/>
    </row>
    <row r="217" spans="1:15" ht="15.75" thickBot="1" x14ac:dyDescent="0.3">
      <c r="A217" s="246"/>
      <c r="B217" s="273"/>
      <c r="C217" s="3"/>
      <c r="D217" s="3"/>
      <c r="E217" s="3"/>
      <c r="I217" s="278"/>
      <c r="J217" s="278"/>
      <c r="K217" s="278"/>
      <c r="L217" s="286" t="s">
        <v>390</v>
      </c>
      <c r="M217" s="287">
        <f>SUM(M190:M210)/2</f>
        <v>0</v>
      </c>
      <c r="N217" s="287">
        <f>SUM(N190:N210)/2</f>
        <v>0</v>
      </c>
      <c r="O217" s="287">
        <f>SUM(O190:O210)/2</f>
        <v>0</v>
      </c>
    </row>
    <row r="218" spans="1:15" ht="16.5" thickTop="1" thickBot="1" x14ac:dyDescent="0.3">
      <c r="B218" s="273"/>
      <c r="C218" s="3"/>
      <c r="D218" s="3"/>
      <c r="E218" s="3"/>
      <c r="I218" s="278"/>
      <c r="J218" s="278"/>
      <c r="K218" s="278"/>
      <c r="L218" s="286" t="s">
        <v>389</v>
      </c>
      <c r="M218" s="287">
        <f>SUM(M212:M215)/2</f>
        <v>0</v>
      </c>
      <c r="N218" s="287">
        <f>SUM(N212:N215)/2</f>
        <v>0</v>
      </c>
      <c r="O218" s="287">
        <f>SUM(O212:O215)/2</f>
        <v>0</v>
      </c>
    </row>
    <row r="219" spans="1:15" ht="15.75" thickTop="1" x14ac:dyDescent="0.25">
      <c r="B219" s="3"/>
      <c r="F219"/>
    </row>
    <row r="220" spans="1:15" x14ac:dyDescent="0.25">
      <c r="B220" s="3"/>
      <c r="F220"/>
    </row>
    <row r="221" spans="1:15" x14ac:dyDescent="0.25">
      <c r="B221" s="3"/>
      <c r="F221"/>
    </row>
    <row r="222" spans="1:15" x14ac:dyDescent="0.25">
      <c r="B222" s="3"/>
      <c r="F222"/>
    </row>
    <row r="223" spans="1:15" x14ac:dyDescent="0.25">
      <c r="B223" s="3"/>
      <c r="F223"/>
    </row>
    <row r="224" spans="1:15" x14ac:dyDescent="0.25">
      <c r="B224" s="3"/>
      <c r="F224"/>
    </row>
    <row r="225" spans="2:6" x14ac:dyDescent="0.25">
      <c r="B225" s="3"/>
      <c r="F225"/>
    </row>
    <row r="226" spans="2:6" x14ac:dyDescent="0.25">
      <c r="B226" s="3"/>
      <c r="F226"/>
    </row>
    <row r="227" spans="2:6" x14ac:dyDescent="0.25">
      <c r="B227" s="3"/>
      <c r="F227"/>
    </row>
    <row r="228" spans="2:6" x14ac:dyDescent="0.25">
      <c r="B228" s="3"/>
      <c r="F228"/>
    </row>
    <row r="229" spans="2:6" x14ac:dyDescent="0.25">
      <c r="B229" s="3"/>
      <c r="F229"/>
    </row>
    <row r="230" spans="2:6" x14ac:dyDescent="0.25">
      <c r="B230" s="3"/>
      <c r="F230"/>
    </row>
    <row r="231" spans="2:6" x14ac:dyDescent="0.25">
      <c r="B231" s="3"/>
      <c r="F231"/>
    </row>
    <row r="232" spans="2:6" x14ac:dyDescent="0.25">
      <c r="B232" s="3"/>
      <c r="F232"/>
    </row>
    <row r="233" spans="2:6" x14ac:dyDescent="0.25">
      <c r="B233" s="3"/>
      <c r="F233"/>
    </row>
    <row r="234" spans="2:6" x14ac:dyDescent="0.25">
      <c r="B234" s="3"/>
      <c r="F234"/>
    </row>
    <row r="235" spans="2:6" x14ac:dyDescent="0.25">
      <c r="B235" s="3"/>
      <c r="F235"/>
    </row>
    <row r="236" spans="2:6" x14ac:dyDescent="0.25">
      <c r="B236" s="3"/>
      <c r="F236"/>
    </row>
    <row r="237" spans="2:6" x14ac:dyDescent="0.25">
      <c r="B237" s="3"/>
      <c r="F237"/>
    </row>
    <row r="238" spans="2:6" x14ac:dyDescent="0.25">
      <c r="B238" s="3"/>
      <c r="F238"/>
    </row>
    <row r="239" spans="2:6" x14ac:dyDescent="0.25">
      <c r="B239" s="3"/>
      <c r="F239"/>
    </row>
    <row r="240" spans="2:6" x14ac:dyDescent="0.25">
      <c r="B240" s="3"/>
      <c r="F240"/>
    </row>
    <row r="241" spans="2:6" x14ac:dyDescent="0.25">
      <c r="B241" s="3"/>
      <c r="F241"/>
    </row>
    <row r="242" spans="2:6" x14ac:dyDescent="0.25">
      <c r="B242" s="3"/>
      <c r="F242"/>
    </row>
  </sheetData>
  <mergeCells count="2">
    <mergeCell ref="D15:G15"/>
    <mergeCell ref="D17:O17"/>
  </mergeCells>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33"/>
  </sheetPr>
  <dimension ref="A1:P255"/>
  <sheetViews>
    <sheetView showGridLines="0" workbookViewId="0">
      <pane ySplit="1" topLeftCell="A74" activePane="bottomLeft" state="frozen"/>
      <selection activeCell="G35" sqref="G35"/>
      <selection pane="bottomLeft" activeCell="G35" sqref="G35"/>
    </sheetView>
  </sheetViews>
  <sheetFormatPr defaultRowHeight="15" x14ac:dyDescent="0.25"/>
  <cols>
    <col min="1" max="1" width="2" style="3" customWidth="1"/>
    <col min="2" max="2" width="3.85546875" customWidth="1"/>
    <col min="3" max="3" width="41.7109375" customWidth="1"/>
    <col min="4" max="4" width="18" customWidth="1"/>
    <col min="5" max="5" width="12.85546875" customWidth="1"/>
    <col min="6" max="7" width="12.85546875" style="3" customWidth="1"/>
    <col min="8" max="8" width="2.42578125" style="3" customWidth="1"/>
    <col min="9" max="11" width="12.85546875" style="3" customWidth="1"/>
    <col min="12" max="12" width="2.42578125" style="3" customWidth="1"/>
    <col min="13" max="15" width="12.85546875" style="3" customWidth="1"/>
    <col min="16" max="16384" width="9.140625" style="3"/>
  </cols>
  <sheetData>
    <row r="1" spans="1:16" ht="15.75" x14ac:dyDescent="0.25">
      <c r="A1" s="314"/>
      <c r="B1" s="313" t="e">
        <f>'Service Descriptions'!#REF!</f>
        <v>#REF!</v>
      </c>
      <c r="C1" s="192"/>
      <c r="D1" s="192"/>
      <c r="E1" s="192"/>
    </row>
    <row r="2" spans="1:16" ht="15.75" customHeight="1" x14ac:dyDescent="0.25">
      <c r="A2" s="246"/>
      <c r="B2" s="310"/>
      <c r="C2" s="311" t="s">
        <v>395</v>
      </c>
      <c r="D2" s="310"/>
      <c r="E2" s="308"/>
      <c r="F2" s="308"/>
      <c r="G2" s="308"/>
      <c r="H2" s="308"/>
      <c r="I2" s="309"/>
      <c r="J2" s="309"/>
      <c r="K2" s="309"/>
      <c r="L2" s="309"/>
      <c r="M2" s="309"/>
      <c r="N2" s="309"/>
      <c r="O2" s="309"/>
    </row>
    <row r="3" spans="1:16" s="319" customFormat="1" ht="15.75" x14ac:dyDescent="0.25">
      <c r="A3" s="231"/>
      <c r="B3" s="320"/>
      <c r="C3" s="321"/>
      <c r="D3" s="321"/>
      <c r="E3" s="321"/>
    </row>
    <row r="4" spans="1:16" s="319" customFormat="1" ht="15.75" x14ac:dyDescent="0.25">
      <c r="A4" s="231"/>
      <c r="B4" s="320"/>
      <c r="C4" s="321"/>
      <c r="D4" s="321"/>
      <c r="E4" s="321"/>
    </row>
    <row r="5" spans="1:16" s="319" customFormat="1" ht="15.75" x14ac:dyDescent="0.25">
      <c r="A5" s="231"/>
      <c r="B5" s="320"/>
      <c r="C5" s="321"/>
      <c r="D5" s="321"/>
      <c r="E5" s="321"/>
    </row>
    <row r="6" spans="1:16" s="319" customFormat="1" ht="15.75" x14ac:dyDescent="0.25">
      <c r="A6" s="231"/>
      <c r="B6" s="320"/>
      <c r="C6" s="321"/>
      <c r="D6" s="321"/>
      <c r="E6" s="321"/>
    </row>
    <row r="7" spans="1:16" s="319" customFormat="1" ht="15.75" x14ac:dyDescent="0.25">
      <c r="A7" s="231"/>
      <c r="B7" s="320"/>
      <c r="C7" s="321"/>
      <c r="D7" s="321"/>
      <c r="E7" s="321"/>
    </row>
    <row r="8" spans="1:16" s="319" customFormat="1" ht="15.75" x14ac:dyDescent="0.25">
      <c r="A8" s="231"/>
      <c r="B8" s="320"/>
      <c r="C8" s="321"/>
      <c r="D8" s="321"/>
      <c r="E8" s="321"/>
    </row>
    <row r="9" spans="1:16" s="319" customFormat="1" ht="15.75" x14ac:dyDescent="0.25">
      <c r="A9" s="231"/>
      <c r="B9" s="320"/>
      <c r="C9" s="321"/>
      <c r="D9" s="321"/>
      <c r="E9" s="321"/>
    </row>
    <row r="10" spans="1:16" s="319" customFormat="1" ht="15.75" x14ac:dyDescent="0.25">
      <c r="A10" s="231"/>
      <c r="B10" s="320"/>
      <c r="C10" s="321"/>
      <c r="D10" s="321"/>
      <c r="E10" s="321"/>
    </row>
    <row r="11" spans="1:16" ht="15.75" customHeight="1" x14ac:dyDescent="0.25">
      <c r="A11" s="246"/>
      <c r="B11" s="310"/>
      <c r="C11" s="311" t="s">
        <v>396</v>
      </c>
      <c r="D11" s="310"/>
      <c r="E11" s="308"/>
      <c r="F11" s="308"/>
      <c r="G11" s="308"/>
      <c r="H11" s="308"/>
      <c r="I11" s="309"/>
      <c r="J11" s="309"/>
      <c r="K11" s="309"/>
      <c r="L11" s="309"/>
      <c r="M11" s="309"/>
      <c r="N11" s="309"/>
      <c r="O11" s="309"/>
    </row>
    <row r="12" spans="1:16" s="28" customFormat="1" ht="15.75" customHeight="1" x14ac:dyDescent="0.2">
      <c r="A12" s="247"/>
      <c r="B12" s="253"/>
      <c r="I12" s="280"/>
      <c r="J12" s="280"/>
      <c r="K12" s="280"/>
      <c r="L12" s="280"/>
      <c r="M12" s="280"/>
      <c r="N12" s="280"/>
      <c r="O12" s="280"/>
      <c r="P12" s="254"/>
    </row>
    <row r="13" spans="1:16" s="28" customFormat="1" ht="15.75" customHeight="1" x14ac:dyDescent="0.2">
      <c r="A13" s="255">
        <v>1</v>
      </c>
      <c r="B13" s="256" t="s">
        <v>366</v>
      </c>
      <c r="C13" s="256"/>
      <c r="D13" s="944"/>
      <c r="E13" s="944"/>
      <c r="F13" s="944"/>
      <c r="G13" s="944"/>
      <c r="I13" s="280"/>
      <c r="J13" s="280"/>
      <c r="K13" s="280"/>
      <c r="L13" s="280"/>
      <c r="M13" s="280"/>
      <c r="N13" s="280"/>
      <c r="O13" s="280"/>
    </row>
    <row r="14" spans="1:16" s="28" customFormat="1" ht="15.75" customHeight="1" x14ac:dyDescent="0.2">
      <c r="A14" s="255"/>
      <c r="B14" s="255" t="s">
        <v>367</v>
      </c>
      <c r="C14" s="256"/>
      <c r="D14" s="257"/>
      <c r="E14" s="255"/>
      <c r="F14" s="255"/>
      <c r="G14" s="255"/>
      <c r="I14" s="280"/>
      <c r="J14" s="280"/>
      <c r="K14" s="280"/>
      <c r="L14" s="280"/>
      <c r="M14" s="280"/>
      <c r="N14" s="280"/>
      <c r="O14" s="280"/>
      <c r="P14" s="258"/>
    </row>
    <row r="15" spans="1:16" s="28" customFormat="1" ht="15.75" customHeight="1" x14ac:dyDescent="0.2">
      <c r="A15" s="255"/>
      <c r="B15" s="255" t="s">
        <v>368</v>
      </c>
      <c r="C15" s="256"/>
      <c r="D15" s="945"/>
      <c r="E15" s="945"/>
      <c r="F15" s="945"/>
      <c r="G15" s="945"/>
      <c r="I15" s="280"/>
      <c r="J15" s="280"/>
      <c r="K15" s="280"/>
      <c r="L15" s="280"/>
      <c r="M15" s="280"/>
      <c r="N15" s="280"/>
      <c r="O15" s="280"/>
      <c r="P15" s="254"/>
    </row>
    <row r="16" spans="1:16" s="28" customFormat="1" ht="15.75" customHeight="1" x14ac:dyDescent="0.2">
      <c r="A16" s="255"/>
      <c r="B16" s="255"/>
      <c r="C16" s="255"/>
      <c r="D16" s="255"/>
      <c r="E16" s="255"/>
      <c r="F16" s="255"/>
      <c r="G16" s="255"/>
      <c r="I16" s="280"/>
      <c r="J16" s="280"/>
      <c r="K16" s="280"/>
      <c r="L16" s="280"/>
      <c r="M16" s="280"/>
      <c r="N16" s="280"/>
      <c r="O16" s="280"/>
      <c r="P16" s="254"/>
    </row>
    <row r="17" spans="1:16" s="28" customFormat="1" ht="15.75" customHeight="1" x14ac:dyDescent="0.2">
      <c r="A17" s="255">
        <v>2</v>
      </c>
      <c r="B17" s="256" t="s">
        <v>366</v>
      </c>
      <c r="C17" s="255"/>
      <c r="D17" s="944"/>
      <c r="E17" s="944"/>
      <c r="F17" s="944"/>
      <c r="G17" s="944"/>
      <c r="H17" s="944"/>
      <c r="I17" s="944"/>
      <c r="J17" s="944"/>
      <c r="K17" s="944"/>
      <c r="L17" s="944"/>
      <c r="M17" s="944"/>
      <c r="N17" s="944"/>
      <c r="O17" s="944"/>
      <c r="P17" s="260"/>
    </row>
    <row r="18" spans="1:16" s="28" customFormat="1" ht="15.75" customHeight="1" x14ac:dyDescent="0.2">
      <c r="A18" s="255"/>
      <c r="B18" s="256"/>
      <c r="C18" s="255"/>
      <c r="D18" s="255"/>
      <c r="E18" s="255"/>
      <c r="F18" s="255"/>
      <c r="G18" s="255"/>
      <c r="I18" s="280"/>
      <c r="J18" s="280"/>
      <c r="K18" s="280"/>
      <c r="L18" s="280"/>
      <c r="M18" s="280"/>
      <c r="N18" s="280"/>
      <c r="O18" s="280"/>
      <c r="P18" s="260"/>
    </row>
    <row r="19" spans="1:16" s="28" customFormat="1" ht="15.75" customHeight="1" x14ac:dyDescent="0.2">
      <c r="A19" s="255">
        <v>3</v>
      </c>
      <c r="B19" s="255" t="s">
        <v>366</v>
      </c>
      <c r="C19" s="261"/>
      <c r="D19" s="255"/>
      <c r="E19" s="255"/>
      <c r="F19" s="255"/>
      <c r="G19" s="255"/>
      <c r="I19" s="280"/>
      <c r="J19" s="280"/>
      <c r="K19" s="280"/>
      <c r="L19" s="280"/>
      <c r="M19" s="280"/>
      <c r="N19" s="280"/>
      <c r="O19" s="280"/>
      <c r="P19" s="262"/>
    </row>
    <row r="20" spans="1:16" ht="15.75" customHeight="1" x14ac:dyDescent="0.25">
      <c r="A20" s="246"/>
      <c r="B20" s="299"/>
      <c r="C20" s="300" t="s">
        <v>393</v>
      </c>
      <c r="D20" s="299" t="s">
        <v>365</v>
      </c>
      <c r="E20" s="299" t="s">
        <v>365</v>
      </c>
      <c r="F20" s="301"/>
      <c r="G20" s="301"/>
      <c r="H20" s="301"/>
      <c r="I20" s="302"/>
      <c r="J20" s="302"/>
      <c r="K20" s="302"/>
      <c r="L20" s="302"/>
      <c r="M20" s="302"/>
      <c r="N20" s="302"/>
      <c r="O20" s="302"/>
    </row>
    <row r="21" spans="1:16" ht="14.25" x14ac:dyDescent="0.2">
      <c r="A21" s="28"/>
      <c r="B21" s="28"/>
      <c r="C21" s="54" t="s">
        <v>323</v>
      </c>
      <c r="D21" s="50"/>
      <c r="E21" s="50"/>
      <c r="F21" s="50"/>
    </row>
    <row r="22" spans="1:16" ht="14.25" x14ac:dyDescent="0.2">
      <c r="A22" s="28"/>
      <c r="B22" s="28"/>
      <c r="C22" s="65" t="s">
        <v>335</v>
      </c>
      <c r="D22" s="63">
        <f>SUM(D97:D99)</f>
        <v>0</v>
      </c>
      <c r="E22" s="63">
        <f t="shared" ref="E22:F22" si="0">SUM(E97:E99)</f>
        <v>0</v>
      </c>
      <c r="F22" s="63">
        <f t="shared" si="0"/>
        <v>0</v>
      </c>
    </row>
    <row r="23" spans="1:16" ht="14.25" x14ac:dyDescent="0.2">
      <c r="A23" s="28"/>
      <c r="B23" s="28"/>
      <c r="C23" s="28"/>
      <c r="D23" s="28"/>
      <c r="E23" s="28"/>
      <c r="F23" s="28"/>
    </row>
    <row r="24" spans="1:16" ht="14.25" x14ac:dyDescent="0.2">
      <c r="A24" s="226" t="s">
        <v>264</v>
      </c>
      <c r="B24" s="226"/>
      <c r="C24" s="227"/>
      <c r="D24" s="227"/>
      <c r="E24" s="227"/>
      <c r="F24" s="227"/>
    </row>
    <row r="25" spans="1:16" x14ac:dyDescent="0.25">
      <c r="A25"/>
      <c r="C25" s="49" t="s">
        <v>22</v>
      </c>
      <c r="D25" s="37"/>
      <c r="E25" s="37"/>
      <c r="F25" s="37"/>
    </row>
    <row r="26" spans="1:16" ht="14.25" x14ac:dyDescent="0.2">
      <c r="A26" s="28"/>
      <c r="B26" s="28"/>
      <c r="C26" s="67" t="s">
        <v>276</v>
      </c>
      <c r="D26" s="82">
        <v>0.8</v>
      </c>
      <c r="E26" s="112">
        <v>0.8</v>
      </c>
      <c r="F26" s="112">
        <v>0.8</v>
      </c>
    </row>
    <row r="27" spans="1:16" ht="14.25" x14ac:dyDescent="0.2">
      <c r="A27" s="28"/>
      <c r="B27" s="28"/>
      <c r="C27" s="71" t="s">
        <v>356</v>
      </c>
      <c r="D27" s="83">
        <v>0.2</v>
      </c>
      <c r="E27" s="113">
        <v>0.2</v>
      </c>
      <c r="F27" s="113">
        <v>0.2</v>
      </c>
    </row>
    <row r="28" spans="1:16" ht="14.25" x14ac:dyDescent="0.2">
      <c r="A28" s="28"/>
      <c r="B28" s="28"/>
      <c r="C28" s="28" t="s">
        <v>275</v>
      </c>
      <c r="D28" s="28"/>
      <c r="E28" s="28"/>
      <c r="F28" s="28"/>
    </row>
    <row r="29" spans="1:16" ht="14.25" x14ac:dyDescent="0.2">
      <c r="A29" s="28"/>
      <c r="B29" s="28"/>
      <c r="C29" s="78" t="s">
        <v>272</v>
      </c>
      <c r="D29" s="48">
        <v>0.45</v>
      </c>
      <c r="E29" s="94">
        <v>0.45</v>
      </c>
      <c r="F29" s="94">
        <v>0.45</v>
      </c>
    </row>
    <row r="30" spans="1:16" ht="14.25" x14ac:dyDescent="0.2">
      <c r="A30" s="28"/>
      <c r="B30" s="28"/>
      <c r="C30" s="78" t="s">
        <v>273</v>
      </c>
      <c r="D30" s="48">
        <v>0.35</v>
      </c>
      <c r="E30" s="94">
        <v>0.35</v>
      </c>
      <c r="F30" s="94">
        <v>0.35</v>
      </c>
    </row>
    <row r="31" spans="1:16" ht="14.25" x14ac:dyDescent="0.2">
      <c r="A31" s="28"/>
      <c r="B31" s="28"/>
      <c r="C31" s="78" t="s">
        <v>274</v>
      </c>
      <c r="D31" s="48">
        <v>0.2</v>
      </c>
      <c r="E31" s="94">
        <v>0.2</v>
      </c>
      <c r="F31" s="94">
        <v>0.2</v>
      </c>
    </row>
    <row r="32" spans="1:16" ht="14.25" x14ac:dyDescent="0.2">
      <c r="A32" s="28"/>
      <c r="B32" s="28"/>
      <c r="C32" s="67" t="s">
        <v>271</v>
      </c>
      <c r="D32" s="67"/>
      <c r="E32" s="67"/>
      <c r="F32" s="67"/>
    </row>
    <row r="33" spans="1:16" ht="14.25" x14ac:dyDescent="0.2">
      <c r="A33" s="28"/>
      <c r="B33" s="28"/>
      <c r="C33" s="76" t="s">
        <v>272</v>
      </c>
      <c r="D33" s="193">
        <v>7511</v>
      </c>
      <c r="E33" s="193">
        <v>7511</v>
      </c>
      <c r="F33" s="193">
        <v>7511</v>
      </c>
    </row>
    <row r="34" spans="1:16" ht="14.25" x14ac:dyDescent="0.2">
      <c r="A34" s="28"/>
      <c r="B34" s="28"/>
      <c r="C34" s="76" t="s">
        <v>273</v>
      </c>
      <c r="D34" s="193">
        <v>8663</v>
      </c>
      <c r="E34" s="193">
        <v>8663</v>
      </c>
      <c r="F34" s="193">
        <v>8663</v>
      </c>
    </row>
    <row r="35" spans="1:16" ht="14.25" x14ac:dyDescent="0.2">
      <c r="A35" s="28"/>
      <c r="B35" s="28"/>
      <c r="C35" s="77" t="s">
        <v>274</v>
      </c>
      <c r="D35" s="194">
        <v>9609</v>
      </c>
      <c r="E35" s="194">
        <v>9609</v>
      </c>
      <c r="F35" s="194">
        <v>9609</v>
      </c>
    </row>
    <row r="36" spans="1:16" s="28" customFormat="1" ht="15.75" customHeight="1" x14ac:dyDescent="0.2">
      <c r="A36" s="263"/>
      <c r="B36" s="263"/>
      <c r="C36" s="256"/>
      <c r="D36" s="259"/>
      <c r="E36" s="263"/>
      <c r="F36" s="263"/>
      <c r="G36" s="263"/>
      <c r="I36" s="280"/>
      <c r="J36" s="280"/>
      <c r="K36" s="280"/>
      <c r="L36" s="280"/>
      <c r="M36" s="280"/>
      <c r="N36" s="280"/>
      <c r="O36" s="280"/>
      <c r="P36" s="258"/>
    </row>
    <row r="37" spans="1:16" s="28" customFormat="1" ht="15.75" customHeight="1" x14ac:dyDescent="0.2">
      <c r="A37" s="263"/>
      <c r="B37" s="263"/>
      <c r="C37" s="256"/>
      <c r="D37" s="259"/>
      <c r="E37" s="263"/>
      <c r="F37" s="263"/>
      <c r="G37" s="263"/>
      <c r="I37" s="280"/>
      <c r="J37" s="280"/>
      <c r="K37" s="280"/>
      <c r="L37" s="280"/>
      <c r="M37" s="280"/>
      <c r="N37" s="280"/>
      <c r="O37" s="280"/>
      <c r="P37" s="258"/>
    </row>
    <row r="38" spans="1:16" s="28" customFormat="1" ht="15.75" customHeight="1" x14ac:dyDescent="0.2">
      <c r="A38" s="263"/>
      <c r="B38" s="263"/>
      <c r="C38" s="256"/>
      <c r="D38" s="259"/>
      <c r="E38" s="263"/>
      <c r="F38" s="263"/>
      <c r="G38" s="263"/>
      <c r="I38" s="280"/>
      <c r="J38" s="280"/>
      <c r="K38" s="280"/>
      <c r="L38" s="280"/>
      <c r="M38" s="280"/>
      <c r="N38" s="280"/>
      <c r="O38" s="280"/>
      <c r="P38" s="258"/>
    </row>
    <row r="39" spans="1:16" s="28" customFormat="1" ht="15.75" customHeight="1" x14ac:dyDescent="0.2">
      <c r="A39" s="263"/>
      <c r="B39" s="263"/>
      <c r="C39" s="256"/>
      <c r="D39" s="259"/>
      <c r="E39" s="263"/>
      <c r="F39" s="263"/>
      <c r="G39" s="263"/>
      <c r="I39" s="280"/>
      <c r="J39" s="280"/>
      <c r="K39" s="280"/>
      <c r="L39" s="280"/>
      <c r="M39" s="280"/>
      <c r="N39" s="280"/>
      <c r="O39" s="280"/>
      <c r="P39" s="258"/>
    </row>
    <row r="40" spans="1:16" s="28" customFormat="1" ht="15.75" customHeight="1" x14ac:dyDescent="0.2">
      <c r="A40" s="263"/>
      <c r="B40" s="263"/>
      <c r="C40" s="256"/>
      <c r="D40" s="259"/>
      <c r="E40" s="263"/>
      <c r="F40" s="263"/>
      <c r="G40" s="263"/>
      <c r="I40" s="280"/>
      <c r="J40" s="280"/>
      <c r="K40" s="280"/>
      <c r="L40" s="280"/>
      <c r="M40" s="280"/>
      <c r="N40" s="280"/>
      <c r="O40" s="280"/>
      <c r="P40" s="258"/>
    </row>
    <row r="41" spans="1:16" s="28" customFormat="1" ht="15.75" customHeight="1" x14ac:dyDescent="0.2">
      <c r="A41" s="263"/>
      <c r="B41" s="263"/>
      <c r="C41" s="256"/>
      <c r="D41" s="259"/>
      <c r="E41" s="263"/>
      <c r="F41" s="263"/>
      <c r="G41" s="263"/>
      <c r="I41" s="280"/>
      <c r="J41" s="280"/>
      <c r="K41" s="280"/>
      <c r="L41" s="280"/>
      <c r="M41" s="280"/>
      <c r="N41" s="280"/>
      <c r="O41" s="280"/>
      <c r="P41" s="258"/>
    </row>
    <row r="42" spans="1:16" s="28" customFormat="1" ht="15.75" customHeight="1" x14ac:dyDescent="0.2">
      <c r="A42" s="263"/>
      <c r="B42" s="263"/>
      <c r="C42" s="256"/>
      <c r="D42" s="259"/>
      <c r="E42" s="263"/>
      <c r="F42" s="263"/>
      <c r="G42" s="263"/>
      <c r="I42" s="280"/>
      <c r="J42" s="280"/>
      <c r="K42" s="280"/>
      <c r="L42" s="280"/>
      <c r="M42" s="280"/>
      <c r="N42" s="280"/>
      <c r="O42" s="280"/>
      <c r="P42" s="258"/>
    </row>
    <row r="43" spans="1:16" s="28" customFormat="1" ht="15.75" customHeight="1" x14ac:dyDescent="0.2">
      <c r="A43" s="263"/>
      <c r="B43" s="263"/>
      <c r="C43" s="256"/>
      <c r="D43" s="259"/>
      <c r="E43" s="263"/>
      <c r="F43" s="263"/>
      <c r="G43" s="263"/>
      <c r="I43" s="280"/>
      <c r="J43" s="280"/>
      <c r="K43" s="280"/>
      <c r="L43" s="280"/>
      <c r="M43" s="280"/>
      <c r="N43" s="280"/>
      <c r="O43" s="280"/>
      <c r="P43" s="258"/>
    </row>
    <row r="44" spans="1:16" s="28" customFormat="1" ht="15.75" customHeight="1" x14ac:dyDescent="0.2">
      <c r="A44" s="263"/>
      <c r="B44" s="263"/>
      <c r="C44" s="256"/>
      <c r="D44" s="259"/>
      <c r="E44" s="263"/>
      <c r="F44" s="263"/>
      <c r="G44" s="263"/>
      <c r="I44" s="280"/>
      <c r="J44" s="280"/>
      <c r="K44" s="280"/>
      <c r="L44" s="280"/>
      <c r="M44" s="280"/>
      <c r="N44" s="280"/>
      <c r="O44" s="280"/>
      <c r="P44" s="258"/>
    </row>
    <row r="45" spans="1:16" s="28" customFormat="1" ht="15.75" customHeight="1" x14ac:dyDescent="0.2">
      <c r="A45" s="263"/>
      <c r="B45" s="263"/>
      <c r="C45" s="256"/>
      <c r="D45" s="259"/>
      <c r="E45" s="263"/>
      <c r="F45" s="263"/>
      <c r="G45" s="263"/>
      <c r="I45" s="280"/>
      <c r="J45" s="280"/>
      <c r="K45" s="280"/>
      <c r="L45" s="280"/>
      <c r="M45" s="280"/>
      <c r="N45" s="280"/>
      <c r="O45" s="280"/>
      <c r="P45" s="258"/>
    </row>
    <row r="46" spans="1:16" s="28" customFormat="1" ht="15.75" customHeight="1" x14ac:dyDescent="0.2">
      <c r="A46" s="263"/>
      <c r="B46" s="263"/>
      <c r="C46" s="256"/>
      <c r="D46" s="259"/>
      <c r="E46" s="263"/>
      <c r="F46" s="263"/>
      <c r="G46" s="263"/>
      <c r="I46" s="280"/>
      <c r="J46" s="280"/>
      <c r="K46" s="280"/>
      <c r="L46" s="280"/>
      <c r="M46" s="280"/>
      <c r="N46" s="280"/>
      <c r="O46" s="280"/>
      <c r="P46" s="258"/>
    </row>
    <row r="47" spans="1:16" s="28" customFormat="1" ht="15.75" customHeight="1" x14ac:dyDescent="0.2">
      <c r="A47" s="263"/>
      <c r="B47" s="263"/>
      <c r="C47" s="256"/>
      <c r="D47" s="259"/>
      <c r="E47" s="263"/>
      <c r="F47" s="263"/>
      <c r="G47" s="263"/>
      <c r="I47" s="280"/>
      <c r="J47" s="280"/>
      <c r="K47" s="280"/>
      <c r="L47" s="280"/>
      <c r="M47" s="280"/>
      <c r="N47" s="280"/>
      <c r="O47" s="280"/>
      <c r="P47" s="258"/>
    </row>
    <row r="48" spans="1:16" s="28" customFormat="1" ht="15.75" customHeight="1" x14ac:dyDescent="0.2">
      <c r="A48" s="263"/>
      <c r="B48" s="263"/>
      <c r="C48" s="256"/>
      <c r="D48" s="259"/>
      <c r="E48" s="263"/>
      <c r="F48" s="263"/>
      <c r="G48" s="263"/>
      <c r="I48" s="280"/>
      <c r="J48" s="280"/>
      <c r="K48" s="280"/>
      <c r="L48" s="280"/>
      <c r="M48" s="280"/>
      <c r="N48" s="280"/>
      <c r="O48" s="280"/>
      <c r="P48" s="258"/>
    </row>
    <row r="49" spans="1:16" s="28" customFormat="1" ht="15.75" customHeight="1" x14ac:dyDescent="0.2">
      <c r="A49" s="263"/>
      <c r="B49" s="263"/>
      <c r="C49" s="256"/>
      <c r="D49" s="259"/>
      <c r="E49" s="263"/>
      <c r="F49" s="263"/>
      <c r="G49" s="263"/>
      <c r="I49" s="280"/>
      <c r="J49" s="280"/>
      <c r="K49" s="280"/>
      <c r="L49" s="280"/>
      <c r="M49" s="280"/>
      <c r="N49" s="280"/>
      <c r="O49" s="280"/>
      <c r="P49" s="258"/>
    </row>
    <row r="50" spans="1:16" s="28" customFormat="1" ht="15.75" customHeight="1" x14ac:dyDescent="0.2">
      <c r="A50" s="263"/>
      <c r="B50" s="263"/>
      <c r="C50" s="256"/>
      <c r="D50" s="259"/>
      <c r="E50" s="263"/>
      <c r="F50" s="263"/>
      <c r="G50" s="263"/>
      <c r="I50" s="280"/>
      <c r="J50" s="280"/>
      <c r="K50" s="280"/>
      <c r="L50" s="280"/>
      <c r="M50" s="280"/>
      <c r="N50" s="280"/>
      <c r="O50" s="280"/>
      <c r="P50" s="258"/>
    </row>
    <row r="51" spans="1:16" s="28" customFormat="1" ht="15.75" customHeight="1" x14ac:dyDescent="0.2">
      <c r="A51" s="263"/>
      <c r="B51" s="263"/>
      <c r="C51" s="256"/>
      <c r="D51" s="259"/>
      <c r="E51" s="263"/>
      <c r="F51" s="263"/>
      <c r="G51" s="263"/>
      <c r="I51" s="280"/>
      <c r="J51" s="280"/>
      <c r="K51" s="280"/>
      <c r="L51" s="280"/>
      <c r="M51" s="280"/>
      <c r="N51" s="280"/>
      <c r="O51" s="280"/>
      <c r="P51" s="258"/>
    </row>
    <row r="52" spans="1:16" s="28" customFormat="1" ht="15.75" customHeight="1" x14ac:dyDescent="0.2">
      <c r="A52" s="263"/>
      <c r="B52" s="263"/>
      <c r="C52" s="256"/>
      <c r="D52" s="259"/>
      <c r="E52" s="263"/>
      <c r="F52" s="263"/>
      <c r="G52" s="263"/>
      <c r="I52" s="280"/>
      <c r="J52" s="280"/>
      <c r="K52" s="280"/>
      <c r="L52" s="280"/>
      <c r="M52" s="280"/>
      <c r="N52" s="280"/>
      <c r="O52" s="280"/>
      <c r="P52" s="258"/>
    </row>
    <row r="53" spans="1:16" s="28" customFormat="1" ht="15.75" customHeight="1" x14ac:dyDescent="0.2">
      <c r="A53" s="263"/>
      <c r="B53" s="263"/>
      <c r="C53" s="256"/>
      <c r="D53" s="259"/>
      <c r="E53" s="263"/>
      <c r="F53" s="263"/>
      <c r="G53" s="263"/>
      <c r="I53" s="280"/>
      <c r="J53" s="280"/>
      <c r="K53" s="280"/>
      <c r="L53" s="280"/>
      <c r="M53" s="280"/>
      <c r="N53" s="280"/>
      <c r="O53" s="280"/>
      <c r="P53" s="258"/>
    </row>
    <row r="54" spans="1:16" s="28" customFormat="1" ht="15.75" customHeight="1" x14ac:dyDescent="0.2">
      <c r="A54" s="263"/>
      <c r="B54" s="263"/>
      <c r="C54" s="256"/>
      <c r="D54" s="259"/>
      <c r="E54" s="263"/>
      <c r="F54" s="263"/>
      <c r="G54" s="263"/>
      <c r="I54" s="280"/>
      <c r="J54" s="280"/>
      <c r="K54" s="280"/>
      <c r="L54" s="280"/>
      <c r="M54" s="280"/>
      <c r="N54" s="280"/>
      <c r="O54" s="280"/>
      <c r="P54" s="258"/>
    </row>
    <row r="55" spans="1:16" s="28" customFormat="1" ht="15.75" customHeight="1" x14ac:dyDescent="0.2">
      <c r="A55" s="263"/>
      <c r="B55" s="263"/>
      <c r="C55" s="256"/>
      <c r="D55" s="259"/>
      <c r="E55" s="263"/>
      <c r="F55" s="263"/>
      <c r="G55" s="263"/>
      <c r="I55" s="280"/>
      <c r="J55" s="280"/>
      <c r="K55" s="280"/>
      <c r="L55" s="280"/>
      <c r="M55" s="280"/>
      <c r="N55" s="280"/>
      <c r="O55" s="280"/>
      <c r="P55" s="258"/>
    </row>
    <row r="56" spans="1:16" s="28" customFormat="1" ht="15.75" customHeight="1" x14ac:dyDescent="0.2">
      <c r="A56" s="263"/>
      <c r="B56" s="263"/>
      <c r="C56" s="256"/>
      <c r="D56" s="259"/>
      <c r="E56" s="263"/>
      <c r="F56" s="263"/>
      <c r="G56" s="263"/>
      <c r="I56" s="280"/>
      <c r="J56" s="280"/>
      <c r="K56" s="280"/>
      <c r="L56" s="280"/>
      <c r="M56" s="280"/>
      <c r="N56" s="280"/>
      <c r="O56" s="280"/>
      <c r="P56" s="258"/>
    </row>
    <row r="57" spans="1:16" s="28" customFormat="1" ht="15.75" customHeight="1" x14ac:dyDescent="0.2">
      <c r="A57" s="263"/>
      <c r="B57" s="263"/>
      <c r="C57" s="256"/>
      <c r="D57" s="259"/>
      <c r="E57" s="263"/>
      <c r="F57" s="263"/>
      <c r="G57" s="263"/>
      <c r="I57" s="280"/>
      <c r="J57" s="280"/>
      <c r="K57" s="280"/>
      <c r="L57" s="280"/>
      <c r="M57" s="280"/>
      <c r="N57" s="280"/>
      <c r="O57" s="280"/>
      <c r="P57" s="258"/>
    </row>
    <row r="58" spans="1:16" s="28" customFormat="1" ht="15.75" customHeight="1" x14ac:dyDescent="0.2">
      <c r="A58" s="263"/>
      <c r="B58" s="263"/>
      <c r="C58" s="256"/>
      <c r="D58" s="259"/>
      <c r="E58" s="263"/>
      <c r="F58" s="263"/>
      <c r="G58" s="263"/>
      <c r="I58" s="280"/>
      <c r="J58" s="280"/>
      <c r="K58" s="280"/>
      <c r="L58" s="280"/>
      <c r="M58" s="280"/>
      <c r="N58" s="280"/>
      <c r="O58" s="280"/>
      <c r="P58" s="258"/>
    </row>
    <row r="59" spans="1:16" s="28" customFormat="1" ht="15.75" customHeight="1" x14ac:dyDescent="0.2">
      <c r="A59" s="263"/>
      <c r="B59" s="263"/>
      <c r="C59" s="256"/>
      <c r="D59" s="259"/>
      <c r="E59" s="263"/>
      <c r="F59" s="263"/>
      <c r="G59" s="263"/>
      <c r="I59" s="280"/>
      <c r="J59" s="280"/>
      <c r="K59" s="280"/>
      <c r="L59" s="280"/>
      <c r="M59" s="280"/>
      <c r="N59" s="280"/>
      <c r="O59" s="280"/>
      <c r="P59" s="258"/>
    </row>
    <row r="60" spans="1:16" s="28" customFormat="1" ht="15.75" customHeight="1" x14ac:dyDescent="0.2">
      <c r="A60" s="263"/>
      <c r="B60" s="263"/>
      <c r="C60" s="256"/>
      <c r="D60" s="259"/>
      <c r="E60" s="263"/>
      <c r="F60" s="263"/>
      <c r="G60" s="263"/>
      <c r="I60" s="280"/>
      <c r="J60" s="280"/>
      <c r="K60" s="280"/>
      <c r="L60" s="280"/>
      <c r="M60" s="280"/>
      <c r="N60" s="280"/>
      <c r="O60" s="280"/>
      <c r="P60" s="258"/>
    </row>
    <row r="61" spans="1:16" s="28" customFormat="1" ht="15.75" customHeight="1" x14ac:dyDescent="0.2">
      <c r="A61" s="263"/>
      <c r="B61" s="263"/>
      <c r="C61" s="256"/>
      <c r="D61" s="259"/>
      <c r="E61" s="263"/>
      <c r="F61" s="263"/>
      <c r="G61" s="263"/>
      <c r="I61" s="280"/>
      <c r="J61" s="280"/>
      <c r="K61" s="280"/>
      <c r="L61" s="280"/>
      <c r="M61" s="280"/>
      <c r="N61" s="280"/>
      <c r="O61" s="280"/>
      <c r="P61" s="258"/>
    </row>
    <row r="62" spans="1:16" s="28" customFormat="1" ht="15.75" customHeight="1" x14ac:dyDescent="0.2">
      <c r="A62" s="263"/>
      <c r="B62" s="263"/>
      <c r="C62" s="256"/>
      <c r="D62" s="259"/>
      <c r="E62" s="263"/>
      <c r="F62" s="263"/>
      <c r="G62" s="263"/>
      <c r="I62" s="280"/>
      <c r="J62" s="280"/>
      <c r="K62" s="280"/>
      <c r="L62" s="280"/>
      <c r="M62" s="280"/>
      <c r="N62" s="280"/>
      <c r="O62" s="280"/>
      <c r="P62" s="258"/>
    </row>
    <row r="63" spans="1:16" s="28" customFormat="1" ht="15.75" customHeight="1" x14ac:dyDescent="0.2">
      <c r="A63" s="263"/>
      <c r="B63" s="263"/>
      <c r="C63" s="256"/>
      <c r="D63" s="259"/>
      <c r="E63" s="263"/>
      <c r="F63" s="263"/>
      <c r="G63" s="263"/>
      <c r="I63" s="280"/>
      <c r="J63" s="280"/>
      <c r="K63" s="280"/>
      <c r="L63" s="280"/>
      <c r="M63" s="280"/>
      <c r="N63" s="280"/>
      <c r="O63" s="280"/>
      <c r="P63" s="258"/>
    </row>
    <row r="64" spans="1:16" s="28" customFormat="1" ht="15.75" customHeight="1" x14ac:dyDescent="0.2">
      <c r="A64" s="263"/>
      <c r="B64" s="263"/>
      <c r="C64" s="256"/>
      <c r="D64" s="259"/>
      <c r="E64" s="263"/>
      <c r="F64" s="263"/>
      <c r="G64" s="263"/>
      <c r="I64" s="280"/>
      <c r="J64" s="280"/>
      <c r="K64" s="280"/>
      <c r="L64" s="280"/>
      <c r="M64" s="280"/>
      <c r="N64" s="280"/>
      <c r="O64" s="280"/>
      <c r="P64" s="258"/>
    </row>
    <row r="65" spans="1:16" s="28" customFormat="1" ht="15.75" customHeight="1" x14ac:dyDescent="0.2">
      <c r="A65" s="263"/>
      <c r="B65" s="263"/>
      <c r="C65" s="256"/>
      <c r="D65" s="259"/>
      <c r="E65" s="263"/>
      <c r="F65" s="263"/>
      <c r="G65" s="263"/>
      <c r="I65" s="280"/>
      <c r="J65" s="280"/>
      <c r="K65" s="280"/>
      <c r="L65" s="280"/>
      <c r="M65" s="280"/>
      <c r="N65" s="280"/>
      <c r="O65" s="280"/>
      <c r="P65" s="258"/>
    </row>
    <row r="66" spans="1:16" s="28" customFormat="1" ht="15.75" customHeight="1" x14ac:dyDescent="0.2">
      <c r="A66" s="263"/>
      <c r="B66" s="263"/>
      <c r="C66" s="256"/>
      <c r="D66" s="259"/>
      <c r="E66" s="263"/>
      <c r="F66" s="263"/>
      <c r="G66" s="263"/>
      <c r="I66" s="280"/>
      <c r="J66" s="280"/>
      <c r="K66" s="280"/>
      <c r="L66" s="280"/>
      <c r="M66" s="280"/>
      <c r="N66" s="280"/>
      <c r="O66" s="280"/>
      <c r="P66" s="258"/>
    </row>
    <row r="67" spans="1:16" s="28" customFormat="1" ht="15.75" customHeight="1" x14ac:dyDescent="0.2">
      <c r="A67" s="263"/>
      <c r="B67" s="263"/>
      <c r="C67" s="256"/>
      <c r="D67" s="259"/>
      <c r="E67" s="263"/>
      <c r="F67" s="263"/>
      <c r="G67" s="263"/>
      <c r="I67" s="280"/>
      <c r="J67" s="280"/>
      <c r="K67" s="280"/>
      <c r="L67" s="280"/>
      <c r="M67" s="280"/>
      <c r="N67" s="280"/>
      <c r="O67" s="280"/>
      <c r="P67" s="258"/>
    </row>
    <row r="68" spans="1:16" s="28" customFormat="1" ht="15.75" customHeight="1" x14ac:dyDescent="0.2">
      <c r="A68" s="263"/>
      <c r="B68" s="263"/>
      <c r="C68" s="256"/>
      <c r="D68" s="259"/>
      <c r="E68" s="263"/>
      <c r="F68" s="263"/>
      <c r="G68" s="263"/>
      <c r="I68" s="280"/>
      <c r="J68" s="280"/>
      <c r="K68" s="280"/>
      <c r="L68" s="280"/>
      <c r="M68" s="280"/>
      <c r="N68" s="280"/>
      <c r="O68" s="280"/>
      <c r="P68" s="258"/>
    </row>
    <row r="69" spans="1:16" s="28" customFormat="1" ht="12.75" x14ac:dyDescent="0.2">
      <c r="A69" s="255"/>
      <c r="B69" s="255"/>
      <c r="C69" s="255"/>
      <c r="D69" s="255"/>
      <c r="E69" s="255"/>
      <c r="F69" s="255"/>
      <c r="G69" s="255"/>
      <c r="I69" s="280"/>
      <c r="J69" s="280"/>
      <c r="K69" s="280"/>
      <c r="L69" s="280"/>
      <c r="M69" s="280"/>
      <c r="N69" s="280"/>
      <c r="O69" s="280"/>
      <c r="P69" s="254"/>
    </row>
    <row r="70" spans="1:16" s="28" customFormat="1" ht="12.75" x14ac:dyDescent="0.2">
      <c r="A70" s="255"/>
      <c r="B70" s="255"/>
      <c r="C70" s="255"/>
      <c r="D70" s="255"/>
      <c r="E70" s="255"/>
      <c r="F70" s="255"/>
      <c r="G70" s="255"/>
      <c r="I70" s="280"/>
      <c r="J70" s="280"/>
      <c r="K70" s="280"/>
      <c r="L70" s="280"/>
      <c r="M70" s="280"/>
      <c r="N70" s="280"/>
      <c r="O70" s="280"/>
      <c r="P70" s="254"/>
    </row>
    <row r="71" spans="1:16" s="28" customFormat="1" ht="12.75" x14ac:dyDescent="0.2">
      <c r="A71" s="255"/>
      <c r="B71" s="255"/>
      <c r="C71" s="255"/>
      <c r="D71" s="255"/>
      <c r="E71" s="255"/>
      <c r="F71" s="255"/>
      <c r="G71" s="255"/>
      <c r="I71" s="280"/>
      <c r="J71" s="280"/>
      <c r="K71" s="280"/>
      <c r="L71" s="280"/>
      <c r="M71" s="280"/>
      <c r="N71" s="280"/>
      <c r="O71" s="280"/>
      <c r="P71" s="254"/>
    </row>
    <row r="72" spans="1:16" s="28" customFormat="1" ht="12.75" x14ac:dyDescent="0.2">
      <c r="A72" s="255"/>
      <c r="B72" s="255"/>
      <c r="C72" s="255"/>
      <c r="D72" s="255"/>
      <c r="E72" s="255"/>
      <c r="F72" s="255"/>
      <c r="G72" s="255"/>
      <c r="I72" s="280"/>
      <c r="J72" s="280"/>
      <c r="K72" s="280"/>
      <c r="L72" s="280"/>
      <c r="M72" s="280"/>
      <c r="N72" s="280"/>
      <c r="O72" s="280"/>
      <c r="P72" s="254"/>
    </row>
    <row r="73" spans="1:16" s="28" customFormat="1" ht="12.75" x14ac:dyDescent="0.2">
      <c r="A73" s="255"/>
      <c r="B73" s="255"/>
      <c r="C73" s="255"/>
      <c r="D73" s="255"/>
      <c r="E73" s="255"/>
      <c r="F73" s="255"/>
      <c r="G73" s="255"/>
      <c r="I73" s="280"/>
      <c r="J73" s="280"/>
      <c r="K73" s="280"/>
      <c r="L73" s="280"/>
      <c r="M73" s="280"/>
      <c r="N73" s="280"/>
      <c r="O73" s="280"/>
      <c r="P73" s="254"/>
    </row>
    <row r="74" spans="1:16" s="28" customFormat="1" ht="12.75" x14ac:dyDescent="0.2">
      <c r="A74" s="255"/>
      <c r="B74" s="255"/>
      <c r="C74" s="255"/>
      <c r="D74" s="255"/>
      <c r="E74" s="255"/>
      <c r="F74" s="255"/>
      <c r="G74" s="255"/>
      <c r="I74" s="280"/>
      <c r="J74" s="280"/>
      <c r="K74" s="280"/>
      <c r="L74" s="280"/>
      <c r="M74" s="280"/>
      <c r="N74" s="280"/>
      <c r="O74" s="280"/>
      <c r="P74" s="254"/>
    </row>
    <row r="75" spans="1:16" s="28" customFormat="1" ht="12.75" x14ac:dyDescent="0.2">
      <c r="A75" s="255"/>
      <c r="B75" s="255"/>
      <c r="C75" s="255"/>
      <c r="D75" s="255"/>
      <c r="E75" s="255"/>
      <c r="F75" s="255"/>
      <c r="G75" s="255"/>
      <c r="I75" s="280"/>
      <c r="J75" s="280"/>
      <c r="K75" s="280"/>
      <c r="L75" s="280"/>
      <c r="M75" s="280"/>
      <c r="N75" s="280"/>
      <c r="O75" s="280"/>
      <c r="P75" s="254"/>
    </row>
    <row r="76" spans="1:16" s="28" customFormat="1" ht="12.75" x14ac:dyDescent="0.2">
      <c r="A76" s="255"/>
      <c r="B76" s="255"/>
      <c r="C76" s="255"/>
      <c r="D76" s="255"/>
      <c r="E76" s="255"/>
      <c r="F76" s="255"/>
      <c r="G76" s="255"/>
      <c r="I76" s="280"/>
      <c r="J76" s="280"/>
      <c r="K76" s="280"/>
      <c r="L76" s="280"/>
      <c r="M76" s="280"/>
      <c r="N76" s="280"/>
      <c r="O76" s="280"/>
      <c r="P76" s="254"/>
    </row>
    <row r="77" spans="1:16" s="28" customFormat="1" ht="12.75" x14ac:dyDescent="0.2">
      <c r="A77" s="255"/>
      <c r="B77" s="255"/>
      <c r="C77" s="255"/>
      <c r="D77" s="255"/>
      <c r="E77" s="255"/>
      <c r="F77" s="255"/>
      <c r="G77" s="255"/>
      <c r="I77" s="280"/>
      <c r="J77" s="280"/>
      <c r="K77" s="280"/>
      <c r="L77" s="280"/>
      <c r="M77" s="280"/>
      <c r="N77" s="280"/>
      <c r="O77" s="280"/>
      <c r="P77" s="254"/>
    </row>
    <row r="78" spans="1:16" s="28" customFormat="1" ht="12.75" x14ac:dyDescent="0.2">
      <c r="A78" s="255"/>
      <c r="B78" s="255"/>
      <c r="C78" s="255"/>
      <c r="D78" s="255"/>
      <c r="E78" s="255"/>
      <c r="F78" s="255"/>
      <c r="G78" s="255"/>
      <c r="I78" s="280"/>
      <c r="J78" s="280"/>
      <c r="K78" s="280"/>
      <c r="L78" s="280"/>
      <c r="M78" s="280"/>
      <c r="N78" s="280"/>
      <c r="O78" s="280"/>
      <c r="P78" s="254"/>
    </row>
    <row r="79" spans="1:16" s="28" customFormat="1" ht="12.75" x14ac:dyDescent="0.2">
      <c r="A79" s="255"/>
      <c r="B79" s="255"/>
      <c r="C79" s="255"/>
      <c r="D79" s="255"/>
      <c r="E79" s="255"/>
      <c r="F79" s="255"/>
      <c r="G79" s="255"/>
      <c r="I79" s="280"/>
      <c r="J79" s="280"/>
      <c r="K79" s="280"/>
      <c r="L79" s="280"/>
      <c r="M79" s="280"/>
      <c r="N79" s="280"/>
      <c r="O79" s="280"/>
      <c r="P79" s="254"/>
    </row>
    <row r="80" spans="1:16" s="28" customFormat="1" ht="15.75" x14ac:dyDescent="0.25">
      <c r="A80" s="255"/>
      <c r="B80" s="315"/>
      <c r="C80" s="316" t="e">
        <f>B1</f>
        <v>#REF!</v>
      </c>
      <c r="D80" s="315"/>
      <c r="E80" s="315"/>
      <c r="F80" s="315"/>
      <c r="G80" s="315"/>
      <c r="H80" s="317"/>
      <c r="I80" s="318"/>
      <c r="J80" s="318"/>
      <c r="K80" s="318"/>
      <c r="L80" s="318"/>
      <c r="M80" s="318"/>
      <c r="N80" s="318"/>
      <c r="O80" s="318"/>
      <c r="P80" s="254"/>
    </row>
    <row r="81" spans="1:16" ht="15.75" x14ac:dyDescent="0.25">
      <c r="A81" s="246"/>
      <c r="B81" s="303" t="s">
        <v>346</v>
      </c>
      <c r="C81" s="304" t="s">
        <v>369</v>
      </c>
      <c r="D81" s="305" t="s">
        <v>370</v>
      </c>
      <c r="E81" s="306"/>
      <c r="F81" s="306" t="s">
        <v>392</v>
      </c>
      <c r="G81" s="306"/>
      <c r="H81" s="306"/>
      <c r="I81" s="307"/>
      <c r="J81" s="307" t="s">
        <v>391</v>
      </c>
      <c r="K81" s="307"/>
      <c r="L81" s="279"/>
      <c r="M81" s="307"/>
      <c r="N81" s="307" t="s">
        <v>369</v>
      </c>
      <c r="O81" s="307"/>
    </row>
    <row r="82" spans="1:16" ht="15.75" x14ac:dyDescent="0.25">
      <c r="A82" s="246"/>
      <c r="B82" s="266"/>
      <c r="C82" s="264"/>
      <c r="D82" s="266"/>
      <c r="E82" s="267" t="s">
        <v>371</v>
      </c>
      <c r="F82" s="267" t="s">
        <v>372</v>
      </c>
      <c r="G82" s="267" t="s">
        <v>373</v>
      </c>
      <c r="I82" s="281" t="s">
        <v>371</v>
      </c>
      <c r="J82" s="281" t="s">
        <v>372</v>
      </c>
      <c r="K82" s="281" t="s">
        <v>373</v>
      </c>
      <c r="L82" s="278"/>
      <c r="M82" s="293" t="s">
        <v>371</v>
      </c>
      <c r="N82" s="293" t="s">
        <v>372</v>
      </c>
      <c r="O82" s="293" t="s">
        <v>373</v>
      </c>
      <c r="P82" s="254"/>
    </row>
    <row r="83" spans="1:16" ht="14.25" x14ac:dyDescent="0.2">
      <c r="A83" s="246"/>
      <c r="B83" s="275"/>
      <c r="C83" s="276" t="s">
        <v>374</v>
      </c>
      <c r="D83" s="277"/>
      <c r="E83" s="57"/>
      <c r="F83" s="57"/>
      <c r="G83" s="57"/>
      <c r="H83" s="57"/>
      <c r="I83" s="282"/>
      <c r="J83" s="282"/>
      <c r="K83" s="282"/>
      <c r="L83" s="282"/>
      <c r="M83" s="294">
        <f>SUM(M84:M84)</f>
        <v>0</v>
      </c>
      <c r="N83" s="294">
        <f>SUM(N84:N84)</f>
        <v>0</v>
      </c>
      <c r="O83" s="294">
        <f>SUM(O84:O84)</f>
        <v>0</v>
      </c>
    </row>
    <row r="84" spans="1:16" ht="14.25" x14ac:dyDescent="0.2">
      <c r="A84" s="246"/>
      <c r="B84" s="253"/>
      <c r="C84" s="30" t="s">
        <v>394</v>
      </c>
      <c r="D84" s="41"/>
      <c r="E84" s="270"/>
      <c r="F84" s="270"/>
      <c r="G84" s="270"/>
      <c r="H84" s="28"/>
      <c r="I84" s="283"/>
      <c r="J84" s="283"/>
      <c r="K84" s="283"/>
      <c r="L84" s="280"/>
      <c r="M84" s="295">
        <f>E84*I84</f>
        <v>0</v>
      </c>
      <c r="N84" s="295">
        <f t="shared" ref="N84:O84" si="1">F84*J84</f>
        <v>0</v>
      </c>
      <c r="O84" s="295">
        <f t="shared" si="1"/>
        <v>0</v>
      </c>
    </row>
    <row r="85" spans="1:16" ht="14.25" x14ac:dyDescent="0.2">
      <c r="A85" s="246"/>
      <c r="B85" s="275"/>
      <c r="C85" s="276" t="s">
        <v>378</v>
      </c>
      <c r="D85" s="277"/>
      <c r="E85" s="57"/>
      <c r="F85" s="57"/>
      <c r="G85" s="57"/>
      <c r="H85" s="57"/>
      <c r="I85" s="282"/>
      <c r="J85" s="282"/>
      <c r="K85" s="282"/>
      <c r="L85" s="282"/>
      <c r="M85" s="296"/>
      <c r="N85" s="296"/>
      <c r="O85" s="296"/>
    </row>
    <row r="86" spans="1:16" ht="14.25" x14ac:dyDescent="0.2">
      <c r="A86" s="246"/>
      <c r="B86" s="268"/>
      <c r="C86" s="274" t="s">
        <v>375</v>
      </c>
      <c r="D86" s="269"/>
      <c r="E86" s="61"/>
      <c r="F86" s="61"/>
      <c r="G86" s="61"/>
      <c r="H86" s="61"/>
      <c r="I86" s="284"/>
      <c r="J86" s="284"/>
      <c r="K86" s="284"/>
      <c r="L86" s="284"/>
      <c r="M86" s="298">
        <f>SUM(M87:M87)</f>
        <v>0</v>
      </c>
      <c r="N86" s="298">
        <f>SUM(N87:N87)</f>
        <v>0</v>
      </c>
      <c r="O86" s="298">
        <f>SUM(O87:O87)</f>
        <v>0</v>
      </c>
    </row>
    <row r="87" spans="1:16" ht="14.25" x14ac:dyDescent="0.2">
      <c r="B87" s="253"/>
      <c r="C87" s="30" t="s">
        <v>394</v>
      </c>
      <c r="D87" s="41"/>
      <c r="E87" s="270"/>
      <c r="F87" s="270"/>
      <c r="G87" s="270"/>
      <c r="H87" s="28"/>
      <c r="I87" s="283"/>
      <c r="J87" s="283"/>
      <c r="K87" s="283"/>
      <c r="L87" s="280"/>
      <c r="M87" s="285">
        <f>E87*I87</f>
        <v>0</v>
      </c>
      <c r="N87" s="285">
        <f t="shared" ref="N87:O87" si="2">F87*J87</f>
        <v>0</v>
      </c>
      <c r="O87" s="285">
        <f t="shared" si="2"/>
        <v>0</v>
      </c>
    </row>
    <row r="88" spans="1:16" ht="14.25" x14ac:dyDescent="0.2">
      <c r="B88" s="268"/>
      <c r="C88" s="274" t="s">
        <v>376</v>
      </c>
      <c r="D88" s="269"/>
      <c r="E88" s="61"/>
      <c r="F88" s="61"/>
      <c r="G88" s="61"/>
      <c r="H88" s="61"/>
      <c r="I88" s="284"/>
      <c r="J88" s="284"/>
      <c r="K88" s="284"/>
      <c r="L88" s="284"/>
      <c r="M88" s="298">
        <f>SUM(M89:M89)</f>
        <v>0</v>
      </c>
      <c r="N88" s="298">
        <f>SUM(N89:N89)</f>
        <v>0</v>
      </c>
      <c r="O88" s="298">
        <f>SUM(O89:O89)</f>
        <v>0</v>
      </c>
    </row>
    <row r="89" spans="1:16" ht="14.25" x14ac:dyDescent="0.2">
      <c r="B89" s="253"/>
      <c r="C89" s="30" t="s">
        <v>394</v>
      </c>
      <c r="D89" s="41"/>
      <c r="E89" s="270"/>
      <c r="F89" s="270"/>
      <c r="G89" s="270"/>
      <c r="H89" s="28"/>
      <c r="I89" s="283"/>
      <c r="J89" s="283"/>
      <c r="K89" s="283"/>
      <c r="L89" s="280"/>
      <c r="M89" s="285">
        <f>E89*I89</f>
        <v>0</v>
      </c>
      <c r="N89" s="285">
        <f t="shared" ref="N89" si="3">F89*J89</f>
        <v>0</v>
      </c>
      <c r="O89" s="285">
        <f>G89*K89</f>
        <v>0</v>
      </c>
    </row>
    <row r="90" spans="1:16" ht="14.25" x14ac:dyDescent="0.2">
      <c r="B90" s="268"/>
      <c r="C90" s="274" t="s">
        <v>379</v>
      </c>
      <c r="D90" s="269"/>
      <c r="E90" s="61"/>
      <c r="F90" s="61"/>
      <c r="G90" s="61"/>
      <c r="H90" s="61"/>
      <c r="I90" s="284"/>
      <c r="J90" s="284"/>
      <c r="K90" s="284"/>
      <c r="L90" s="284"/>
      <c r="M90" s="298">
        <f>SUM(M91:M91)</f>
        <v>0</v>
      </c>
      <c r="N90" s="298">
        <f>SUM(N91:N91)</f>
        <v>0</v>
      </c>
      <c r="O90" s="298">
        <f>SUM(O91:O91)</f>
        <v>0</v>
      </c>
    </row>
    <row r="91" spans="1:16" ht="14.25" x14ac:dyDescent="0.2">
      <c r="B91" s="253"/>
      <c r="C91" s="30" t="s">
        <v>394</v>
      </c>
      <c r="D91" s="41"/>
      <c r="E91" s="270"/>
      <c r="F91" s="270"/>
      <c r="G91" s="270"/>
      <c r="H91" s="28"/>
      <c r="I91" s="283"/>
      <c r="J91" s="283"/>
      <c r="K91" s="283"/>
      <c r="L91" s="280"/>
      <c r="M91" s="285">
        <f>E91*I91</f>
        <v>0</v>
      </c>
      <c r="N91" s="285">
        <f t="shared" ref="N91" si="4">F91*J91</f>
        <v>0</v>
      </c>
      <c r="O91" s="285">
        <f>G91*K91</f>
        <v>0</v>
      </c>
    </row>
    <row r="92" spans="1:16" ht="14.25" x14ac:dyDescent="0.2">
      <c r="B92" s="271"/>
      <c r="C92" s="274" t="s">
        <v>380</v>
      </c>
      <c r="D92" s="272"/>
      <c r="E92" s="61"/>
      <c r="F92" s="61"/>
      <c r="G92" s="61"/>
      <c r="H92" s="61"/>
      <c r="I92" s="284"/>
      <c r="J92" s="284"/>
      <c r="K92" s="284"/>
      <c r="L92" s="284"/>
      <c r="M92" s="298">
        <f>SUM(M93:M93)</f>
        <v>0</v>
      </c>
      <c r="N92" s="298">
        <f>SUM(N93:N93)</f>
        <v>0</v>
      </c>
      <c r="O92" s="298">
        <f>SUM(O93:O93)</f>
        <v>0</v>
      </c>
    </row>
    <row r="93" spans="1:16" ht="14.25" x14ac:dyDescent="0.2">
      <c r="B93" s="253"/>
      <c r="C93" s="30" t="s">
        <v>394</v>
      </c>
      <c r="D93" s="41"/>
      <c r="E93" s="270"/>
      <c r="F93" s="270"/>
      <c r="G93" s="270"/>
      <c r="H93" s="28"/>
      <c r="I93" s="283"/>
      <c r="J93" s="283"/>
      <c r="K93" s="283"/>
      <c r="L93" s="280"/>
      <c r="M93" s="285">
        <f>E93*I93</f>
        <v>0</v>
      </c>
      <c r="N93" s="285">
        <f t="shared" ref="N93" si="5">F93*J93</f>
        <v>0</v>
      </c>
      <c r="O93" s="285">
        <f>G93*K93</f>
        <v>0</v>
      </c>
    </row>
    <row r="94" spans="1:16" ht="14.25" x14ac:dyDescent="0.2">
      <c r="B94" s="271"/>
      <c r="C94" s="274" t="s">
        <v>381</v>
      </c>
      <c r="D94" s="272"/>
      <c r="E94" s="61"/>
      <c r="F94" s="61"/>
      <c r="G94" s="61"/>
      <c r="H94" s="61"/>
      <c r="I94" s="284"/>
      <c r="J94" s="284"/>
      <c r="K94" s="284"/>
      <c r="L94" s="284"/>
      <c r="M94" s="298">
        <f>SUM(M95:M95)</f>
        <v>0</v>
      </c>
      <c r="N94" s="298">
        <f>SUM(N95:N95)</f>
        <v>0</v>
      </c>
      <c r="O94" s="298">
        <f>SUM(O95:O95)</f>
        <v>0</v>
      </c>
    </row>
    <row r="95" spans="1:16" ht="14.25" x14ac:dyDescent="0.2">
      <c r="B95" s="253"/>
      <c r="C95" s="30" t="s">
        <v>394</v>
      </c>
      <c r="D95" s="41"/>
      <c r="E95" s="270"/>
      <c r="F95" s="270"/>
      <c r="G95" s="270"/>
      <c r="H95" s="28"/>
      <c r="I95" s="283"/>
      <c r="J95" s="283"/>
      <c r="K95" s="283"/>
      <c r="L95" s="280"/>
      <c r="M95" s="285">
        <f>E95*I95</f>
        <v>0</v>
      </c>
      <c r="N95" s="285">
        <f>F95*J95</f>
        <v>0</v>
      </c>
      <c r="O95" s="285">
        <f>G95*K95</f>
        <v>0</v>
      </c>
    </row>
    <row r="96" spans="1:16" ht="14.25" x14ac:dyDescent="0.2">
      <c r="B96" s="268"/>
      <c r="C96" s="274" t="s">
        <v>377</v>
      </c>
      <c r="D96" s="269"/>
      <c r="E96" s="61"/>
      <c r="F96" s="61"/>
      <c r="G96" s="61"/>
      <c r="H96" s="61"/>
      <c r="I96" s="284"/>
      <c r="J96" s="284"/>
      <c r="K96" s="284"/>
      <c r="L96" s="284"/>
      <c r="M96" s="298">
        <f>SUM(M97:M97)</f>
        <v>0</v>
      </c>
      <c r="N96" s="298">
        <f>SUM(N97:N97)</f>
        <v>0</v>
      </c>
      <c r="O96" s="298">
        <f>SUM(O97:O97)</f>
        <v>0</v>
      </c>
    </row>
    <row r="97" spans="1:15" ht="14.25" x14ac:dyDescent="0.2">
      <c r="B97" s="253"/>
      <c r="C97" s="30" t="s">
        <v>394</v>
      </c>
      <c r="D97" s="41"/>
      <c r="E97" s="270"/>
      <c r="F97" s="270"/>
      <c r="G97" s="270"/>
      <c r="H97" s="28"/>
      <c r="I97" s="283"/>
      <c r="J97" s="283"/>
      <c r="K97" s="283"/>
      <c r="L97" s="280"/>
      <c r="M97" s="285">
        <f>E97*I97</f>
        <v>0</v>
      </c>
      <c r="N97" s="285">
        <f t="shared" ref="N97" si="6">F97*J97</f>
        <v>0</v>
      </c>
      <c r="O97" s="285">
        <f>G97*K97</f>
        <v>0</v>
      </c>
    </row>
    <row r="98" spans="1:15" ht="14.25" x14ac:dyDescent="0.2">
      <c r="B98" s="268"/>
      <c r="C98" s="274" t="s">
        <v>382</v>
      </c>
      <c r="D98" s="269"/>
      <c r="E98" s="61"/>
      <c r="F98" s="61"/>
      <c r="G98" s="61"/>
      <c r="H98" s="61"/>
      <c r="I98" s="284"/>
      <c r="J98" s="284"/>
      <c r="K98" s="284"/>
      <c r="L98" s="284"/>
      <c r="M98" s="298">
        <f>SUM(M99:M99)</f>
        <v>0</v>
      </c>
      <c r="N98" s="298">
        <f>SUM(N99:N99)</f>
        <v>0</v>
      </c>
      <c r="O98" s="298">
        <f>SUM(O99:O99)</f>
        <v>0</v>
      </c>
    </row>
    <row r="99" spans="1:15" ht="14.25" x14ac:dyDescent="0.2">
      <c r="B99" s="253"/>
      <c r="C99" s="30" t="s">
        <v>394</v>
      </c>
      <c r="D99" s="41"/>
      <c r="E99" s="270"/>
      <c r="F99" s="270"/>
      <c r="G99" s="270"/>
      <c r="H99" s="28"/>
      <c r="I99" s="283"/>
      <c r="J99" s="283"/>
      <c r="K99" s="283"/>
      <c r="L99" s="280"/>
      <c r="M99" s="285">
        <f>E99*I99</f>
        <v>0</v>
      </c>
      <c r="N99" s="285">
        <f t="shared" ref="N99" si="7">F99*J99</f>
        <v>0</v>
      </c>
      <c r="O99" s="285">
        <f>G99*K99</f>
        <v>0</v>
      </c>
    </row>
    <row r="100" spans="1:15" ht="14.25" x14ac:dyDescent="0.2">
      <c r="A100" s="246"/>
      <c r="B100" s="275"/>
      <c r="C100" s="276" t="s">
        <v>383</v>
      </c>
      <c r="D100" s="277"/>
      <c r="E100" s="57"/>
      <c r="F100" s="57"/>
      <c r="G100" s="57"/>
      <c r="H100" s="57"/>
      <c r="I100" s="282"/>
      <c r="J100" s="282"/>
      <c r="K100" s="282"/>
      <c r="L100" s="282"/>
      <c r="M100" s="296"/>
      <c r="N100" s="296"/>
      <c r="O100" s="296"/>
    </row>
    <row r="101" spans="1:15" ht="14.25" x14ac:dyDescent="0.2">
      <c r="B101" s="271"/>
      <c r="C101" s="274" t="s">
        <v>384</v>
      </c>
      <c r="D101" s="272"/>
      <c r="E101" s="61"/>
      <c r="F101" s="61"/>
      <c r="G101" s="61"/>
      <c r="H101" s="61"/>
      <c r="I101" s="284"/>
      <c r="J101" s="284"/>
      <c r="K101" s="284"/>
      <c r="L101" s="284"/>
      <c r="M101" s="298">
        <f>SUM(M102:M102)</f>
        <v>0</v>
      </c>
      <c r="N101" s="298">
        <f>SUM(N102:N102)</f>
        <v>0</v>
      </c>
      <c r="O101" s="298">
        <f>SUM(O102:O102)</f>
        <v>0</v>
      </c>
    </row>
    <row r="102" spans="1:15" ht="14.25" x14ac:dyDescent="0.2">
      <c r="B102" s="253"/>
      <c r="C102" s="30" t="s">
        <v>394</v>
      </c>
      <c r="D102" s="41"/>
      <c r="E102" s="270"/>
      <c r="F102" s="270"/>
      <c r="G102" s="270"/>
      <c r="H102" s="28"/>
      <c r="I102" s="283"/>
      <c r="J102" s="283"/>
      <c r="K102" s="283"/>
      <c r="L102" s="280"/>
      <c r="M102" s="285">
        <f>E102*I102</f>
        <v>0</v>
      </c>
      <c r="N102" s="285">
        <f t="shared" ref="N102" si="8">F102*J102</f>
        <v>0</v>
      </c>
      <c r="O102" s="285">
        <f>G102*K102</f>
        <v>0</v>
      </c>
    </row>
    <row r="103" spans="1:15" ht="14.25" x14ac:dyDescent="0.2">
      <c r="B103" s="271"/>
      <c r="C103" s="274" t="s">
        <v>385</v>
      </c>
      <c r="D103" s="272"/>
      <c r="E103" s="61"/>
      <c r="F103" s="61"/>
      <c r="G103" s="61"/>
      <c r="H103" s="61"/>
      <c r="I103" s="284"/>
      <c r="J103" s="284"/>
      <c r="K103" s="284"/>
      <c r="L103" s="284"/>
      <c r="M103" s="298">
        <f>SUM(M104:M104)</f>
        <v>0</v>
      </c>
      <c r="N103" s="298">
        <f>SUM(N104:N104)</f>
        <v>0</v>
      </c>
      <c r="O103" s="298">
        <f>SUM(O104:O104)</f>
        <v>0</v>
      </c>
    </row>
    <row r="104" spans="1:15" ht="14.25" x14ac:dyDescent="0.2">
      <c r="B104" s="253"/>
      <c r="C104" s="30" t="s">
        <v>394</v>
      </c>
      <c r="D104" s="41"/>
      <c r="E104" s="270"/>
      <c r="F104" s="270"/>
      <c r="G104" s="270"/>
      <c r="H104" s="28"/>
      <c r="I104" s="283"/>
      <c r="J104" s="283"/>
      <c r="K104" s="283"/>
      <c r="L104" s="280"/>
      <c r="M104" s="285">
        <f>E104*I104</f>
        <v>0</v>
      </c>
      <c r="N104" s="285">
        <f t="shared" ref="N104" si="9">F104*J104</f>
        <v>0</v>
      </c>
      <c r="O104" s="285">
        <f>G104*K104</f>
        <v>0</v>
      </c>
    </row>
    <row r="105" spans="1:15" ht="14.25" x14ac:dyDescent="0.2">
      <c r="A105" s="246"/>
      <c r="B105" s="288"/>
      <c r="C105" s="289" t="s">
        <v>386</v>
      </c>
      <c r="D105" s="290"/>
      <c r="E105" s="291"/>
      <c r="F105" s="291"/>
      <c r="G105" s="291"/>
      <c r="H105" s="291"/>
      <c r="I105" s="292"/>
      <c r="J105" s="292"/>
      <c r="K105" s="292"/>
      <c r="L105" s="292"/>
      <c r="M105" s="297"/>
      <c r="N105" s="297"/>
      <c r="O105" s="297"/>
    </row>
    <row r="106" spans="1:15" ht="14.25" x14ac:dyDescent="0.2">
      <c r="B106" s="271"/>
      <c r="C106" s="274" t="s">
        <v>387</v>
      </c>
      <c r="D106" s="272"/>
      <c r="E106" s="61"/>
      <c r="F106" s="61"/>
      <c r="G106" s="61"/>
      <c r="H106" s="61"/>
      <c r="I106" s="284"/>
      <c r="J106" s="284"/>
      <c r="K106" s="284"/>
      <c r="L106" s="284"/>
      <c r="M106" s="298">
        <f>SUM(M107:M107)</f>
        <v>0</v>
      </c>
      <c r="N106" s="298">
        <f>SUM(N107:N107)</f>
        <v>0</v>
      </c>
      <c r="O106" s="298">
        <f>SUM(O107:O107)</f>
        <v>0</v>
      </c>
    </row>
    <row r="107" spans="1:15" ht="14.25" x14ac:dyDescent="0.2">
      <c r="B107" s="253"/>
      <c r="C107" s="30" t="s">
        <v>394</v>
      </c>
      <c r="D107" s="41"/>
      <c r="E107" s="270"/>
      <c r="F107" s="270"/>
      <c r="G107" s="270"/>
      <c r="H107" s="28"/>
      <c r="I107" s="283"/>
      <c r="J107" s="283"/>
      <c r="K107" s="283"/>
      <c r="L107" s="280"/>
      <c r="M107" s="285">
        <f>E107*I107</f>
        <v>0</v>
      </c>
      <c r="N107" s="285">
        <f t="shared" ref="N107" si="10">F107*J107</f>
        <v>0</v>
      </c>
      <c r="O107" s="285">
        <f>G107*K107</f>
        <v>0</v>
      </c>
    </row>
    <row r="108" spans="1:15" ht="14.25" x14ac:dyDescent="0.2">
      <c r="B108" s="271"/>
      <c r="C108" s="274" t="s">
        <v>388</v>
      </c>
      <c r="D108" s="272"/>
      <c r="E108" s="61"/>
      <c r="F108" s="61"/>
      <c r="G108" s="61"/>
      <c r="H108" s="61"/>
      <c r="I108" s="284"/>
      <c r="J108" s="284"/>
      <c r="K108" s="284"/>
      <c r="L108" s="284"/>
      <c r="M108" s="298">
        <f>SUM(M109:M109)</f>
        <v>0</v>
      </c>
      <c r="N108" s="298">
        <f>SUM(N109:N109)</f>
        <v>0</v>
      </c>
      <c r="O108" s="298">
        <f>SUM(O109:O109)</f>
        <v>0</v>
      </c>
    </row>
    <row r="109" spans="1:15" ht="14.25" x14ac:dyDescent="0.2">
      <c r="B109" s="253"/>
      <c r="C109" s="30" t="s">
        <v>394</v>
      </c>
      <c r="D109" s="41"/>
      <c r="E109" s="270"/>
      <c r="F109" s="270"/>
      <c r="G109" s="270"/>
      <c r="H109" s="28"/>
      <c r="I109" s="283"/>
      <c r="J109" s="283"/>
      <c r="K109" s="283"/>
      <c r="L109" s="280"/>
      <c r="M109" s="285">
        <f>E109*I109</f>
        <v>0</v>
      </c>
      <c r="N109" s="285">
        <f t="shared" ref="N109" si="11">F109*J109</f>
        <v>0</v>
      </c>
      <c r="O109" s="285">
        <f>G109*K109</f>
        <v>0</v>
      </c>
    </row>
    <row r="110" spans="1:15" ht="14.25" x14ac:dyDescent="0.2">
      <c r="B110" s="273"/>
      <c r="C110" s="3"/>
      <c r="D110" s="3"/>
      <c r="E110" s="3"/>
      <c r="I110" s="278"/>
      <c r="J110" s="278"/>
      <c r="K110" s="278"/>
      <c r="L110" s="278"/>
      <c r="M110" s="278"/>
      <c r="N110" s="278"/>
      <c r="O110" s="278"/>
    </row>
    <row r="111" spans="1:15" ht="15.75" thickBot="1" x14ac:dyDescent="0.3">
      <c r="A111" s="246"/>
      <c r="B111" s="273"/>
      <c r="C111" s="3"/>
      <c r="D111" s="3"/>
      <c r="E111" s="3"/>
      <c r="I111" s="278"/>
      <c r="J111" s="278"/>
      <c r="K111" s="278"/>
      <c r="L111" s="286" t="s">
        <v>390</v>
      </c>
      <c r="M111" s="287">
        <f>SUM(M84:M104)/2</f>
        <v>0</v>
      </c>
      <c r="N111" s="287">
        <f>SUM(N84:N104)/2</f>
        <v>0</v>
      </c>
      <c r="O111" s="287">
        <f>SUM(O84:O104)/2</f>
        <v>0</v>
      </c>
    </row>
    <row r="112" spans="1:15" ht="16.5" thickTop="1" thickBot="1" x14ac:dyDescent="0.3">
      <c r="B112" s="273"/>
      <c r="C112" s="3"/>
      <c r="D112" s="3"/>
      <c r="E112" s="3"/>
      <c r="I112" s="278"/>
      <c r="J112" s="278"/>
      <c r="K112" s="278"/>
      <c r="L112" s="286" t="s">
        <v>389</v>
      </c>
      <c r="M112" s="287">
        <f>SUM(M106:M109)/2</f>
        <v>0</v>
      </c>
      <c r="N112" s="287">
        <f>SUM(N106:N109)/2</f>
        <v>0</v>
      </c>
      <c r="O112" s="287">
        <f>SUM(O106:O109)/2</f>
        <v>0</v>
      </c>
    </row>
    <row r="113" spans="1:16" ht="15.75" thickTop="1" x14ac:dyDescent="0.25">
      <c r="A113" s="28"/>
      <c r="B113" s="28"/>
      <c r="C113" s="43"/>
      <c r="F113"/>
    </row>
    <row r="114" spans="1:16" s="28" customFormat="1" ht="15.75" x14ac:dyDescent="0.25">
      <c r="A114" s="263"/>
      <c r="B114" s="315"/>
      <c r="C114" s="316">
        <f>B35</f>
        <v>0</v>
      </c>
      <c r="D114" s="315"/>
      <c r="E114" s="315"/>
      <c r="F114" s="315"/>
      <c r="G114" s="315"/>
      <c r="H114" s="317"/>
      <c r="I114" s="318"/>
      <c r="J114" s="318"/>
      <c r="K114" s="318"/>
      <c r="L114" s="318"/>
      <c r="M114" s="318"/>
      <c r="N114" s="318"/>
      <c r="O114" s="318"/>
      <c r="P114" s="254"/>
    </row>
    <row r="115" spans="1:16" ht="15.75" x14ac:dyDescent="0.25">
      <c r="A115" s="246"/>
      <c r="B115" s="303" t="s">
        <v>346</v>
      </c>
      <c r="C115" s="304" t="s">
        <v>369</v>
      </c>
      <c r="D115" s="305" t="s">
        <v>370</v>
      </c>
      <c r="E115" s="306"/>
      <c r="F115" s="306" t="s">
        <v>392</v>
      </c>
      <c r="G115" s="306"/>
      <c r="H115" s="306"/>
      <c r="I115" s="307"/>
      <c r="J115" s="307" t="s">
        <v>391</v>
      </c>
      <c r="K115" s="307"/>
      <c r="L115" s="279"/>
      <c r="M115" s="307"/>
      <c r="N115" s="307" t="s">
        <v>369</v>
      </c>
      <c r="O115" s="307"/>
    </row>
    <row r="116" spans="1:16" ht="15.75" x14ac:dyDescent="0.25">
      <c r="A116" s="246"/>
      <c r="B116" s="266"/>
      <c r="C116" s="264"/>
      <c r="D116" s="266"/>
      <c r="E116" s="267" t="s">
        <v>371</v>
      </c>
      <c r="F116" s="267" t="s">
        <v>372</v>
      </c>
      <c r="G116" s="267" t="s">
        <v>373</v>
      </c>
      <c r="I116" s="281" t="s">
        <v>371</v>
      </c>
      <c r="J116" s="281" t="s">
        <v>372</v>
      </c>
      <c r="K116" s="281" t="s">
        <v>373</v>
      </c>
      <c r="L116" s="278"/>
      <c r="M116" s="293" t="s">
        <v>371</v>
      </c>
      <c r="N116" s="293" t="s">
        <v>372</v>
      </c>
      <c r="O116" s="293" t="s">
        <v>373</v>
      </c>
      <c r="P116" s="254"/>
    </row>
    <row r="117" spans="1:16" ht="14.25" x14ac:dyDescent="0.2">
      <c r="A117" s="246"/>
      <c r="B117" s="275"/>
      <c r="C117" s="276" t="s">
        <v>374</v>
      </c>
      <c r="D117" s="277"/>
      <c r="E117" s="57"/>
      <c r="F117" s="57"/>
      <c r="G117" s="57"/>
      <c r="H117" s="57"/>
      <c r="I117" s="282"/>
      <c r="J117" s="282"/>
      <c r="K117" s="282"/>
      <c r="L117" s="282"/>
      <c r="M117" s="294">
        <f>SUM(M118:M118)</f>
        <v>0</v>
      </c>
      <c r="N117" s="294">
        <f>SUM(N118:N118)</f>
        <v>0</v>
      </c>
      <c r="O117" s="294">
        <f>SUM(O118:O118)</f>
        <v>0</v>
      </c>
    </row>
    <row r="118" spans="1:16" ht="14.25" x14ac:dyDescent="0.2">
      <c r="A118" s="246"/>
      <c r="B118" s="253"/>
      <c r="C118" s="30" t="s">
        <v>394</v>
      </c>
      <c r="D118" s="41"/>
      <c r="E118" s="270"/>
      <c r="F118" s="270"/>
      <c r="G118" s="270"/>
      <c r="H118" s="28"/>
      <c r="I118" s="283"/>
      <c r="J118" s="283"/>
      <c r="K118" s="283"/>
      <c r="L118" s="280"/>
      <c r="M118" s="295">
        <f>E118*I118</f>
        <v>0</v>
      </c>
      <c r="N118" s="295">
        <f t="shared" ref="N118" si="12">F118*J118</f>
        <v>0</v>
      </c>
      <c r="O118" s="295">
        <f t="shared" ref="O118" si="13">G118*K118</f>
        <v>0</v>
      </c>
    </row>
    <row r="119" spans="1:16" ht="14.25" x14ac:dyDescent="0.2">
      <c r="A119" s="246"/>
      <c r="B119" s="275"/>
      <c r="C119" s="276" t="s">
        <v>378</v>
      </c>
      <c r="D119" s="277"/>
      <c r="E119" s="57"/>
      <c r="F119" s="57"/>
      <c r="G119" s="57"/>
      <c r="H119" s="57"/>
      <c r="I119" s="282"/>
      <c r="J119" s="282"/>
      <c r="K119" s="282"/>
      <c r="L119" s="282"/>
      <c r="M119" s="296"/>
      <c r="N119" s="296"/>
      <c r="O119" s="296"/>
    </row>
    <row r="120" spans="1:16" ht="14.25" x14ac:dyDescent="0.2">
      <c r="A120" s="246"/>
      <c r="B120" s="268"/>
      <c r="C120" s="274" t="s">
        <v>375</v>
      </c>
      <c r="D120" s="269"/>
      <c r="E120" s="61"/>
      <c r="F120" s="61"/>
      <c r="G120" s="61"/>
      <c r="H120" s="61"/>
      <c r="I120" s="284"/>
      <c r="J120" s="284"/>
      <c r="K120" s="284"/>
      <c r="L120" s="284"/>
      <c r="M120" s="298">
        <f>SUM(M121:M121)</f>
        <v>0</v>
      </c>
      <c r="N120" s="298">
        <f>SUM(N121:N121)</f>
        <v>0</v>
      </c>
      <c r="O120" s="298">
        <f>SUM(O121:O121)</f>
        <v>0</v>
      </c>
    </row>
    <row r="121" spans="1:16" ht="14.25" x14ac:dyDescent="0.2">
      <c r="B121" s="253"/>
      <c r="C121" s="30" t="s">
        <v>394</v>
      </c>
      <c r="D121" s="41"/>
      <c r="E121" s="270"/>
      <c r="F121" s="270"/>
      <c r="G121" s="270"/>
      <c r="H121" s="28"/>
      <c r="I121" s="283"/>
      <c r="J121" s="283"/>
      <c r="K121" s="283"/>
      <c r="L121" s="280"/>
      <c r="M121" s="285">
        <f>E121*I121</f>
        <v>0</v>
      </c>
      <c r="N121" s="285">
        <f t="shared" ref="N121" si="14">F121*J121</f>
        <v>0</v>
      </c>
      <c r="O121" s="285">
        <f t="shared" ref="O121" si="15">G121*K121</f>
        <v>0</v>
      </c>
    </row>
    <row r="122" spans="1:16" ht="14.25" x14ac:dyDescent="0.2">
      <c r="B122" s="268"/>
      <c r="C122" s="274" t="s">
        <v>376</v>
      </c>
      <c r="D122" s="269"/>
      <c r="E122" s="61"/>
      <c r="F122" s="61"/>
      <c r="G122" s="61"/>
      <c r="H122" s="61"/>
      <c r="I122" s="284"/>
      <c r="J122" s="284"/>
      <c r="K122" s="284"/>
      <c r="L122" s="284"/>
      <c r="M122" s="298">
        <f>SUM(M123:M123)</f>
        <v>0</v>
      </c>
      <c r="N122" s="298">
        <f>SUM(N123:N123)</f>
        <v>0</v>
      </c>
      <c r="O122" s="298">
        <f>SUM(O123:O123)</f>
        <v>0</v>
      </c>
    </row>
    <row r="123" spans="1:16" ht="14.25" x14ac:dyDescent="0.2">
      <c r="B123" s="253"/>
      <c r="C123" s="30" t="s">
        <v>394</v>
      </c>
      <c r="D123" s="41"/>
      <c r="E123" s="270"/>
      <c r="F123" s="270"/>
      <c r="G123" s="270"/>
      <c r="H123" s="28"/>
      <c r="I123" s="283"/>
      <c r="J123" s="283"/>
      <c r="K123" s="283"/>
      <c r="L123" s="280"/>
      <c r="M123" s="285">
        <f>E123*I123</f>
        <v>0</v>
      </c>
      <c r="N123" s="285">
        <f t="shared" ref="N123" si="16">F123*J123</f>
        <v>0</v>
      </c>
      <c r="O123" s="285">
        <f>G123*K123</f>
        <v>0</v>
      </c>
    </row>
    <row r="124" spans="1:16" ht="14.25" x14ac:dyDescent="0.2">
      <c r="B124" s="268"/>
      <c r="C124" s="274" t="s">
        <v>379</v>
      </c>
      <c r="D124" s="269"/>
      <c r="E124" s="61"/>
      <c r="F124" s="61"/>
      <c r="G124" s="61"/>
      <c r="H124" s="61"/>
      <c r="I124" s="284"/>
      <c r="J124" s="284"/>
      <c r="K124" s="284"/>
      <c r="L124" s="284"/>
      <c r="M124" s="298">
        <f>SUM(M125:M125)</f>
        <v>0</v>
      </c>
      <c r="N124" s="298">
        <f>SUM(N125:N125)</f>
        <v>0</v>
      </c>
      <c r="O124" s="298">
        <f>SUM(O125:O125)</f>
        <v>0</v>
      </c>
    </row>
    <row r="125" spans="1:16" ht="14.25" x14ac:dyDescent="0.2">
      <c r="B125" s="253"/>
      <c r="C125" s="30" t="s">
        <v>394</v>
      </c>
      <c r="D125" s="41"/>
      <c r="E125" s="270"/>
      <c r="F125" s="270"/>
      <c r="G125" s="270"/>
      <c r="H125" s="28"/>
      <c r="I125" s="283"/>
      <c r="J125" s="283"/>
      <c r="K125" s="283"/>
      <c r="L125" s="280"/>
      <c r="M125" s="285">
        <f>E125*I125</f>
        <v>0</v>
      </c>
      <c r="N125" s="285">
        <f t="shared" ref="N125" si="17">F125*J125</f>
        <v>0</v>
      </c>
      <c r="O125" s="285">
        <f>G125*K125</f>
        <v>0</v>
      </c>
    </row>
    <row r="126" spans="1:16" ht="14.25" x14ac:dyDescent="0.2">
      <c r="B126" s="271"/>
      <c r="C126" s="274" t="s">
        <v>380</v>
      </c>
      <c r="D126" s="272"/>
      <c r="E126" s="61"/>
      <c r="F126" s="61"/>
      <c r="G126" s="61"/>
      <c r="H126" s="61"/>
      <c r="I126" s="284"/>
      <c r="J126" s="284"/>
      <c r="K126" s="284"/>
      <c r="L126" s="284"/>
      <c r="M126" s="298">
        <f>SUM(M127:M127)</f>
        <v>0</v>
      </c>
      <c r="N126" s="298">
        <f>SUM(N127:N127)</f>
        <v>0</v>
      </c>
      <c r="O126" s="298">
        <f>SUM(O127:O127)</f>
        <v>0</v>
      </c>
    </row>
    <row r="127" spans="1:16" ht="14.25" x14ac:dyDescent="0.2">
      <c r="B127" s="253"/>
      <c r="C127" s="30" t="s">
        <v>394</v>
      </c>
      <c r="D127" s="41"/>
      <c r="E127" s="270"/>
      <c r="F127" s="270"/>
      <c r="G127" s="270"/>
      <c r="H127" s="28"/>
      <c r="I127" s="283"/>
      <c r="J127" s="283"/>
      <c r="K127" s="283"/>
      <c r="L127" s="280"/>
      <c r="M127" s="285">
        <f>E127*I127</f>
        <v>0</v>
      </c>
      <c r="N127" s="285">
        <f t="shared" ref="N127" si="18">F127*J127</f>
        <v>0</v>
      </c>
      <c r="O127" s="285">
        <f>G127*K127</f>
        <v>0</v>
      </c>
    </row>
    <row r="128" spans="1:16" ht="14.25" x14ac:dyDescent="0.2">
      <c r="B128" s="271"/>
      <c r="C128" s="274" t="s">
        <v>381</v>
      </c>
      <c r="D128" s="272"/>
      <c r="E128" s="61"/>
      <c r="F128" s="61"/>
      <c r="G128" s="61"/>
      <c r="H128" s="61"/>
      <c r="I128" s="284"/>
      <c r="J128" s="284"/>
      <c r="K128" s="284"/>
      <c r="L128" s="284"/>
      <c r="M128" s="298">
        <f>SUM(M129:M129)</f>
        <v>0</v>
      </c>
      <c r="N128" s="298">
        <f>SUM(N129:N129)</f>
        <v>0</v>
      </c>
      <c r="O128" s="298">
        <f>SUM(O129:O129)</f>
        <v>0</v>
      </c>
    </row>
    <row r="129" spans="1:15" ht="14.25" x14ac:dyDescent="0.2">
      <c r="B129" s="253"/>
      <c r="C129" s="30" t="s">
        <v>394</v>
      </c>
      <c r="D129" s="41"/>
      <c r="E129" s="270"/>
      <c r="F129" s="270"/>
      <c r="G129" s="270"/>
      <c r="H129" s="28"/>
      <c r="I129" s="283"/>
      <c r="J129" s="283"/>
      <c r="K129" s="283"/>
      <c r="L129" s="280"/>
      <c r="M129" s="285">
        <f>E129*I129</f>
        <v>0</v>
      </c>
      <c r="N129" s="285">
        <f>F129*J129</f>
        <v>0</v>
      </c>
      <c r="O129" s="285">
        <f>G129*K129</f>
        <v>0</v>
      </c>
    </row>
    <row r="130" spans="1:15" ht="14.25" x14ac:dyDescent="0.2">
      <c r="B130" s="268"/>
      <c r="C130" s="274" t="s">
        <v>377</v>
      </c>
      <c r="D130" s="269"/>
      <c r="E130" s="61"/>
      <c r="F130" s="61"/>
      <c r="G130" s="61"/>
      <c r="H130" s="61"/>
      <c r="I130" s="284"/>
      <c r="J130" s="284"/>
      <c r="K130" s="284"/>
      <c r="L130" s="284"/>
      <c r="M130" s="298">
        <f>SUM(M131:M131)</f>
        <v>0</v>
      </c>
      <c r="N130" s="298">
        <f>SUM(N131:N131)</f>
        <v>0</v>
      </c>
      <c r="O130" s="298">
        <f>SUM(O131:O131)</f>
        <v>0</v>
      </c>
    </row>
    <row r="131" spans="1:15" ht="14.25" x14ac:dyDescent="0.2">
      <c r="B131" s="253"/>
      <c r="C131" s="30" t="s">
        <v>394</v>
      </c>
      <c r="D131" s="41"/>
      <c r="E131" s="270"/>
      <c r="F131" s="270"/>
      <c r="G131" s="270"/>
      <c r="H131" s="28"/>
      <c r="I131" s="283"/>
      <c r="J131" s="283"/>
      <c r="K131" s="283"/>
      <c r="L131" s="280"/>
      <c r="M131" s="285">
        <f>E131*I131</f>
        <v>0</v>
      </c>
      <c r="N131" s="285">
        <f t="shared" ref="N131" si="19">F131*J131</f>
        <v>0</v>
      </c>
      <c r="O131" s="285">
        <f>G131*K131</f>
        <v>0</v>
      </c>
    </row>
    <row r="132" spans="1:15" ht="14.25" x14ac:dyDescent="0.2">
      <c r="B132" s="268"/>
      <c r="C132" s="274" t="s">
        <v>382</v>
      </c>
      <c r="D132" s="269"/>
      <c r="E132" s="61"/>
      <c r="F132" s="61"/>
      <c r="G132" s="61"/>
      <c r="H132" s="61"/>
      <c r="I132" s="284"/>
      <c r="J132" s="284"/>
      <c r="K132" s="284"/>
      <c r="L132" s="284"/>
      <c r="M132" s="298">
        <f>SUM(M133:M133)</f>
        <v>0</v>
      </c>
      <c r="N132" s="298">
        <f>SUM(N133:N133)</f>
        <v>0</v>
      </c>
      <c r="O132" s="298">
        <f>SUM(O133:O133)</f>
        <v>0</v>
      </c>
    </row>
    <row r="133" spans="1:15" ht="14.25" x14ac:dyDescent="0.2">
      <c r="B133" s="253"/>
      <c r="C133" s="30" t="s">
        <v>394</v>
      </c>
      <c r="D133" s="41"/>
      <c r="E133" s="270"/>
      <c r="F133" s="270"/>
      <c r="G133" s="270"/>
      <c r="H133" s="28"/>
      <c r="I133" s="283"/>
      <c r="J133" s="283"/>
      <c r="K133" s="283"/>
      <c r="L133" s="280"/>
      <c r="M133" s="285">
        <f>E133*I133</f>
        <v>0</v>
      </c>
      <c r="N133" s="285">
        <f t="shared" ref="N133" si="20">F133*J133</f>
        <v>0</v>
      </c>
      <c r="O133" s="285">
        <f>G133*K133</f>
        <v>0</v>
      </c>
    </row>
    <row r="134" spans="1:15" ht="14.25" x14ac:dyDescent="0.2">
      <c r="A134" s="246"/>
      <c r="B134" s="275"/>
      <c r="C134" s="276" t="s">
        <v>383</v>
      </c>
      <c r="D134" s="277"/>
      <c r="E134" s="57"/>
      <c r="F134" s="57"/>
      <c r="G134" s="57"/>
      <c r="H134" s="57"/>
      <c r="I134" s="282"/>
      <c r="J134" s="282"/>
      <c r="K134" s="282"/>
      <c r="L134" s="282"/>
      <c r="M134" s="296"/>
      <c r="N134" s="296"/>
      <c r="O134" s="296"/>
    </row>
    <row r="135" spans="1:15" ht="14.25" x14ac:dyDescent="0.2">
      <c r="B135" s="271"/>
      <c r="C135" s="274" t="s">
        <v>384</v>
      </c>
      <c r="D135" s="272"/>
      <c r="E135" s="61"/>
      <c r="F135" s="61"/>
      <c r="G135" s="61"/>
      <c r="H135" s="61"/>
      <c r="I135" s="284"/>
      <c r="J135" s="284"/>
      <c r="K135" s="284"/>
      <c r="L135" s="284"/>
      <c r="M135" s="298">
        <f>SUM(M136:M136)</f>
        <v>0</v>
      </c>
      <c r="N135" s="298">
        <f>SUM(N136:N136)</f>
        <v>0</v>
      </c>
      <c r="O135" s="298">
        <f>SUM(O136:O136)</f>
        <v>0</v>
      </c>
    </row>
    <row r="136" spans="1:15" ht="14.25" x14ac:dyDescent="0.2">
      <c r="B136" s="253"/>
      <c r="C136" s="30" t="s">
        <v>394</v>
      </c>
      <c r="D136" s="41"/>
      <c r="E136" s="270"/>
      <c r="F136" s="270"/>
      <c r="G136" s="270"/>
      <c r="H136" s="28"/>
      <c r="I136" s="283"/>
      <c r="J136" s="283"/>
      <c r="K136" s="283"/>
      <c r="L136" s="280"/>
      <c r="M136" s="285">
        <f>E136*I136</f>
        <v>0</v>
      </c>
      <c r="N136" s="285">
        <f t="shared" ref="N136" si="21">F136*J136</f>
        <v>0</v>
      </c>
      <c r="O136" s="285">
        <f>G136*K136</f>
        <v>0</v>
      </c>
    </row>
    <row r="137" spans="1:15" ht="14.25" x14ac:dyDescent="0.2">
      <c r="B137" s="271"/>
      <c r="C137" s="274" t="s">
        <v>385</v>
      </c>
      <c r="D137" s="272"/>
      <c r="E137" s="61"/>
      <c r="F137" s="61"/>
      <c r="G137" s="61"/>
      <c r="H137" s="61"/>
      <c r="I137" s="284"/>
      <c r="J137" s="284"/>
      <c r="K137" s="284"/>
      <c r="L137" s="284"/>
      <c r="M137" s="298">
        <f>SUM(M138:M138)</f>
        <v>0</v>
      </c>
      <c r="N137" s="298">
        <f>SUM(N138:N138)</f>
        <v>0</v>
      </c>
      <c r="O137" s="298">
        <f>SUM(O138:O138)</f>
        <v>0</v>
      </c>
    </row>
    <row r="138" spans="1:15" ht="14.25" x14ac:dyDescent="0.2">
      <c r="B138" s="253"/>
      <c r="C138" s="30" t="s">
        <v>394</v>
      </c>
      <c r="D138" s="41"/>
      <c r="E138" s="270"/>
      <c r="F138" s="270"/>
      <c r="G138" s="270"/>
      <c r="H138" s="28"/>
      <c r="I138" s="283"/>
      <c r="J138" s="283"/>
      <c r="K138" s="283"/>
      <c r="L138" s="280"/>
      <c r="M138" s="285">
        <f>E138*I138</f>
        <v>0</v>
      </c>
      <c r="N138" s="285">
        <f t="shared" ref="N138" si="22">F138*J138</f>
        <v>0</v>
      </c>
      <c r="O138" s="285">
        <f>G138*K138</f>
        <v>0</v>
      </c>
    </row>
    <row r="139" spans="1:15" ht="14.25" x14ac:dyDescent="0.2">
      <c r="A139" s="246"/>
      <c r="B139" s="288"/>
      <c r="C139" s="289" t="s">
        <v>386</v>
      </c>
      <c r="D139" s="290"/>
      <c r="E139" s="291"/>
      <c r="F139" s="291"/>
      <c r="G139" s="291"/>
      <c r="H139" s="291"/>
      <c r="I139" s="292"/>
      <c r="J139" s="292"/>
      <c r="K139" s="292"/>
      <c r="L139" s="292"/>
      <c r="M139" s="297"/>
      <c r="N139" s="297"/>
      <c r="O139" s="297"/>
    </row>
    <row r="140" spans="1:15" ht="14.25" x14ac:dyDescent="0.2">
      <c r="B140" s="271"/>
      <c r="C140" s="274" t="s">
        <v>387</v>
      </c>
      <c r="D140" s="272"/>
      <c r="E140" s="61"/>
      <c r="F140" s="61"/>
      <c r="G140" s="61"/>
      <c r="H140" s="61"/>
      <c r="I140" s="284"/>
      <c r="J140" s="284"/>
      <c r="K140" s="284"/>
      <c r="L140" s="284"/>
      <c r="M140" s="298">
        <f>SUM(M141:M141)</f>
        <v>0</v>
      </c>
      <c r="N140" s="298">
        <f>SUM(N141:N141)</f>
        <v>0</v>
      </c>
      <c r="O140" s="298">
        <f>SUM(O141:O141)</f>
        <v>0</v>
      </c>
    </row>
    <row r="141" spans="1:15" ht="14.25" x14ac:dyDescent="0.2">
      <c r="B141" s="253"/>
      <c r="C141" s="30" t="s">
        <v>394</v>
      </c>
      <c r="D141" s="41"/>
      <c r="E141" s="270"/>
      <c r="F141" s="270"/>
      <c r="G141" s="270"/>
      <c r="H141" s="28"/>
      <c r="I141" s="283"/>
      <c r="J141" s="283"/>
      <c r="K141" s="283"/>
      <c r="L141" s="280"/>
      <c r="M141" s="285">
        <f>E141*I141</f>
        <v>0</v>
      </c>
      <c r="N141" s="285">
        <f t="shared" ref="N141" si="23">F141*J141</f>
        <v>0</v>
      </c>
      <c r="O141" s="285">
        <f>G141*K141</f>
        <v>0</v>
      </c>
    </row>
    <row r="142" spans="1:15" ht="14.25" x14ac:dyDescent="0.2">
      <c r="B142" s="271"/>
      <c r="C142" s="274" t="s">
        <v>388</v>
      </c>
      <c r="D142" s="272"/>
      <c r="E142" s="61"/>
      <c r="F142" s="61"/>
      <c r="G142" s="61"/>
      <c r="H142" s="61"/>
      <c r="I142" s="284"/>
      <c r="J142" s="284"/>
      <c r="K142" s="284"/>
      <c r="L142" s="284"/>
      <c r="M142" s="298">
        <f>SUM(M143:M143)</f>
        <v>0</v>
      </c>
      <c r="N142" s="298">
        <f>SUM(N143:N143)</f>
        <v>0</v>
      </c>
      <c r="O142" s="298">
        <f>SUM(O143:O143)</f>
        <v>0</v>
      </c>
    </row>
    <row r="143" spans="1:15" ht="14.25" x14ac:dyDescent="0.2">
      <c r="B143" s="253"/>
      <c r="C143" s="30" t="s">
        <v>394</v>
      </c>
      <c r="D143" s="41"/>
      <c r="E143" s="270"/>
      <c r="F143" s="270"/>
      <c r="G143" s="270"/>
      <c r="H143" s="28"/>
      <c r="I143" s="283"/>
      <c r="J143" s="283"/>
      <c r="K143" s="283"/>
      <c r="L143" s="280"/>
      <c r="M143" s="285">
        <f>E143*I143</f>
        <v>0</v>
      </c>
      <c r="N143" s="285">
        <f t="shared" ref="N143" si="24">F143*J143</f>
        <v>0</v>
      </c>
      <c r="O143" s="285">
        <f>G143*K143</f>
        <v>0</v>
      </c>
    </row>
    <row r="144" spans="1:15" ht="14.25" x14ac:dyDescent="0.2">
      <c r="B144" s="273"/>
      <c r="C144" s="3"/>
      <c r="D144" s="3"/>
      <c r="E144" s="3"/>
      <c r="I144" s="278"/>
      <c r="J144" s="278"/>
      <c r="K144" s="278"/>
      <c r="L144" s="278"/>
      <c r="M144" s="278"/>
      <c r="N144" s="278"/>
      <c r="O144" s="278"/>
    </row>
    <row r="145" spans="1:16" ht="15.75" thickBot="1" x14ac:dyDescent="0.3">
      <c r="A145" s="246"/>
      <c r="B145" s="273"/>
      <c r="C145" s="3"/>
      <c r="D145" s="3"/>
      <c r="E145" s="3"/>
      <c r="I145" s="278"/>
      <c r="J145" s="278"/>
      <c r="K145" s="278"/>
      <c r="L145" s="286" t="s">
        <v>390</v>
      </c>
      <c r="M145" s="287">
        <f>SUM(M118:M138)/2</f>
        <v>0</v>
      </c>
      <c r="N145" s="287">
        <f>SUM(N118:N138)/2</f>
        <v>0</v>
      </c>
      <c r="O145" s="287">
        <f>SUM(O118:O138)/2</f>
        <v>0</v>
      </c>
    </row>
    <row r="146" spans="1:16" ht="16.5" thickTop="1" thickBot="1" x14ac:dyDescent="0.3">
      <c r="B146" s="273"/>
      <c r="C146" s="3"/>
      <c r="D146" s="3"/>
      <c r="E146" s="3"/>
      <c r="I146" s="278"/>
      <c r="J146" s="278"/>
      <c r="K146" s="278"/>
      <c r="L146" s="286" t="s">
        <v>389</v>
      </c>
      <c r="M146" s="287">
        <f>SUM(M140:M143)/2</f>
        <v>0</v>
      </c>
      <c r="N146" s="287">
        <f>SUM(N140:N143)/2</f>
        <v>0</v>
      </c>
      <c r="O146" s="287">
        <f>SUM(O140:O143)/2</f>
        <v>0</v>
      </c>
    </row>
    <row r="147" spans="1:16" ht="15.75" thickTop="1" x14ac:dyDescent="0.25">
      <c r="B147" s="3"/>
      <c r="F147"/>
    </row>
    <row r="148" spans="1:16" s="28" customFormat="1" ht="15.75" x14ac:dyDescent="0.25">
      <c r="A148" s="263"/>
      <c r="B148" s="315"/>
      <c r="C148" s="316">
        <f>B69</f>
        <v>0</v>
      </c>
      <c r="D148" s="315"/>
      <c r="E148" s="315"/>
      <c r="F148" s="315"/>
      <c r="G148" s="315"/>
      <c r="H148" s="317"/>
      <c r="I148" s="318"/>
      <c r="J148" s="318"/>
      <c r="K148" s="318"/>
      <c r="L148" s="318"/>
      <c r="M148" s="318"/>
      <c r="N148" s="318"/>
      <c r="O148" s="318"/>
      <c r="P148" s="254"/>
    </row>
    <row r="149" spans="1:16" ht="15.75" x14ac:dyDescent="0.25">
      <c r="A149" s="246"/>
      <c r="B149" s="303" t="s">
        <v>346</v>
      </c>
      <c r="C149" s="304" t="s">
        <v>369</v>
      </c>
      <c r="D149" s="305" t="s">
        <v>370</v>
      </c>
      <c r="E149" s="306"/>
      <c r="F149" s="306" t="s">
        <v>392</v>
      </c>
      <c r="G149" s="306"/>
      <c r="H149" s="306"/>
      <c r="I149" s="307"/>
      <c r="J149" s="307" t="s">
        <v>391</v>
      </c>
      <c r="K149" s="307"/>
      <c r="L149" s="279"/>
      <c r="M149" s="307"/>
      <c r="N149" s="307" t="s">
        <v>369</v>
      </c>
      <c r="O149" s="307"/>
    </row>
    <row r="150" spans="1:16" ht="15.75" x14ac:dyDescent="0.25">
      <c r="A150" s="246"/>
      <c r="B150" s="266"/>
      <c r="C150" s="264"/>
      <c r="D150" s="266"/>
      <c r="E150" s="267" t="s">
        <v>371</v>
      </c>
      <c r="F150" s="267" t="s">
        <v>372</v>
      </c>
      <c r="G150" s="267" t="s">
        <v>373</v>
      </c>
      <c r="I150" s="281" t="s">
        <v>371</v>
      </c>
      <c r="J150" s="281" t="s">
        <v>372</v>
      </c>
      <c r="K150" s="281" t="s">
        <v>373</v>
      </c>
      <c r="L150" s="278"/>
      <c r="M150" s="293" t="s">
        <v>371</v>
      </c>
      <c r="N150" s="293" t="s">
        <v>372</v>
      </c>
      <c r="O150" s="293" t="s">
        <v>373</v>
      </c>
      <c r="P150" s="254"/>
    </row>
    <row r="151" spans="1:16" ht="14.25" x14ac:dyDescent="0.2">
      <c r="A151" s="246"/>
      <c r="B151" s="275"/>
      <c r="C151" s="276" t="s">
        <v>374</v>
      </c>
      <c r="D151" s="277"/>
      <c r="E151" s="57"/>
      <c r="F151" s="57"/>
      <c r="G151" s="57"/>
      <c r="H151" s="57"/>
      <c r="I151" s="282"/>
      <c r="J151" s="282"/>
      <c r="K151" s="282"/>
      <c r="L151" s="282"/>
      <c r="M151" s="294">
        <f>SUM(M152:M152)</f>
        <v>0</v>
      </c>
      <c r="N151" s="294">
        <f>SUM(N152:N152)</f>
        <v>0</v>
      </c>
      <c r="O151" s="294">
        <f>SUM(O152:O152)</f>
        <v>0</v>
      </c>
    </row>
    <row r="152" spans="1:16" ht="14.25" x14ac:dyDescent="0.2">
      <c r="A152" s="246"/>
      <c r="B152" s="253"/>
      <c r="C152" s="30" t="s">
        <v>394</v>
      </c>
      <c r="D152" s="41"/>
      <c r="E152" s="270"/>
      <c r="F152" s="270"/>
      <c r="G152" s="270"/>
      <c r="H152" s="28"/>
      <c r="I152" s="283"/>
      <c r="J152" s="283"/>
      <c r="K152" s="283"/>
      <c r="L152" s="280"/>
      <c r="M152" s="295">
        <f>E152*I152</f>
        <v>0</v>
      </c>
      <c r="N152" s="295">
        <f t="shared" ref="N152" si="25">F152*J152</f>
        <v>0</v>
      </c>
      <c r="O152" s="295">
        <f t="shared" ref="O152" si="26">G152*K152</f>
        <v>0</v>
      </c>
    </row>
    <row r="153" spans="1:16" ht="14.25" x14ac:dyDescent="0.2">
      <c r="A153" s="246"/>
      <c r="B153" s="275"/>
      <c r="C153" s="276" t="s">
        <v>378</v>
      </c>
      <c r="D153" s="277"/>
      <c r="E153" s="57"/>
      <c r="F153" s="57"/>
      <c r="G153" s="57"/>
      <c r="H153" s="57"/>
      <c r="I153" s="282"/>
      <c r="J153" s="282"/>
      <c r="K153" s="282"/>
      <c r="L153" s="282"/>
      <c r="M153" s="296"/>
      <c r="N153" s="296"/>
      <c r="O153" s="296"/>
    </row>
    <row r="154" spans="1:16" ht="14.25" x14ac:dyDescent="0.2">
      <c r="A154" s="246"/>
      <c r="B154" s="268"/>
      <c r="C154" s="274" t="s">
        <v>375</v>
      </c>
      <c r="D154" s="269"/>
      <c r="E154" s="61"/>
      <c r="F154" s="61"/>
      <c r="G154" s="61"/>
      <c r="H154" s="61"/>
      <c r="I154" s="284"/>
      <c r="J154" s="284"/>
      <c r="K154" s="284"/>
      <c r="L154" s="284"/>
      <c r="M154" s="298">
        <f>SUM(M155:M155)</f>
        <v>0</v>
      </c>
      <c r="N154" s="298">
        <f>SUM(N155:N155)</f>
        <v>0</v>
      </c>
      <c r="O154" s="298">
        <f>SUM(O155:O155)</f>
        <v>0</v>
      </c>
    </row>
    <row r="155" spans="1:16" ht="14.25" x14ac:dyDescent="0.2">
      <c r="B155" s="253"/>
      <c r="C155" s="30" t="s">
        <v>394</v>
      </c>
      <c r="D155" s="41"/>
      <c r="E155" s="270"/>
      <c r="F155" s="270"/>
      <c r="G155" s="270"/>
      <c r="H155" s="28"/>
      <c r="I155" s="283"/>
      <c r="J155" s="283"/>
      <c r="K155" s="283"/>
      <c r="L155" s="280"/>
      <c r="M155" s="285">
        <f>E155*I155</f>
        <v>0</v>
      </c>
      <c r="N155" s="285">
        <f t="shared" ref="N155" si="27">F155*J155</f>
        <v>0</v>
      </c>
      <c r="O155" s="285">
        <f t="shared" ref="O155" si="28">G155*K155</f>
        <v>0</v>
      </c>
    </row>
    <row r="156" spans="1:16" ht="14.25" x14ac:dyDescent="0.2">
      <c r="B156" s="268"/>
      <c r="C156" s="274" t="s">
        <v>376</v>
      </c>
      <c r="D156" s="269"/>
      <c r="E156" s="61"/>
      <c r="F156" s="61"/>
      <c r="G156" s="61"/>
      <c r="H156" s="61"/>
      <c r="I156" s="284"/>
      <c r="J156" s="284"/>
      <c r="K156" s="284"/>
      <c r="L156" s="284"/>
      <c r="M156" s="298">
        <f>SUM(M157:M157)</f>
        <v>0</v>
      </c>
      <c r="N156" s="298">
        <f>SUM(N157:N157)</f>
        <v>0</v>
      </c>
      <c r="O156" s="298">
        <f>SUM(O157:O157)</f>
        <v>0</v>
      </c>
    </row>
    <row r="157" spans="1:16" ht="14.25" x14ac:dyDescent="0.2">
      <c r="B157" s="253"/>
      <c r="C157" s="30" t="s">
        <v>394</v>
      </c>
      <c r="D157" s="41"/>
      <c r="E157" s="270"/>
      <c r="F157" s="270"/>
      <c r="G157" s="270"/>
      <c r="H157" s="28"/>
      <c r="I157" s="283"/>
      <c r="J157" s="283"/>
      <c r="K157" s="283"/>
      <c r="L157" s="280"/>
      <c r="M157" s="285">
        <f>E157*I157</f>
        <v>0</v>
      </c>
      <c r="N157" s="285">
        <f t="shared" ref="N157" si="29">F157*J157</f>
        <v>0</v>
      </c>
      <c r="O157" s="285">
        <f>G157*K157</f>
        <v>0</v>
      </c>
    </row>
    <row r="158" spans="1:16" ht="14.25" x14ac:dyDescent="0.2">
      <c r="B158" s="268"/>
      <c r="C158" s="274" t="s">
        <v>379</v>
      </c>
      <c r="D158" s="269"/>
      <c r="E158" s="61"/>
      <c r="F158" s="61"/>
      <c r="G158" s="61"/>
      <c r="H158" s="61"/>
      <c r="I158" s="284"/>
      <c r="J158" s="284"/>
      <c r="K158" s="284"/>
      <c r="L158" s="284"/>
      <c r="M158" s="298">
        <f>SUM(M159:M159)</f>
        <v>0</v>
      </c>
      <c r="N158" s="298">
        <f>SUM(N159:N159)</f>
        <v>0</v>
      </c>
      <c r="O158" s="298">
        <f>SUM(O159:O159)</f>
        <v>0</v>
      </c>
    </row>
    <row r="159" spans="1:16" ht="14.25" x14ac:dyDescent="0.2">
      <c r="B159" s="253"/>
      <c r="C159" s="30" t="s">
        <v>394</v>
      </c>
      <c r="D159" s="41"/>
      <c r="E159" s="270"/>
      <c r="F159" s="270"/>
      <c r="G159" s="270"/>
      <c r="H159" s="28"/>
      <c r="I159" s="283"/>
      <c r="J159" s="283"/>
      <c r="K159" s="283"/>
      <c r="L159" s="280"/>
      <c r="M159" s="285">
        <f>E159*I159</f>
        <v>0</v>
      </c>
      <c r="N159" s="285">
        <f t="shared" ref="N159" si="30">F159*J159</f>
        <v>0</v>
      </c>
      <c r="O159" s="285">
        <f>G159*K159</f>
        <v>0</v>
      </c>
    </row>
    <row r="160" spans="1:16" ht="14.25" x14ac:dyDescent="0.2">
      <c r="B160" s="271"/>
      <c r="C160" s="274" t="s">
        <v>380</v>
      </c>
      <c r="D160" s="272"/>
      <c r="E160" s="61"/>
      <c r="F160" s="61"/>
      <c r="G160" s="61"/>
      <c r="H160" s="61"/>
      <c r="I160" s="284"/>
      <c r="J160" s="284"/>
      <c r="K160" s="284"/>
      <c r="L160" s="284"/>
      <c r="M160" s="298">
        <f>SUM(M161:M161)</f>
        <v>0</v>
      </c>
      <c r="N160" s="298">
        <f>SUM(N161:N161)</f>
        <v>0</v>
      </c>
      <c r="O160" s="298">
        <f>SUM(O161:O161)</f>
        <v>0</v>
      </c>
    </row>
    <row r="161" spans="1:15" ht="14.25" x14ac:dyDescent="0.2">
      <c r="B161" s="253"/>
      <c r="C161" s="30" t="s">
        <v>394</v>
      </c>
      <c r="D161" s="41"/>
      <c r="E161" s="270"/>
      <c r="F161" s="270"/>
      <c r="G161" s="270"/>
      <c r="H161" s="28"/>
      <c r="I161" s="283"/>
      <c r="J161" s="283"/>
      <c r="K161" s="283"/>
      <c r="L161" s="280"/>
      <c r="M161" s="285">
        <f>E161*I161</f>
        <v>0</v>
      </c>
      <c r="N161" s="285">
        <f t="shared" ref="N161" si="31">F161*J161</f>
        <v>0</v>
      </c>
      <c r="O161" s="285">
        <f>G161*K161</f>
        <v>0</v>
      </c>
    </row>
    <row r="162" spans="1:15" ht="14.25" x14ac:dyDescent="0.2">
      <c r="B162" s="271"/>
      <c r="C162" s="274" t="s">
        <v>381</v>
      </c>
      <c r="D162" s="272"/>
      <c r="E162" s="61"/>
      <c r="F162" s="61"/>
      <c r="G162" s="61"/>
      <c r="H162" s="61"/>
      <c r="I162" s="284"/>
      <c r="J162" s="284"/>
      <c r="K162" s="284"/>
      <c r="L162" s="284"/>
      <c r="M162" s="298">
        <f>SUM(M163:M163)</f>
        <v>0</v>
      </c>
      <c r="N162" s="298">
        <f>SUM(N163:N163)</f>
        <v>0</v>
      </c>
      <c r="O162" s="298">
        <f>SUM(O163:O163)</f>
        <v>0</v>
      </c>
    </row>
    <row r="163" spans="1:15" ht="14.25" x14ac:dyDescent="0.2">
      <c r="B163" s="253"/>
      <c r="C163" s="30" t="s">
        <v>394</v>
      </c>
      <c r="D163" s="41"/>
      <c r="E163" s="270"/>
      <c r="F163" s="270"/>
      <c r="G163" s="270"/>
      <c r="H163" s="28"/>
      <c r="I163" s="283"/>
      <c r="J163" s="283"/>
      <c r="K163" s="283"/>
      <c r="L163" s="280"/>
      <c r="M163" s="285">
        <f>E163*I163</f>
        <v>0</v>
      </c>
      <c r="N163" s="285">
        <f>F163*J163</f>
        <v>0</v>
      </c>
      <c r="O163" s="285">
        <f>G163*K163</f>
        <v>0</v>
      </c>
    </row>
    <row r="164" spans="1:15" ht="14.25" x14ac:dyDescent="0.2">
      <c r="B164" s="268"/>
      <c r="C164" s="274" t="s">
        <v>377</v>
      </c>
      <c r="D164" s="269"/>
      <c r="E164" s="61"/>
      <c r="F164" s="61"/>
      <c r="G164" s="61"/>
      <c r="H164" s="61"/>
      <c r="I164" s="284"/>
      <c r="J164" s="284"/>
      <c r="K164" s="284"/>
      <c r="L164" s="284"/>
      <c r="M164" s="298">
        <f>SUM(M165:M165)</f>
        <v>0</v>
      </c>
      <c r="N164" s="298">
        <f>SUM(N165:N165)</f>
        <v>0</v>
      </c>
      <c r="O164" s="298">
        <f>SUM(O165:O165)</f>
        <v>0</v>
      </c>
    </row>
    <row r="165" spans="1:15" ht="14.25" x14ac:dyDescent="0.2">
      <c r="B165" s="253"/>
      <c r="C165" s="30" t="s">
        <v>394</v>
      </c>
      <c r="D165" s="41"/>
      <c r="E165" s="270"/>
      <c r="F165" s="270"/>
      <c r="G165" s="270"/>
      <c r="H165" s="28"/>
      <c r="I165" s="283"/>
      <c r="J165" s="283"/>
      <c r="K165" s="283"/>
      <c r="L165" s="280"/>
      <c r="M165" s="285">
        <f>E165*I165</f>
        <v>0</v>
      </c>
      <c r="N165" s="285">
        <f t="shared" ref="N165" si="32">F165*J165</f>
        <v>0</v>
      </c>
      <c r="O165" s="285">
        <f>G165*K165</f>
        <v>0</v>
      </c>
    </row>
    <row r="166" spans="1:15" ht="14.25" x14ac:dyDescent="0.2">
      <c r="B166" s="268"/>
      <c r="C166" s="274" t="s">
        <v>382</v>
      </c>
      <c r="D166" s="269"/>
      <c r="E166" s="61"/>
      <c r="F166" s="61"/>
      <c r="G166" s="61"/>
      <c r="H166" s="61"/>
      <c r="I166" s="284"/>
      <c r="J166" s="284"/>
      <c r="K166" s="284"/>
      <c r="L166" s="284"/>
      <c r="M166" s="298">
        <f>SUM(M167:M167)</f>
        <v>0</v>
      </c>
      <c r="N166" s="298">
        <f>SUM(N167:N167)</f>
        <v>0</v>
      </c>
      <c r="O166" s="298">
        <f>SUM(O167:O167)</f>
        <v>0</v>
      </c>
    </row>
    <row r="167" spans="1:15" ht="14.25" x14ac:dyDescent="0.2">
      <c r="B167" s="253"/>
      <c r="C167" s="30" t="s">
        <v>394</v>
      </c>
      <c r="D167" s="41"/>
      <c r="E167" s="270"/>
      <c r="F167" s="270"/>
      <c r="G167" s="270"/>
      <c r="H167" s="28"/>
      <c r="I167" s="283"/>
      <c r="J167" s="283"/>
      <c r="K167" s="283"/>
      <c r="L167" s="280"/>
      <c r="M167" s="285">
        <f>E167*I167</f>
        <v>0</v>
      </c>
      <c r="N167" s="285">
        <f t="shared" ref="N167" si="33">F167*J167</f>
        <v>0</v>
      </c>
      <c r="O167" s="285">
        <f>G167*K167</f>
        <v>0</v>
      </c>
    </row>
    <row r="168" spans="1:15" ht="14.25" x14ac:dyDescent="0.2">
      <c r="A168" s="246"/>
      <c r="B168" s="275"/>
      <c r="C168" s="276" t="s">
        <v>383</v>
      </c>
      <c r="D168" s="277"/>
      <c r="E168" s="57"/>
      <c r="F168" s="57"/>
      <c r="G168" s="57"/>
      <c r="H168" s="57"/>
      <c r="I168" s="282"/>
      <c r="J168" s="282"/>
      <c r="K168" s="282"/>
      <c r="L168" s="282"/>
      <c r="M168" s="296"/>
      <c r="N168" s="296"/>
      <c r="O168" s="296"/>
    </row>
    <row r="169" spans="1:15" ht="14.25" x14ac:dyDescent="0.2">
      <c r="B169" s="271"/>
      <c r="C169" s="274" t="s">
        <v>384</v>
      </c>
      <c r="D169" s="272"/>
      <c r="E169" s="61"/>
      <c r="F169" s="61"/>
      <c r="G169" s="61"/>
      <c r="H169" s="61"/>
      <c r="I169" s="284"/>
      <c r="J169" s="284"/>
      <c r="K169" s="284"/>
      <c r="L169" s="284"/>
      <c r="M169" s="298">
        <f>SUM(M170:M170)</f>
        <v>0</v>
      </c>
      <c r="N169" s="298">
        <f>SUM(N170:N170)</f>
        <v>0</v>
      </c>
      <c r="O169" s="298">
        <f>SUM(O170:O170)</f>
        <v>0</v>
      </c>
    </row>
    <row r="170" spans="1:15" ht="14.25" x14ac:dyDescent="0.2">
      <c r="B170" s="253"/>
      <c r="C170" s="30" t="s">
        <v>394</v>
      </c>
      <c r="D170" s="41"/>
      <c r="E170" s="270"/>
      <c r="F170" s="270"/>
      <c r="G170" s="270"/>
      <c r="H170" s="28"/>
      <c r="I170" s="283"/>
      <c r="J170" s="283"/>
      <c r="K170" s="283"/>
      <c r="L170" s="280"/>
      <c r="M170" s="285">
        <f>E170*I170</f>
        <v>0</v>
      </c>
      <c r="N170" s="285">
        <f t="shared" ref="N170" si="34">F170*J170</f>
        <v>0</v>
      </c>
      <c r="O170" s="285">
        <f>G170*K170</f>
        <v>0</v>
      </c>
    </row>
    <row r="171" spans="1:15" ht="14.25" x14ac:dyDescent="0.2">
      <c r="B171" s="271"/>
      <c r="C171" s="274" t="s">
        <v>385</v>
      </c>
      <c r="D171" s="272"/>
      <c r="E171" s="61"/>
      <c r="F171" s="61"/>
      <c r="G171" s="61"/>
      <c r="H171" s="61"/>
      <c r="I171" s="284"/>
      <c r="J171" s="284"/>
      <c r="K171" s="284"/>
      <c r="L171" s="284"/>
      <c r="M171" s="298">
        <f>SUM(M172:M172)</f>
        <v>0</v>
      </c>
      <c r="N171" s="298">
        <f>SUM(N172:N172)</f>
        <v>0</v>
      </c>
      <c r="O171" s="298">
        <f>SUM(O172:O172)</f>
        <v>0</v>
      </c>
    </row>
    <row r="172" spans="1:15" ht="14.25" x14ac:dyDescent="0.2">
      <c r="B172" s="253"/>
      <c r="C172" s="30" t="s">
        <v>394</v>
      </c>
      <c r="D172" s="41"/>
      <c r="E172" s="270"/>
      <c r="F172" s="270"/>
      <c r="G172" s="270"/>
      <c r="H172" s="28"/>
      <c r="I172" s="283"/>
      <c r="J172" s="283"/>
      <c r="K172" s="283"/>
      <c r="L172" s="280"/>
      <c r="M172" s="285">
        <f>E172*I172</f>
        <v>0</v>
      </c>
      <c r="N172" s="285">
        <f t="shared" ref="N172" si="35">F172*J172</f>
        <v>0</v>
      </c>
      <c r="O172" s="285">
        <f>G172*K172</f>
        <v>0</v>
      </c>
    </row>
    <row r="173" spans="1:15" ht="14.25" x14ac:dyDescent="0.2">
      <c r="A173" s="246"/>
      <c r="B173" s="288"/>
      <c r="C173" s="289" t="s">
        <v>386</v>
      </c>
      <c r="D173" s="290"/>
      <c r="E173" s="291"/>
      <c r="F173" s="291"/>
      <c r="G173" s="291"/>
      <c r="H173" s="291"/>
      <c r="I173" s="292"/>
      <c r="J173" s="292"/>
      <c r="K173" s="292"/>
      <c r="L173" s="292"/>
      <c r="M173" s="297"/>
      <c r="N173" s="297"/>
      <c r="O173" s="297"/>
    </row>
    <row r="174" spans="1:15" ht="14.25" x14ac:dyDescent="0.2">
      <c r="B174" s="271"/>
      <c r="C174" s="274" t="s">
        <v>387</v>
      </c>
      <c r="D174" s="272"/>
      <c r="E174" s="61"/>
      <c r="F174" s="61"/>
      <c r="G174" s="61"/>
      <c r="H174" s="61"/>
      <c r="I174" s="284"/>
      <c r="J174" s="284"/>
      <c r="K174" s="284"/>
      <c r="L174" s="284"/>
      <c r="M174" s="298">
        <f>SUM(M175:M175)</f>
        <v>0</v>
      </c>
      <c r="N174" s="298">
        <f>SUM(N175:N175)</f>
        <v>0</v>
      </c>
      <c r="O174" s="298">
        <f>SUM(O175:O175)</f>
        <v>0</v>
      </c>
    </row>
    <row r="175" spans="1:15" ht="14.25" x14ac:dyDescent="0.2">
      <c r="B175" s="253"/>
      <c r="C175" s="30" t="s">
        <v>394</v>
      </c>
      <c r="D175" s="41"/>
      <c r="E175" s="270"/>
      <c r="F175" s="270"/>
      <c r="G175" s="270"/>
      <c r="H175" s="28"/>
      <c r="I175" s="283"/>
      <c r="J175" s="283"/>
      <c r="K175" s="283"/>
      <c r="L175" s="280"/>
      <c r="M175" s="285">
        <f>E175*I175</f>
        <v>0</v>
      </c>
      <c r="N175" s="285">
        <f t="shared" ref="N175" si="36">F175*J175</f>
        <v>0</v>
      </c>
      <c r="O175" s="285">
        <f>G175*K175</f>
        <v>0</v>
      </c>
    </row>
    <row r="176" spans="1:15" ht="14.25" x14ac:dyDescent="0.2">
      <c r="B176" s="271"/>
      <c r="C176" s="274" t="s">
        <v>388</v>
      </c>
      <c r="D176" s="272"/>
      <c r="E176" s="61"/>
      <c r="F176" s="61"/>
      <c r="G176" s="61"/>
      <c r="H176" s="61"/>
      <c r="I176" s="284"/>
      <c r="J176" s="284"/>
      <c r="K176" s="284"/>
      <c r="L176" s="284"/>
      <c r="M176" s="298">
        <f>SUM(M177:M177)</f>
        <v>0</v>
      </c>
      <c r="N176" s="298">
        <f>SUM(N177:N177)</f>
        <v>0</v>
      </c>
      <c r="O176" s="298">
        <f>SUM(O177:O177)</f>
        <v>0</v>
      </c>
    </row>
    <row r="177" spans="1:16" ht="14.25" x14ac:dyDescent="0.2">
      <c r="B177" s="253"/>
      <c r="C177" s="30" t="s">
        <v>394</v>
      </c>
      <c r="D177" s="41"/>
      <c r="E177" s="270"/>
      <c r="F177" s="270"/>
      <c r="G177" s="270"/>
      <c r="H177" s="28"/>
      <c r="I177" s="283"/>
      <c r="J177" s="283"/>
      <c r="K177" s="283"/>
      <c r="L177" s="280"/>
      <c r="M177" s="285">
        <f>E177*I177</f>
        <v>0</v>
      </c>
      <c r="N177" s="285">
        <f t="shared" ref="N177" si="37">F177*J177</f>
        <v>0</v>
      </c>
      <c r="O177" s="285">
        <f>G177*K177</f>
        <v>0</v>
      </c>
    </row>
    <row r="178" spans="1:16" ht="14.25" x14ac:dyDescent="0.2">
      <c r="B178" s="273"/>
      <c r="C178" s="3"/>
      <c r="D178" s="3"/>
      <c r="E178" s="3"/>
      <c r="I178" s="278"/>
      <c r="J178" s="278"/>
      <c r="K178" s="278"/>
      <c r="L178" s="278"/>
      <c r="M178" s="278"/>
      <c r="N178" s="278"/>
      <c r="O178" s="278"/>
    </row>
    <row r="179" spans="1:16" ht="15.75" thickBot="1" x14ac:dyDescent="0.3">
      <c r="A179" s="246"/>
      <c r="B179" s="273"/>
      <c r="C179" s="3"/>
      <c r="D179" s="3"/>
      <c r="E179" s="3"/>
      <c r="I179" s="278"/>
      <c r="J179" s="278"/>
      <c r="K179" s="278"/>
      <c r="L179" s="286" t="s">
        <v>390</v>
      </c>
      <c r="M179" s="287">
        <f>SUM(M152:M172)/2</f>
        <v>0</v>
      </c>
      <c r="N179" s="287">
        <f>SUM(N152:N172)/2</f>
        <v>0</v>
      </c>
      <c r="O179" s="287">
        <f>SUM(O152:O172)/2</f>
        <v>0</v>
      </c>
    </row>
    <row r="180" spans="1:16" ht="16.5" thickTop="1" thickBot="1" x14ac:dyDescent="0.3">
      <c r="B180" s="273"/>
      <c r="C180" s="3"/>
      <c r="D180" s="3"/>
      <c r="E180" s="3"/>
      <c r="I180" s="278"/>
      <c r="J180" s="278"/>
      <c r="K180" s="278"/>
      <c r="L180" s="286" t="s">
        <v>389</v>
      </c>
      <c r="M180" s="287">
        <f>SUM(M174:M177)/2</f>
        <v>0</v>
      </c>
      <c r="N180" s="287">
        <f>SUM(N174:N177)/2</f>
        <v>0</v>
      </c>
      <c r="O180" s="287">
        <f>SUM(O174:O177)/2</f>
        <v>0</v>
      </c>
    </row>
    <row r="181" spans="1:16" ht="14.25" hidden="1" x14ac:dyDescent="0.2">
      <c r="B181" s="3"/>
      <c r="C181" s="19" t="s">
        <v>274</v>
      </c>
      <c r="D181" s="42" t="e">
        <f>#REF!*D176</f>
        <v>#REF!</v>
      </c>
      <c r="E181" s="42" t="e">
        <f>#REF!*E176</f>
        <v>#REF!</v>
      </c>
      <c r="F181" s="42" t="e">
        <f>#REF!*F176</f>
        <v>#REF!</v>
      </c>
    </row>
    <row r="182" spans="1:16" ht="15.75" thickTop="1" x14ac:dyDescent="0.25">
      <c r="B182" s="3"/>
      <c r="F182"/>
    </row>
    <row r="183" spans="1:16" x14ac:dyDescent="0.25">
      <c r="B183" s="3"/>
      <c r="F183"/>
    </row>
    <row r="184" spans="1:16" x14ac:dyDescent="0.25">
      <c r="B184" s="3"/>
      <c r="F184"/>
    </row>
    <row r="185" spans="1:16" x14ac:dyDescent="0.25">
      <c r="B185" s="3"/>
      <c r="F185"/>
    </row>
    <row r="186" spans="1:16" s="28" customFormat="1" ht="15.75" x14ac:dyDescent="0.25">
      <c r="A186" s="263"/>
      <c r="B186" s="315"/>
      <c r="C186" s="316">
        <f>B107</f>
        <v>0</v>
      </c>
      <c r="D186" s="315"/>
      <c r="E186" s="315"/>
      <c r="F186" s="315"/>
      <c r="G186" s="315"/>
      <c r="H186" s="317"/>
      <c r="I186" s="318"/>
      <c r="J186" s="318"/>
      <c r="K186" s="318"/>
      <c r="L186" s="318"/>
      <c r="M186" s="318"/>
      <c r="N186" s="318"/>
      <c r="O186" s="318"/>
      <c r="P186" s="254"/>
    </row>
    <row r="187" spans="1:16" ht="15.75" x14ac:dyDescent="0.25">
      <c r="A187" s="246"/>
      <c r="B187" s="303" t="s">
        <v>346</v>
      </c>
      <c r="C187" s="304" t="s">
        <v>369</v>
      </c>
      <c r="D187" s="305" t="s">
        <v>370</v>
      </c>
      <c r="E187" s="306"/>
      <c r="F187" s="306" t="s">
        <v>392</v>
      </c>
      <c r="G187" s="306"/>
      <c r="H187" s="306"/>
      <c r="I187" s="307"/>
      <c r="J187" s="307" t="s">
        <v>391</v>
      </c>
      <c r="K187" s="307"/>
      <c r="L187" s="279"/>
      <c r="M187" s="307"/>
      <c r="N187" s="307" t="s">
        <v>369</v>
      </c>
      <c r="O187" s="307"/>
    </row>
    <row r="188" spans="1:16" ht="15.75" x14ac:dyDescent="0.25">
      <c r="A188" s="246"/>
      <c r="B188" s="266"/>
      <c r="C188" s="264"/>
      <c r="D188" s="266"/>
      <c r="E188" s="267" t="s">
        <v>371</v>
      </c>
      <c r="F188" s="267" t="s">
        <v>372</v>
      </c>
      <c r="G188" s="267" t="s">
        <v>373</v>
      </c>
      <c r="I188" s="281" t="s">
        <v>371</v>
      </c>
      <c r="J188" s="281" t="s">
        <v>372</v>
      </c>
      <c r="K188" s="281" t="s">
        <v>373</v>
      </c>
      <c r="L188" s="278"/>
      <c r="M188" s="293" t="s">
        <v>371</v>
      </c>
      <c r="N188" s="293" t="s">
        <v>372</v>
      </c>
      <c r="O188" s="293" t="s">
        <v>373</v>
      </c>
      <c r="P188" s="254"/>
    </row>
    <row r="189" spans="1:16" ht="14.25" x14ac:dyDescent="0.2">
      <c r="A189" s="246"/>
      <c r="B189" s="275"/>
      <c r="C189" s="276" t="s">
        <v>374</v>
      </c>
      <c r="D189" s="277"/>
      <c r="E189" s="57"/>
      <c r="F189" s="57"/>
      <c r="G189" s="57"/>
      <c r="H189" s="57"/>
      <c r="I189" s="282"/>
      <c r="J189" s="282"/>
      <c r="K189" s="282"/>
      <c r="L189" s="282"/>
      <c r="M189" s="294">
        <f>SUM(M190:M190)</f>
        <v>0</v>
      </c>
      <c r="N189" s="294">
        <f>SUM(N190:N190)</f>
        <v>0</v>
      </c>
      <c r="O189" s="294">
        <f>SUM(O190:O190)</f>
        <v>0</v>
      </c>
    </row>
    <row r="190" spans="1:16" ht="14.25" x14ac:dyDescent="0.2">
      <c r="A190" s="246"/>
      <c r="B190" s="253"/>
      <c r="C190" s="30" t="s">
        <v>394</v>
      </c>
      <c r="D190" s="41"/>
      <c r="E190" s="270"/>
      <c r="F190" s="270"/>
      <c r="G190" s="270"/>
      <c r="H190" s="28"/>
      <c r="I190" s="283"/>
      <c r="J190" s="283"/>
      <c r="K190" s="283"/>
      <c r="L190" s="280"/>
      <c r="M190" s="295">
        <f>E190*I190</f>
        <v>0</v>
      </c>
      <c r="N190" s="295">
        <f t="shared" ref="N190" si="38">F190*J190</f>
        <v>0</v>
      </c>
      <c r="O190" s="295">
        <f t="shared" ref="O190" si="39">G190*K190</f>
        <v>0</v>
      </c>
    </row>
    <row r="191" spans="1:16" ht="14.25" x14ac:dyDescent="0.2">
      <c r="A191" s="246"/>
      <c r="B191" s="275"/>
      <c r="C191" s="276" t="s">
        <v>378</v>
      </c>
      <c r="D191" s="277"/>
      <c r="E191" s="57"/>
      <c r="F191" s="57"/>
      <c r="G191" s="57"/>
      <c r="H191" s="57"/>
      <c r="I191" s="282"/>
      <c r="J191" s="282"/>
      <c r="K191" s="282"/>
      <c r="L191" s="282"/>
      <c r="M191" s="296"/>
      <c r="N191" s="296"/>
      <c r="O191" s="296"/>
    </row>
    <row r="192" spans="1:16" ht="14.25" x14ac:dyDescent="0.2">
      <c r="A192" s="246"/>
      <c r="B192" s="268"/>
      <c r="C192" s="274" t="s">
        <v>375</v>
      </c>
      <c r="D192" s="269"/>
      <c r="E192" s="61"/>
      <c r="F192" s="61"/>
      <c r="G192" s="61"/>
      <c r="H192" s="61"/>
      <c r="I192" s="284"/>
      <c r="J192" s="284"/>
      <c r="K192" s="284"/>
      <c r="L192" s="284"/>
      <c r="M192" s="298">
        <f>SUM(M193:M193)</f>
        <v>0</v>
      </c>
      <c r="N192" s="298">
        <f>SUM(N193:N193)</f>
        <v>0</v>
      </c>
      <c r="O192" s="298">
        <f>SUM(O193:O193)</f>
        <v>0</v>
      </c>
    </row>
    <row r="193" spans="1:15" ht="14.25" x14ac:dyDescent="0.2">
      <c r="B193" s="253"/>
      <c r="C193" s="30" t="s">
        <v>394</v>
      </c>
      <c r="D193" s="41"/>
      <c r="E193" s="270"/>
      <c r="F193" s="270"/>
      <c r="G193" s="270"/>
      <c r="H193" s="28"/>
      <c r="I193" s="283"/>
      <c r="J193" s="283"/>
      <c r="K193" s="283"/>
      <c r="L193" s="280"/>
      <c r="M193" s="285">
        <f>E193*I193</f>
        <v>0</v>
      </c>
      <c r="N193" s="285">
        <f t="shared" ref="N193" si="40">F193*J193</f>
        <v>0</v>
      </c>
      <c r="O193" s="285">
        <f t="shared" ref="O193" si="41">G193*K193</f>
        <v>0</v>
      </c>
    </row>
    <row r="194" spans="1:15" ht="14.25" x14ac:dyDescent="0.2">
      <c r="B194" s="268"/>
      <c r="C194" s="274" t="s">
        <v>376</v>
      </c>
      <c r="D194" s="269"/>
      <c r="E194" s="61"/>
      <c r="F194" s="61"/>
      <c r="G194" s="61"/>
      <c r="H194" s="61"/>
      <c r="I194" s="284"/>
      <c r="J194" s="284"/>
      <c r="K194" s="284"/>
      <c r="L194" s="284"/>
      <c r="M194" s="298">
        <f>SUM(M195:M195)</f>
        <v>0</v>
      </c>
      <c r="N194" s="298">
        <f>SUM(N195:N195)</f>
        <v>0</v>
      </c>
      <c r="O194" s="298">
        <f>SUM(O195:O195)</f>
        <v>0</v>
      </c>
    </row>
    <row r="195" spans="1:15" ht="14.25" x14ac:dyDescent="0.2">
      <c r="B195" s="253"/>
      <c r="C195" s="30" t="s">
        <v>394</v>
      </c>
      <c r="D195" s="41"/>
      <c r="E195" s="270"/>
      <c r="F195" s="270"/>
      <c r="G195" s="270"/>
      <c r="H195" s="28"/>
      <c r="I195" s="283"/>
      <c r="J195" s="283"/>
      <c r="K195" s="283"/>
      <c r="L195" s="280"/>
      <c r="M195" s="285">
        <f>E195*I195</f>
        <v>0</v>
      </c>
      <c r="N195" s="285">
        <f t="shared" ref="N195" si="42">F195*J195</f>
        <v>0</v>
      </c>
      <c r="O195" s="285">
        <f>G195*K195</f>
        <v>0</v>
      </c>
    </row>
    <row r="196" spans="1:15" ht="14.25" x14ac:dyDescent="0.2">
      <c r="B196" s="268"/>
      <c r="C196" s="274" t="s">
        <v>379</v>
      </c>
      <c r="D196" s="269"/>
      <c r="E196" s="61"/>
      <c r="F196" s="61"/>
      <c r="G196" s="61"/>
      <c r="H196" s="61"/>
      <c r="I196" s="284"/>
      <c r="J196" s="284"/>
      <c r="K196" s="284"/>
      <c r="L196" s="284"/>
      <c r="M196" s="298">
        <f>SUM(M197:M197)</f>
        <v>0</v>
      </c>
      <c r="N196" s="298">
        <f>SUM(N197:N197)</f>
        <v>0</v>
      </c>
      <c r="O196" s="298">
        <f>SUM(O197:O197)</f>
        <v>0</v>
      </c>
    </row>
    <row r="197" spans="1:15" ht="14.25" x14ac:dyDescent="0.2">
      <c r="B197" s="253"/>
      <c r="C197" s="30" t="s">
        <v>394</v>
      </c>
      <c r="D197" s="41"/>
      <c r="E197" s="270"/>
      <c r="F197" s="270"/>
      <c r="G197" s="270"/>
      <c r="H197" s="28"/>
      <c r="I197" s="283"/>
      <c r="J197" s="283"/>
      <c r="K197" s="283"/>
      <c r="L197" s="280"/>
      <c r="M197" s="285">
        <f>E197*I197</f>
        <v>0</v>
      </c>
      <c r="N197" s="285">
        <f t="shared" ref="N197" si="43">F197*J197</f>
        <v>0</v>
      </c>
      <c r="O197" s="285">
        <f>G197*K197</f>
        <v>0</v>
      </c>
    </row>
    <row r="198" spans="1:15" ht="14.25" x14ac:dyDescent="0.2">
      <c r="B198" s="271"/>
      <c r="C198" s="274" t="s">
        <v>380</v>
      </c>
      <c r="D198" s="272"/>
      <c r="E198" s="61"/>
      <c r="F198" s="61"/>
      <c r="G198" s="61"/>
      <c r="H198" s="61"/>
      <c r="I198" s="284"/>
      <c r="J198" s="284"/>
      <c r="K198" s="284"/>
      <c r="L198" s="284"/>
      <c r="M198" s="298">
        <f>SUM(M199:M199)</f>
        <v>0</v>
      </c>
      <c r="N198" s="298">
        <f>SUM(N199:N199)</f>
        <v>0</v>
      </c>
      <c r="O198" s="298">
        <f>SUM(O199:O199)</f>
        <v>0</v>
      </c>
    </row>
    <row r="199" spans="1:15" ht="14.25" x14ac:dyDescent="0.2">
      <c r="B199" s="253"/>
      <c r="C199" s="30" t="s">
        <v>394</v>
      </c>
      <c r="D199" s="41"/>
      <c r="E199" s="270"/>
      <c r="F199" s="270"/>
      <c r="G199" s="270"/>
      <c r="H199" s="28"/>
      <c r="I199" s="283"/>
      <c r="J199" s="283"/>
      <c r="K199" s="283"/>
      <c r="L199" s="280"/>
      <c r="M199" s="285">
        <f>E199*I199</f>
        <v>0</v>
      </c>
      <c r="N199" s="285">
        <f t="shared" ref="N199" si="44">F199*J199</f>
        <v>0</v>
      </c>
      <c r="O199" s="285">
        <f>G199*K199</f>
        <v>0</v>
      </c>
    </row>
    <row r="200" spans="1:15" ht="14.25" x14ac:dyDescent="0.2">
      <c r="B200" s="271"/>
      <c r="C200" s="274" t="s">
        <v>381</v>
      </c>
      <c r="D200" s="272"/>
      <c r="E200" s="61"/>
      <c r="F200" s="61"/>
      <c r="G200" s="61"/>
      <c r="H200" s="61"/>
      <c r="I200" s="284"/>
      <c r="J200" s="284"/>
      <c r="K200" s="284"/>
      <c r="L200" s="284"/>
      <c r="M200" s="298">
        <f>SUM(M201:M201)</f>
        <v>0</v>
      </c>
      <c r="N200" s="298">
        <f>SUM(N201:N201)</f>
        <v>0</v>
      </c>
      <c r="O200" s="298">
        <f>SUM(O201:O201)</f>
        <v>0</v>
      </c>
    </row>
    <row r="201" spans="1:15" ht="14.25" x14ac:dyDescent="0.2">
      <c r="B201" s="253"/>
      <c r="C201" s="30" t="s">
        <v>394</v>
      </c>
      <c r="D201" s="41"/>
      <c r="E201" s="270"/>
      <c r="F201" s="270"/>
      <c r="G201" s="270"/>
      <c r="H201" s="28"/>
      <c r="I201" s="283"/>
      <c r="J201" s="283"/>
      <c r="K201" s="283"/>
      <c r="L201" s="280"/>
      <c r="M201" s="285">
        <f>E201*I201</f>
        <v>0</v>
      </c>
      <c r="N201" s="285">
        <f>F201*J201</f>
        <v>0</v>
      </c>
      <c r="O201" s="285">
        <f>G201*K201</f>
        <v>0</v>
      </c>
    </row>
    <row r="202" spans="1:15" ht="14.25" x14ac:dyDescent="0.2">
      <c r="B202" s="268"/>
      <c r="C202" s="274" t="s">
        <v>377</v>
      </c>
      <c r="D202" s="269"/>
      <c r="E202" s="61"/>
      <c r="F202" s="61"/>
      <c r="G202" s="61"/>
      <c r="H202" s="61"/>
      <c r="I202" s="284"/>
      <c r="J202" s="284"/>
      <c r="K202" s="284"/>
      <c r="L202" s="284"/>
      <c r="M202" s="298">
        <f>SUM(M203:M203)</f>
        <v>0</v>
      </c>
      <c r="N202" s="298">
        <f>SUM(N203:N203)</f>
        <v>0</v>
      </c>
      <c r="O202" s="298">
        <f>SUM(O203:O203)</f>
        <v>0</v>
      </c>
    </row>
    <row r="203" spans="1:15" ht="14.25" x14ac:dyDescent="0.2">
      <c r="B203" s="253"/>
      <c r="C203" s="30" t="s">
        <v>394</v>
      </c>
      <c r="D203" s="41"/>
      <c r="E203" s="270"/>
      <c r="F203" s="270"/>
      <c r="G203" s="270"/>
      <c r="H203" s="28"/>
      <c r="I203" s="283"/>
      <c r="J203" s="283"/>
      <c r="K203" s="283"/>
      <c r="L203" s="280"/>
      <c r="M203" s="285">
        <f>E203*I203</f>
        <v>0</v>
      </c>
      <c r="N203" s="285">
        <f t="shared" ref="N203" si="45">F203*J203</f>
        <v>0</v>
      </c>
      <c r="O203" s="285">
        <f>G203*K203</f>
        <v>0</v>
      </c>
    </row>
    <row r="204" spans="1:15" ht="14.25" x14ac:dyDescent="0.2">
      <c r="B204" s="268"/>
      <c r="C204" s="274" t="s">
        <v>382</v>
      </c>
      <c r="D204" s="269"/>
      <c r="E204" s="61"/>
      <c r="F204" s="61"/>
      <c r="G204" s="61"/>
      <c r="H204" s="61"/>
      <c r="I204" s="284"/>
      <c r="J204" s="284"/>
      <c r="K204" s="284"/>
      <c r="L204" s="284"/>
      <c r="M204" s="298">
        <f>SUM(M205:M205)</f>
        <v>0</v>
      </c>
      <c r="N204" s="298">
        <f>SUM(N205:N205)</f>
        <v>0</v>
      </c>
      <c r="O204" s="298">
        <f>SUM(O205:O205)</f>
        <v>0</v>
      </c>
    </row>
    <row r="205" spans="1:15" ht="14.25" x14ac:dyDescent="0.2">
      <c r="B205" s="253"/>
      <c r="C205" s="30" t="s">
        <v>394</v>
      </c>
      <c r="D205" s="41"/>
      <c r="E205" s="270"/>
      <c r="F205" s="270"/>
      <c r="G205" s="270"/>
      <c r="H205" s="28"/>
      <c r="I205" s="283"/>
      <c r="J205" s="283"/>
      <c r="K205" s="283"/>
      <c r="L205" s="280"/>
      <c r="M205" s="285">
        <f>E205*I205</f>
        <v>0</v>
      </c>
      <c r="N205" s="285">
        <f t="shared" ref="N205" si="46">F205*J205</f>
        <v>0</v>
      </c>
      <c r="O205" s="285">
        <f>G205*K205</f>
        <v>0</v>
      </c>
    </row>
    <row r="206" spans="1:15" ht="14.25" x14ac:dyDescent="0.2">
      <c r="A206" s="246"/>
      <c r="B206" s="275"/>
      <c r="C206" s="276" t="s">
        <v>383</v>
      </c>
      <c r="D206" s="277"/>
      <c r="E206" s="57"/>
      <c r="F206" s="57"/>
      <c r="G206" s="57"/>
      <c r="H206" s="57"/>
      <c r="I206" s="282"/>
      <c r="J206" s="282"/>
      <c r="K206" s="282"/>
      <c r="L206" s="282"/>
      <c r="M206" s="296"/>
      <c r="N206" s="296"/>
      <c r="O206" s="296"/>
    </row>
    <row r="207" spans="1:15" ht="14.25" x14ac:dyDescent="0.2">
      <c r="B207" s="271"/>
      <c r="C207" s="274" t="s">
        <v>384</v>
      </c>
      <c r="D207" s="272"/>
      <c r="E207" s="61"/>
      <c r="F207" s="61"/>
      <c r="G207" s="61"/>
      <c r="H207" s="61"/>
      <c r="I207" s="284"/>
      <c r="J207" s="284"/>
      <c r="K207" s="284"/>
      <c r="L207" s="284"/>
      <c r="M207" s="298">
        <f>SUM(M208:M208)</f>
        <v>0</v>
      </c>
      <c r="N207" s="298">
        <f>SUM(N208:N208)</f>
        <v>0</v>
      </c>
      <c r="O207" s="298">
        <f>SUM(O208:O208)</f>
        <v>0</v>
      </c>
    </row>
    <row r="208" spans="1:15" ht="14.25" x14ac:dyDescent="0.2">
      <c r="B208" s="253"/>
      <c r="C208" s="30" t="s">
        <v>394</v>
      </c>
      <c r="D208" s="41"/>
      <c r="E208" s="270"/>
      <c r="F208" s="270"/>
      <c r="G208" s="270"/>
      <c r="H208" s="28"/>
      <c r="I208" s="283"/>
      <c r="J208" s="283"/>
      <c r="K208" s="283"/>
      <c r="L208" s="280"/>
      <c r="M208" s="285">
        <f>E208*I208</f>
        <v>0</v>
      </c>
      <c r="N208" s="285">
        <f t="shared" ref="N208" si="47">F208*J208</f>
        <v>0</v>
      </c>
      <c r="O208" s="285">
        <f>G208*K208</f>
        <v>0</v>
      </c>
    </row>
    <row r="209" spans="1:15" ht="14.25" x14ac:dyDescent="0.2">
      <c r="B209" s="271"/>
      <c r="C209" s="274" t="s">
        <v>385</v>
      </c>
      <c r="D209" s="272"/>
      <c r="E209" s="61"/>
      <c r="F209" s="61"/>
      <c r="G209" s="61"/>
      <c r="H209" s="61"/>
      <c r="I209" s="284"/>
      <c r="J209" s="284"/>
      <c r="K209" s="284"/>
      <c r="L209" s="284"/>
      <c r="M209" s="298">
        <f>SUM(M210:M210)</f>
        <v>0</v>
      </c>
      <c r="N209" s="298">
        <f>SUM(N210:N210)</f>
        <v>0</v>
      </c>
      <c r="O209" s="298">
        <f>SUM(O210:O210)</f>
        <v>0</v>
      </c>
    </row>
    <row r="210" spans="1:15" ht="14.25" x14ac:dyDescent="0.2">
      <c r="B210" s="253"/>
      <c r="C210" s="30" t="s">
        <v>394</v>
      </c>
      <c r="D210" s="41"/>
      <c r="E210" s="270"/>
      <c r="F210" s="270"/>
      <c r="G210" s="270"/>
      <c r="H210" s="28"/>
      <c r="I210" s="283"/>
      <c r="J210" s="283"/>
      <c r="K210" s="283"/>
      <c r="L210" s="280"/>
      <c r="M210" s="285">
        <f>E210*I210</f>
        <v>0</v>
      </c>
      <c r="N210" s="285">
        <f t="shared" ref="N210" si="48">F210*J210</f>
        <v>0</v>
      </c>
      <c r="O210" s="285">
        <f>G210*K210</f>
        <v>0</v>
      </c>
    </row>
    <row r="211" spans="1:15" ht="14.25" x14ac:dyDescent="0.2">
      <c r="A211" s="246"/>
      <c r="B211" s="288"/>
      <c r="C211" s="289" t="s">
        <v>386</v>
      </c>
      <c r="D211" s="290"/>
      <c r="E211" s="291"/>
      <c r="F211" s="291"/>
      <c r="G211" s="291"/>
      <c r="H211" s="291"/>
      <c r="I211" s="292"/>
      <c r="J211" s="292"/>
      <c r="K211" s="292"/>
      <c r="L211" s="292"/>
      <c r="M211" s="297"/>
      <c r="N211" s="297"/>
      <c r="O211" s="297"/>
    </row>
    <row r="212" spans="1:15" ht="14.25" x14ac:dyDescent="0.2">
      <c r="B212" s="271"/>
      <c r="C212" s="274" t="s">
        <v>387</v>
      </c>
      <c r="D212" s="272"/>
      <c r="E212" s="61"/>
      <c r="F212" s="61"/>
      <c r="G212" s="61"/>
      <c r="H212" s="61"/>
      <c r="I212" s="284"/>
      <c r="J212" s="284"/>
      <c r="K212" s="284"/>
      <c r="L212" s="284"/>
      <c r="M212" s="298">
        <f>SUM(M213:M213)</f>
        <v>0</v>
      </c>
      <c r="N212" s="298">
        <f>SUM(N213:N213)</f>
        <v>0</v>
      </c>
      <c r="O212" s="298">
        <f>SUM(O213:O213)</f>
        <v>0</v>
      </c>
    </row>
    <row r="213" spans="1:15" ht="14.25" x14ac:dyDescent="0.2">
      <c r="B213" s="253"/>
      <c r="C213" s="30" t="s">
        <v>394</v>
      </c>
      <c r="D213" s="41"/>
      <c r="E213" s="270"/>
      <c r="F213" s="270"/>
      <c r="G213" s="270"/>
      <c r="H213" s="28"/>
      <c r="I213" s="283"/>
      <c r="J213" s="283"/>
      <c r="K213" s="283"/>
      <c r="L213" s="280"/>
      <c r="M213" s="285">
        <f>E213*I213</f>
        <v>0</v>
      </c>
      <c r="N213" s="285">
        <f t="shared" ref="N213" si="49">F213*J213</f>
        <v>0</v>
      </c>
      <c r="O213" s="285">
        <f>G213*K213</f>
        <v>0</v>
      </c>
    </row>
    <row r="214" spans="1:15" ht="14.25" x14ac:dyDescent="0.2">
      <c r="B214" s="271"/>
      <c r="C214" s="274" t="s">
        <v>388</v>
      </c>
      <c r="D214" s="272"/>
      <c r="E214" s="61"/>
      <c r="F214" s="61"/>
      <c r="G214" s="61"/>
      <c r="H214" s="61"/>
      <c r="I214" s="284"/>
      <c r="J214" s="284"/>
      <c r="K214" s="284"/>
      <c r="L214" s="284"/>
      <c r="M214" s="298">
        <f>SUM(M215:M215)</f>
        <v>0</v>
      </c>
      <c r="N214" s="298">
        <f>SUM(N215:N215)</f>
        <v>0</v>
      </c>
      <c r="O214" s="298">
        <f>SUM(O215:O215)</f>
        <v>0</v>
      </c>
    </row>
    <row r="215" spans="1:15" ht="14.25" x14ac:dyDescent="0.2">
      <c r="B215" s="253"/>
      <c r="C215" s="30" t="s">
        <v>394</v>
      </c>
      <c r="D215" s="41"/>
      <c r="E215" s="270"/>
      <c r="F215" s="270"/>
      <c r="G215" s="270"/>
      <c r="H215" s="28"/>
      <c r="I215" s="283"/>
      <c r="J215" s="283"/>
      <c r="K215" s="283"/>
      <c r="L215" s="280"/>
      <c r="M215" s="285">
        <f>E215*I215</f>
        <v>0</v>
      </c>
      <c r="N215" s="285">
        <f t="shared" ref="N215" si="50">F215*J215</f>
        <v>0</v>
      </c>
      <c r="O215" s="285">
        <f>G215*K215</f>
        <v>0</v>
      </c>
    </row>
    <row r="216" spans="1:15" ht="14.25" x14ac:dyDescent="0.2">
      <c r="B216" s="273"/>
      <c r="C216" s="3"/>
      <c r="D216" s="3"/>
      <c r="E216" s="3"/>
      <c r="I216" s="278"/>
      <c r="J216" s="278"/>
      <c r="K216" s="278"/>
      <c r="L216" s="278"/>
      <c r="M216" s="278"/>
      <c r="N216" s="278"/>
      <c r="O216" s="278"/>
    </row>
    <row r="217" spans="1:15" ht="15.75" thickBot="1" x14ac:dyDescent="0.3">
      <c r="A217" s="246"/>
      <c r="B217" s="273"/>
      <c r="C217" s="3"/>
      <c r="D217" s="3"/>
      <c r="E217" s="3"/>
      <c r="I217" s="278"/>
      <c r="J217" s="278"/>
      <c r="K217" s="278"/>
      <c r="L217" s="286" t="s">
        <v>390</v>
      </c>
      <c r="M217" s="287">
        <f>SUM(M190:M210)/2</f>
        <v>0</v>
      </c>
      <c r="N217" s="287">
        <f>SUM(N190:N210)/2</f>
        <v>0</v>
      </c>
      <c r="O217" s="287">
        <f>SUM(O190:O210)/2</f>
        <v>0</v>
      </c>
    </row>
    <row r="218" spans="1:15" ht="16.5" thickTop="1" thickBot="1" x14ac:dyDescent="0.3">
      <c r="B218" s="273"/>
      <c r="C218" s="3"/>
      <c r="D218" s="3"/>
      <c r="E218" s="3"/>
      <c r="I218" s="278"/>
      <c r="J218" s="278"/>
      <c r="K218" s="278"/>
      <c r="L218" s="286" t="s">
        <v>389</v>
      </c>
      <c r="M218" s="287">
        <f>SUM(M212:M215)/2</f>
        <v>0</v>
      </c>
      <c r="N218" s="287">
        <f>SUM(N212:N215)/2</f>
        <v>0</v>
      </c>
      <c r="O218" s="287">
        <f>SUM(O212:O215)/2</f>
        <v>0</v>
      </c>
    </row>
    <row r="219" spans="1:15" ht="15.75" thickTop="1" x14ac:dyDescent="0.25">
      <c r="B219" s="3"/>
      <c r="F219"/>
    </row>
    <row r="220" spans="1:15" x14ac:dyDescent="0.25">
      <c r="B220" s="3"/>
      <c r="F220"/>
    </row>
    <row r="221" spans="1:15" x14ac:dyDescent="0.25">
      <c r="B221" s="3"/>
      <c r="F221"/>
    </row>
    <row r="222" spans="1:15" x14ac:dyDescent="0.25">
      <c r="B222" s="3"/>
      <c r="F222"/>
    </row>
    <row r="223" spans="1:15" x14ac:dyDescent="0.25">
      <c r="B223" s="3"/>
      <c r="F223"/>
    </row>
    <row r="224" spans="1:15" x14ac:dyDescent="0.25">
      <c r="B224" s="3"/>
      <c r="F224"/>
    </row>
    <row r="225" spans="2:6" x14ac:dyDescent="0.25">
      <c r="B225" s="3"/>
      <c r="F225"/>
    </row>
    <row r="226" spans="2:6" x14ac:dyDescent="0.25">
      <c r="B226" s="3"/>
      <c r="F226"/>
    </row>
    <row r="227" spans="2:6" x14ac:dyDescent="0.25">
      <c r="B227" s="3"/>
      <c r="F227"/>
    </row>
    <row r="228" spans="2:6" x14ac:dyDescent="0.25">
      <c r="B228" s="3"/>
      <c r="F228"/>
    </row>
    <row r="229" spans="2:6" x14ac:dyDescent="0.25">
      <c r="B229" s="3"/>
      <c r="F229"/>
    </row>
    <row r="230" spans="2:6" x14ac:dyDescent="0.25">
      <c r="B230" s="3"/>
      <c r="F230"/>
    </row>
    <row r="231" spans="2:6" x14ac:dyDescent="0.25">
      <c r="B231" s="3"/>
      <c r="F231"/>
    </row>
    <row r="232" spans="2:6" x14ac:dyDescent="0.25">
      <c r="B232" s="3"/>
      <c r="F232"/>
    </row>
    <row r="233" spans="2:6" x14ac:dyDescent="0.25">
      <c r="B233" s="3"/>
      <c r="F233"/>
    </row>
    <row r="234" spans="2:6" x14ac:dyDescent="0.25">
      <c r="B234" s="3"/>
      <c r="F234"/>
    </row>
    <row r="235" spans="2:6" x14ac:dyDescent="0.25">
      <c r="B235" s="3"/>
      <c r="F235"/>
    </row>
    <row r="236" spans="2:6" x14ac:dyDescent="0.25">
      <c r="B236" s="3"/>
      <c r="F236"/>
    </row>
    <row r="237" spans="2:6" x14ac:dyDescent="0.25">
      <c r="B237" s="3"/>
      <c r="F237"/>
    </row>
    <row r="238" spans="2:6" x14ac:dyDescent="0.25">
      <c r="B238" s="3"/>
      <c r="F238"/>
    </row>
    <row r="239" spans="2:6" x14ac:dyDescent="0.25">
      <c r="B239" s="3"/>
      <c r="F239"/>
    </row>
    <row r="240" spans="2:6" x14ac:dyDescent="0.25">
      <c r="B240" s="3"/>
      <c r="F240"/>
    </row>
    <row r="241" spans="2:6" x14ac:dyDescent="0.25">
      <c r="B241" s="3"/>
      <c r="F241"/>
    </row>
    <row r="242" spans="2:6" x14ac:dyDescent="0.25">
      <c r="B242" s="3"/>
      <c r="F242"/>
    </row>
    <row r="243" spans="2:6" x14ac:dyDescent="0.25">
      <c r="B243" s="3"/>
      <c r="F243"/>
    </row>
    <row r="244" spans="2:6" x14ac:dyDescent="0.25">
      <c r="B244" s="3"/>
      <c r="F244"/>
    </row>
    <row r="245" spans="2:6" x14ac:dyDescent="0.25">
      <c r="B245" s="3"/>
      <c r="F245"/>
    </row>
    <row r="246" spans="2:6" x14ac:dyDescent="0.25">
      <c r="B246" s="3"/>
      <c r="F246"/>
    </row>
    <row r="247" spans="2:6" x14ac:dyDescent="0.25">
      <c r="B247" s="3"/>
      <c r="F247"/>
    </row>
    <row r="248" spans="2:6" x14ac:dyDescent="0.25">
      <c r="B248" s="3"/>
      <c r="F248"/>
    </row>
    <row r="249" spans="2:6" x14ac:dyDescent="0.25">
      <c r="B249" s="3"/>
      <c r="F249"/>
    </row>
    <row r="250" spans="2:6" x14ac:dyDescent="0.25">
      <c r="B250" s="3"/>
      <c r="F250"/>
    </row>
    <row r="251" spans="2:6" x14ac:dyDescent="0.25">
      <c r="B251" s="3"/>
      <c r="F251"/>
    </row>
    <row r="252" spans="2:6" x14ac:dyDescent="0.25">
      <c r="B252" s="3"/>
      <c r="F252"/>
    </row>
    <row r="253" spans="2:6" x14ac:dyDescent="0.25">
      <c r="B253" s="3"/>
      <c r="F253"/>
    </row>
    <row r="254" spans="2:6" x14ac:dyDescent="0.25">
      <c r="B254" s="3"/>
      <c r="F254"/>
    </row>
    <row r="255" spans="2:6" x14ac:dyDescent="0.25">
      <c r="B255" s="3"/>
      <c r="F255"/>
    </row>
  </sheetData>
  <mergeCells count="3">
    <mergeCell ref="D13:G13"/>
    <mergeCell ref="D15:G15"/>
    <mergeCell ref="D17:O17"/>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33"/>
  </sheetPr>
  <dimension ref="A1:P256"/>
  <sheetViews>
    <sheetView showGridLines="0" workbookViewId="0">
      <pane ySplit="1" topLeftCell="A80" activePane="bottomLeft" state="frozen"/>
      <selection activeCell="G35" sqref="G35"/>
      <selection pane="bottomLeft" activeCell="G35" sqref="G35"/>
    </sheetView>
  </sheetViews>
  <sheetFormatPr defaultRowHeight="15" x14ac:dyDescent="0.25"/>
  <cols>
    <col min="1" max="1" width="2.7109375" style="3" customWidth="1"/>
    <col min="2" max="2" width="3.85546875" customWidth="1"/>
    <col min="3" max="3" width="41.7109375" customWidth="1"/>
    <col min="4" max="4" width="18" customWidth="1"/>
    <col min="5" max="5" width="12.85546875" customWidth="1"/>
    <col min="6" max="7" width="12.85546875" style="3" customWidth="1"/>
    <col min="8" max="8" width="2.42578125" style="3" customWidth="1"/>
    <col min="9" max="11" width="12.85546875" style="3" customWidth="1"/>
    <col min="12" max="12" width="2.42578125" style="3" customWidth="1"/>
    <col min="13" max="15" width="12.85546875" style="3" customWidth="1"/>
    <col min="16" max="16384" width="9.140625" style="3"/>
  </cols>
  <sheetData>
    <row r="1" spans="1:16" ht="15.75" x14ac:dyDescent="0.25">
      <c r="A1" s="314"/>
      <c r="B1" s="312" t="e">
        <f>'Service Descriptions'!#REF!</f>
        <v>#REF!</v>
      </c>
      <c r="C1" s="199"/>
      <c r="D1" s="199"/>
      <c r="E1" s="199"/>
    </row>
    <row r="2" spans="1:16" ht="15.75" customHeight="1" x14ac:dyDescent="0.25">
      <c r="A2" s="246"/>
      <c r="B2" s="310"/>
      <c r="C2" s="311" t="s">
        <v>395</v>
      </c>
      <c r="D2" s="310"/>
      <c r="E2" s="308"/>
      <c r="F2" s="308"/>
      <c r="G2" s="308"/>
      <c r="H2" s="308"/>
      <c r="I2" s="309"/>
      <c r="J2" s="309"/>
      <c r="K2" s="309"/>
      <c r="L2" s="309"/>
      <c r="M2" s="309"/>
      <c r="N2" s="309"/>
      <c r="O2" s="309"/>
    </row>
    <row r="3" spans="1:16" s="319" customFormat="1" ht="15.75" x14ac:dyDescent="0.25">
      <c r="A3" s="231"/>
      <c r="B3" s="323"/>
      <c r="C3" s="324"/>
      <c r="D3" s="324"/>
      <c r="E3" s="324"/>
    </row>
    <row r="4" spans="1:16" s="319" customFormat="1" ht="15.75" x14ac:dyDescent="0.25">
      <c r="A4" s="231"/>
      <c r="B4" s="323"/>
      <c r="C4" s="324"/>
      <c r="D4" s="324"/>
      <c r="E4" s="324"/>
    </row>
    <row r="5" spans="1:16" s="319" customFormat="1" ht="15.75" x14ac:dyDescent="0.25">
      <c r="A5" s="231"/>
      <c r="B5" s="323"/>
      <c r="C5" s="324"/>
      <c r="D5" s="324"/>
      <c r="E5" s="324"/>
    </row>
    <row r="6" spans="1:16" s="319" customFormat="1" ht="15.75" x14ac:dyDescent="0.25">
      <c r="A6" s="231"/>
      <c r="B6" s="323"/>
      <c r="C6" s="324"/>
      <c r="D6" s="324"/>
      <c r="E6" s="324"/>
    </row>
    <row r="7" spans="1:16" s="319" customFormat="1" ht="15.75" x14ac:dyDescent="0.25">
      <c r="A7" s="231"/>
      <c r="B7" s="323"/>
      <c r="C7" s="324"/>
      <c r="D7" s="324"/>
      <c r="E7" s="324"/>
    </row>
    <row r="8" spans="1:16" s="319" customFormat="1" ht="15.75" x14ac:dyDescent="0.25">
      <c r="A8" s="231"/>
      <c r="B8" s="323"/>
      <c r="C8" s="324"/>
      <c r="D8" s="324"/>
      <c r="E8" s="324"/>
    </row>
    <row r="9" spans="1:16" s="319" customFormat="1" ht="15.75" x14ac:dyDescent="0.25">
      <c r="A9" s="231"/>
      <c r="B9" s="323"/>
      <c r="C9" s="324"/>
      <c r="D9" s="324"/>
      <c r="E9" s="324"/>
    </row>
    <row r="10" spans="1:16" s="319" customFormat="1" ht="15.75" x14ac:dyDescent="0.25">
      <c r="A10" s="231"/>
      <c r="B10" s="323"/>
      <c r="C10" s="324"/>
      <c r="D10" s="324"/>
      <c r="E10" s="324"/>
    </row>
    <row r="11" spans="1:16" ht="15.75" customHeight="1" x14ac:dyDescent="0.25">
      <c r="A11" s="246"/>
      <c r="B11" s="310"/>
      <c r="C11" s="311" t="s">
        <v>396</v>
      </c>
      <c r="D11" s="310"/>
      <c r="E11" s="308"/>
      <c r="F11" s="308"/>
      <c r="G11" s="308"/>
      <c r="H11" s="308"/>
      <c r="I11" s="309"/>
      <c r="J11" s="309"/>
      <c r="K11" s="309"/>
      <c r="L11" s="309"/>
      <c r="M11" s="309"/>
      <c r="N11" s="309"/>
      <c r="O11" s="309"/>
    </row>
    <row r="12" spans="1:16" s="28" customFormat="1" ht="15.75" customHeight="1" x14ac:dyDescent="0.2">
      <c r="A12" s="247"/>
      <c r="B12" s="253"/>
      <c r="I12" s="280"/>
      <c r="J12" s="280"/>
      <c r="K12" s="280"/>
      <c r="L12" s="280"/>
      <c r="M12" s="280"/>
      <c r="N12" s="280"/>
      <c r="O12" s="280"/>
      <c r="P12" s="254"/>
    </row>
    <row r="13" spans="1:16" s="28" customFormat="1" ht="15.75" customHeight="1" x14ac:dyDescent="0.2">
      <c r="A13" s="255">
        <v>1</v>
      </c>
      <c r="B13" s="256" t="s">
        <v>366</v>
      </c>
      <c r="C13" s="256"/>
      <c r="D13" s="944"/>
      <c r="E13" s="944"/>
      <c r="F13" s="944"/>
      <c r="G13" s="944"/>
      <c r="I13" s="280"/>
      <c r="J13" s="280"/>
      <c r="K13" s="280"/>
      <c r="L13" s="280"/>
      <c r="M13" s="280"/>
      <c r="N13" s="280"/>
      <c r="O13" s="280"/>
    </row>
    <row r="14" spans="1:16" s="28" customFormat="1" ht="15.75" customHeight="1" x14ac:dyDescent="0.2">
      <c r="A14" s="255"/>
      <c r="B14" s="255" t="s">
        <v>367</v>
      </c>
      <c r="C14" s="256"/>
      <c r="D14" s="257"/>
      <c r="E14" s="255"/>
      <c r="F14" s="255"/>
      <c r="G14" s="255"/>
      <c r="I14" s="280"/>
      <c r="J14" s="280"/>
      <c r="K14" s="280"/>
      <c r="L14" s="280"/>
      <c r="M14" s="280"/>
      <c r="N14" s="280"/>
      <c r="O14" s="280"/>
      <c r="P14" s="258"/>
    </row>
    <row r="15" spans="1:16" s="28" customFormat="1" ht="15.75" customHeight="1" x14ac:dyDescent="0.2">
      <c r="A15" s="255"/>
      <c r="B15" s="255" t="s">
        <v>368</v>
      </c>
      <c r="C15" s="256"/>
      <c r="D15" s="945"/>
      <c r="E15" s="945"/>
      <c r="F15" s="945"/>
      <c r="G15" s="945"/>
      <c r="I15" s="280"/>
      <c r="J15" s="280"/>
      <c r="K15" s="280"/>
      <c r="L15" s="280"/>
      <c r="M15" s="280"/>
      <c r="N15" s="280"/>
      <c r="O15" s="280"/>
      <c r="P15" s="254"/>
    </row>
    <row r="16" spans="1:16" s="28" customFormat="1" ht="15.75" customHeight="1" x14ac:dyDescent="0.2">
      <c r="A16" s="255"/>
      <c r="B16" s="255"/>
      <c r="C16" s="255"/>
      <c r="D16" s="255"/>
      <c r="E16" s="255"/>
      <c r="F16" s="255"/>
      <c r="G16" s="255"/>
      <c r="I16" s="280"/>
      <c r="J16" s="280"/>
      <c r="K16" s="280"/>
      <c r="L16" s="280"/>
      <c r="M16" s="280"/>
      <c r="N16" s="280"/>
      <c r="O16" s="280"/>
      <c r="P16" s="254"/>
    </row>
    <row r="17" spans="1:16" s="28" customFormat="1" ht="15.75" customHeight="1" x14ac:dyDescent="0.2">
      <c r="A17" s="255">
        <v>2</v>
      </c>
      <c r="B17" s="256" t="s">
        <v>366</v>
      </c>
      <c r="C17" s="255"/>
      <c r="D17" s="944"/>
      <c r="E17" s="944"/>
      <c r="F17" s="944"/>
      <c r="G17" s="944"/>
      <c r="H17" s="944"/>
      <c r="I17" s="944"/>
      <c r="J17" s="944"/>
      <c r="K17" s="944"/>
      <c r="L17" s="944"/>
      <c r="M17" s="944"/>
      <c r="N17" s="944"/>
      <c r="O17" s="944"/>
      <c r="P17" s="260"/>
    </row>
    <row r="18" spans="1:16" s="28" customFormat="1" ht="15.75" customHeight="1" x14ac:dyDescent="0.2">
      <c r="A18" s="255"/>
      <c r="B18" s="256"/>
      <c r="C18" s="255"/>
      <c r="D18" s="255"/>
      <c r="E18" s="255"/>
      <c r="F18" s="255"/>
      <c r="G18" s="255"/>
      <c r="I18" s="280"/>
      <c r="J18" s="280"/>
      <c r="K18" s="280"/>
      <c r="L18" s="280"/>
      <c r="M18" s="280"/>
      <c r="N18" s="280"/>
      <c r="O18" s="280"/>
      <c r="P18" s="260"/>
    </row>
    <row r="19" spans="1:16" s="28" customFormat="1" ht="15.75" customHeight="1" x14ac:dyDescent="0.2">
      <c r="A19" s="255">
        <v>3</v>
      </c>
      <c r="B19" s="255" t="s">
        <v>366</v>
      </c>
      <c r="C19" s="261"/>
      <c r="D19" s="255"/>
      <c r="E19" s="255"/>
      <c r="F19" s="255"/>
      <c r="G19" s="255"/>
      <c r="I19" s="280"/>
      <c r="J19" s="280"/>
      <c r="K19" s="280"/>
      <c r="L19" s="280"/>
      <c r="M19" s="280"/>
      <c r="N19" s="280"/>
      <c r="O19" s="280"/>
      <c r="P19" s="262"/>
    </row>
    <row r="20" spans="1:16" ht="15.75" customHeight="1" x14ac:dyDescent="0.25">
      <c r="A20" s="246"/>
      <c r="B20" s="299"/>
      <c r="C20" s="300" t="s">
        <v>393</v>
      </c>
      <c r="D20" s="299" t="s">
        <v>365</v>
      </c>
      <c r="E20" s="299" t="s">
        <v>365</v>
      </c>
      <c r="F20" s="301"/>
      <c r="G20" s="301"/>
      <c r="H20" s="301"/>
      <c r="I20" s="302"/>
      <c r="J20" s="302"/>
      <c r="K20" s="302"/>
      <c r="L20" s="302"/>
      <c r="M20" s="302"/>
      <c r="N20" s="302"/>
      <c r="O20" s="302"/>
    </row>
    <row r="21" spans="1:16" ht="14.25" x14ac:dyDescent="0.2">
      <c r="A21" s="28"/>
      <c r="B21" s="28"/>
      <c r="C21" s="54" t="s">
        <v>323</v>
      </c>
      <c r="D21" s="3"/>
      <c r="E21" s="3"/>
    </row>
    <row r="22" spans="1:16" ht="14.25" x14ac:dyDescent="0.2">
      <c r="A22" s="28"/>
      <c r="B22" s="28"/>
      <c r="C22" s="51" t="s">
        <v>363</v>
      </c>
      <c r="D22" s="52" t="e">
        <f>birth_occurences2013+D29+D30</f>
        <v>#NAME?</v>
      </c>
      <c r="E22" s="52" t="e">
        <f>birth_occurences2013+E29+E30</f>
        <v>#NAME?</v>
      </c>
      <c r="F22" s="52" t="e">
        <f>birth_occurences2013+F29+F30</f>
        <v>#NAME?</v>
      </c>
    </row>
    <row r="23" spans="1:16" ht="14.25" x14ac:dyDescent="0.2">
      <c r="A23" s="28"/>
      <c r="B23" s="28"/>
      <c r="C23" s="65" t="s">
        <v>364</v>
      </c>
      <c r="D23" s="62">
        <f>D202+D203</f>
        <v>0</v>
      </c>
      <c r="E23" s="62">
        <f>E202+E203</f>
        <v>0</v>
      </c>
      <c r="F23" s="62">
        <f>F202+F203</f>
        <v>0</v>
      </c>
    </row>
    <row r="24" spans="1:16" ht="14.25" x14ac:dyDescent="0.2">
      <c r="A24" s="28"/>
      <c r="B24" s="28"/>
      <c r="C24" s="28"/>
      <c r="D24" s="28"/>
      <c r="E24" s="28"/>
      <c r="F24" s="28"/>
    </row>
    <row r="25" spans="1:16" ht="14.25" x14ac:dyDescent="0.2">
      <c r="A25" s="226" t="s">
        <v>215</v>
      </c>
      <c r="B25" s="226"/>
      <c r="C25" s="227"/>
      <c r="D25" s="227"/>
      <c r="E25" s="227"/>
      <c r="F25" s="227"/>
    </row>
    <row r="26" spans="1:16" x14ac:dyDescent="0.25">
      <c r="A26"/>
      <c r="C26" s="49" t="s">
        <v>22</v>
      </c>
      <c r="D26" s="37"/>
      <c r="E26" s="37"/>
      <c r="F26" s="37"/>
    </row>
    <row r="27" spans="1:16" ht="14.25" x14ac:dyDescent="0.2">
      <c r="A27" s="28"/>
      <c r="B27" s="28"/>
      <c r="C27" s="229" t="s">
        <v>294</v>
      </c>
      <c r="D27" s="87"/>
      <c r="E27" s="87"/>
      <c r="F27" s="87"/>
    </row>
    <row r="28" spans="1:16" ht="14.25" x14ac:dyDescent="0.2">
      <c r="A28" s="28"/>
      <c r="B28" s="28"/>
      <c r="C28" s="28" t="s">
        <v>265</v>
      </c>
      <c r="D28" s="56">
        <v>1</v>
      </c>
      <c r="E28" s="89">
        <v>1</v>
      </c>
      <c r="F28" s="89">
        <v>1</v>
      </c>
    </row>
    <row r="29" spans="1:16" ht="14.25" x14ac:dyDescent="0.2">
      <c r="A29" s="28"/>
      <c r="B29" s="28"/>
      <c r="C29" s="67" t="s">
        <v>266</v>
      </c>
      <c r="D29" s="84">
        <f>'4.3.2'!D23*2</f>
        <v>1709036</v>
      </c>
      <c r="E29" s="84">
        <f>'4.3.2'!E23*2</f>
        <v>1709036</v>
      </c>
      <c r="F29" s="84">
        <f>'4.3.2'!F23*2</f>
        <v>1709036</v>
      </c>
    </row>
    <row r="30" spans="1:16" ht="14.25" x14ac:dyDescent="0.2">
      <c r="A30" s="28"/>
      <c r="B30" s="28"/>
      <c r="C30" s="71" t="s">
        <v>224</v>
      </c>
      <c r="D30" s="85" t="e">
        <f>#REF!</f>
        <v>#REF!</v>
      </c>
      <c r="E30" s="85" t="e">
        <f>#REF!</f>
        <v>#REF!</v>
      </c>
      <c r="F30" s="85" t="e">
        <f>#REF!</f>
        <v>#REF!</v>
      </c>
    </row>
    <row r="31" spans="1:16" ht="14.25" x14ac:dyDescent="0.2">
      <c r="A31" s="28"/>
      <c r="B31" s="28"/>
      <c r="C31" s="28" t="s">
        <v>223</v>
      </c>
      <c r="D31" s="28"/>
      <c r="E31" s="28"/>
      <c r="F31" s="28"/>
    </row>
    <row r="32" spans="1:16" ht="14.25" x14ac:dyDescent="0.2">
      <c r="A32" s="28"/>
      <c r="B32" s="28"/>
      <c r="C32" s="86" t="s">
        <v>216</v>
      </c>
      <c r="D32" s="201">
        <v>4.63</v>
      </c>
      <c r="E32" s="201">
        <v>4.63</v>
      </c>
      <c r="F32" s="201">
        <v>4.63</v>
      </c>
    </row>
    <row r="33" spans="1:16" ht="14.25" x14ac:dyDescent="0.2">
      <c r="A33" s="28"/>
      <c r="B33" s="28"/>
      <c r="C33" s="86" t="s">
        <v>217</v>
      </c>
      <c r="D33" s="201">
        <v>490.34999999999997</v>
      </c>
      <c r="E33" s="201">
        <v>490.34999999999997</v>
      </c>
      <c r="F33" s="201">
        <v>490.34999999999997</v>
      </c>
    </row>
    <row r="34" spans="1:16" ht="14.25" x14ac:dyDescent="0.2">
      <c r="A34" s="28"/>
      <c r="B34" s="28"/>
      <c r="C34" s="86" t="s">
        <v>222</v>
      </c>
      <c r="D34" s="201">
        <v>140.62</v>
      </c>
      <c r="E34" s="201">
        <v>140.62</v>
      </c>
      <c r="F34" s="201">
        <v>140.62</v>
      </c>
    </row>
    <row r="35" spans="1:16" ht="14.25" x14ac:dyDescent="0.2">
      <c r="A35" s="28"/>
      <c r="B35" s="28"/>
      <c r="C35" s="86" t="s">
        <v>218</v>
      </c>
      <c r="D35" s="201">
        <v>487.47999999999996</v>
      </c>
      <c r="E35" s="201">
        <v>487.47999999999996</v>
      </c>
      <c r="F35" s="201">
        <v>487.47999999999996</v>
      </c>
    </row>
    <row r="36" spans="1:16" ht="14.25" x14ac:dyDescent="0.2">
      <c r="A36" s="28"/>
      <c r="B36" s="28"/>
      <c r="C36" s="86" t="s">
        <v>219</v>
      </c>
      <c r="D36" s="201">
        <v>275.05999999999995</v>
      </c>
      <c r="E36" s="201">
        <v>275.05999999999995</v>
      </c>
      <c r="F36" s="201">
        <v>275.05999999999995</v>
      </c>
    </row>
    <row r="37" spans="1:16" ht="14.25" x14ac:dyDescent="0.2">
      <c r="A37" s="28"/>
      <c r="B37" s="28"/>
      <c r="C37" s="86" t="s">
        <v>220</v>
      </c>
      <c r="D37" s="202">
        <v>141.79</v>
      </c>
      <c r="E37" s="202">
        <v>141.79</v>
      </c>
      <c r="F37" s="202">
        <v>141.79</v>
      </c>
    </row>
    <row r="38" spans="1:16" ht="14.25" x14ac:dyDescent="0.2">
      <c r="A38" s="28"/>
      <c r="B38" s="28"/>
      <c r="C38" s="86" t="s">
        <v>221</v>
      </c>
      <c r="D38" s="202">
        <v>9.23</v>
      </c>
      <c r="E38" s="202">
        <v>9.23</v>
      </c>
      <c r="F38" s="202">
        <v>9.23</v>
      </c>
    </row>
    <row r="39" spans="1:16" ht="14.25" x14ac:dyDescent="0.2">
      <c r="A39" s="28"/>
      <c r="B39" s="28"/>
      <c r="C39" s="229" t="s">
        <v>295</v>
      </c>
      <c r="D39" s="234"/>
      <c r="E39" s="234"/>
      <c r="F39" s="234"/>
    </row>
    <row r="40" spans="1:16" ht="14.25" x14ac:dyDescent="0.2">
      <c r="A40" s="28"/>
      <c r="B40" s="28"/>
      <c r="C40" s="71" t="s">
        <v>189</v>
      </c>
      <c r="D40" s="232">
        <v>3</v>
      </c>
      <c r="E40" s="233">
        <v>3</v>
      </c>
      <c r="F40" s="233">
        <v>3</v>
      </c>
    </row>
    <row r="41" spans="1:16" ht="14.25" x14ac:dyDescent="0.2">
      <c r="A41" s="28"/>
      <c r="B41" s="28"/>
      <c r="C41" s="28" t="s">
        <v>227</v>
      </c>
      <c r="D41" s="28"/>
      <c r="E41" s="28"/>
      <c r="F41" s="28"/>
    </row>
    <row r="42" spans="1:16" ht="14.25" x14ac:dyDescent="0.2">
      <c r="A42" s="28"/>
      <c r="B42" s="28"/>
      <c r="C42" s="78" t="s">
        <v>228</v>
      </c>
      <c r="D42" s="57">
        <v>2</v>
      </c>
      <c r="E42" s="90">
        <v>2</v>
      </c>
      <c r="F42" s="90">
        <v>2</v>
      </c>
    </row>
    <row r="43" spans="1:16" ht="14.25" x14ac:dyDescent="0.2">
      <c r="A43" s="28"/>
      <c r="B43" s="28"/>
      <c r="C43" s="78" t="s">
        <v>229</v>
      </c>
      <c r="D43" s="57">
        <v>2</v>
      </c>
      <c r="E43" s="90">
        <v>2</v>
      </c>
      <c r="F43" s="90">
        <v>2</v>
      </c>
    </row>
    <row r="44" spans="1:16" ht="14.25" x14ac:dyDescent="0.2">
      <c r="A44" s="28"/>
      <c r="B44" s="28"/>
      <c r="C44" s="88" t="s">
        <v>293</v>
      </c>
      <c r="D44" s="203">
        <v>28</v>
      </c>
      <c r="E44" s="203">
        <v>28</v>
      </c>
      <c r="F44" s="203">
        <v>28</v>
      </c>
    </row>
    <row r="45" spans="1:16" s="28" customFormat="1" ht="15.75" customHeight="1" x14ac:dyDescent="0.2">
      <c r="A45" s="263"/>
      <c r="B45" s="263"/>
      <c r="C45" s="256"/>
      <c r="D45" s="259"/>
      <c r="E45" s="263"/>
      <c r="F45" s="263"/>
      <c r="G45" s="263"/>
      <c r="I45" s="280"/>
      <c r="J45" s="280"/>
      <c r="K45" s="280"/>
      <c r="L45" s="280"/>
      <c r="M45" s="280"/>
      <c r="N45" s="280"/>
      <c r="O45" s="280"/>
      <c r="P45" s="258"/>
    </row>
    <row r="46" spans="1:16" s="28" customFormat="1" ht="15.75" customHeight="1" x14ac:dyDescent="0.2">
      <c r="A46" s="263"/>
      <c r="B46" s="263"/>
      <c r="C46" s="256"/>
      <c r="D46" s="259"/>
      <c r="E46" s="263"/>
      <c r="F46" s="263"/>
      <c r="G46" s="263"/>
      <c r="I46" s="280"/>
      <c r="J46" s="280"/>
      <c r="K46" s="280"/>
      <c r="L46" s="280"/>
      <c r="M46" s="280"/>
      <c r="N46" s="280"/>
      <c r="O46" s="280"/>
      <c r="P46" s="258"/>
    </row>
    <row r="47" spans="1:16" s="28" customFormat="1" ht="15.75" customHeight="1" x14ac:dyDescent="0.2">
      <c r="A47" s="263"/>
      <c r="B47" s="263"/>
      <c r="C47" s="256"/>
      <c r="D47" s="259"/>
      <c r="E47" s="263"/>
      <c r="F47" s="263"/>
      <c r="G47" s="263"/>
      <c r="I47" s="280"/>
      <c r="J47" s="280"/>
      <c r="K47" s="280"/>
      <c r="L47" s="280"/>
      <c r="M47" s="280"/>
      <c r="N47" s="280"/>
      <c r="O47" s="280"/>
      <c r="P47" s="258"/>
    </row>
    <row r="48" spans="1:16" s="28" customFormat="1" ht="15.75" customHeight="1" x14ac:dyDescent="0.2">
      <c r="A48" s="263"/>
      <c r="B48" s="263"/>
      <c r="C48" s="256"/>
      <c r="D48" s="259"/>
      <c r="E48" s="263"/>
      <c r="F48" s="263"/>
      <c r="G48" s="263"/>
      <c r="I48" s="280"/>
      <c r="J48" s="280"/>
      <c r="K48" s="280"/>
      <c r="L48" s="280"/>
      <c r="M48" s="280"/>
      <c r="N48" s="280"/>
      <c r="O48" s="280"/>
      <c r="P48" s="258"/>
    </row>
    <row r="49" spans="1:16" s="28" customFormat="1" ht="15.75" customHeight="1" x14ac:dyDescent="0.2">
      <c r="A49" s="263"/>
      <c r="B49" s="263"/>
      <c r="C49" s="256"/>
      <c r="D49" s="259"/>
      <c r="E49" s="263"/>
      <c r="F49" s="263"/>
      <c r="G49" s="263"/>
      <c r="I49" s="280"/>
      <c r="J49" s="280"/>
      <c r="K49" s="280"/>
      <c r="L49" s="280"/>
      <c r="M49" s="280"/>
      <c r="N49" s="280"/>
      <c r="O49" s="280"/>
      <c r="P49" s="258"/>
    </row>
    <row r="50" spans="1:16" s="28" customFormat="1" ht="15.75" customHeight="1" x14ac:dyDescent="0.2">
      <c r="A50" s="263"/>
      <c r="B50" s="263"/>
      <c r="C50" s="256"/>
      <c r="D50" s="259"/>
      <c r="E50" s="263"/>
      <c r="F50" s="263"/>
      <c r="G50" s="263"/>
      <c r="I50" s="280"/>
      <c r="J50" s="280"/>
      <c r="K50" s="280"/>
      <c r="L50" s="280"/>
      <c r="M50" s="280"/>
      <c r="N50" s="280"/>
      <c r="O50" s="280"/>
      <c r="P50" s="258"/>
    </row>
    <row r="51" spans="1:16" s="28" customFormat="1" ht="15.75" customHeight="1" x14ac:dyDescent="0.2">
      <c r="A51" s="263"/>
      <c r="B51" s="263"/>
      <c r="C51" s="256"/>
      <c r="D51" s="259"/>
      <c r="E51" s="263"/>
      <c r="F51" s="263"/>
      <c r="G51" s="263"/>
      <c r="I51" s="280"/>
      <c r="J51" s="280"/>
      <c r="K51" s="280"/>
      <c r="L51" s="280"/>
      <c r="M51" s="280"/>
      <c r="N51" s="280"/>
      <c r="O51" s="280"/>
      <c r="P51" s="258"/>
    </row>
    <row r="52" spans="1:16" s="28" customFormat="1" ht="15.75" customHeight="1" x14ac:dyDescent="0.2">
      <c r="A52" s="263"/>
      <c r="B52" s="263"/>
      <c r="C52" s="256"/>
      <c r="D52" s="259"/>
      <c r="E52" s="263"/>
      <c r="F52" s="263"/>
      <c r="G52" s="263"/>
      <c r="I52" s="280"/>
      <c r="J52" s="280"/>
      <c r="K52" s="280"/>
      <c r="L52" s="280"/>
      <c r="M52" s="280"/>
      <c r="N52" s="280"/>
      <c r="O52" s="280"/>
      <c r="P52" s="258"/>
    </row>
    <row r="53" spans="1:16" s="28" customFormat="1" ht="15.75" customHeight="1" x14ac:dyDescent="0.2">
      <c r="A53" s="263"/>
      <c r="B53" s="263"/>
      <c r="C53" s="256"/>
      <c r="D53" s="259"/>
      <c r="E53" s="263"/>
      <c r="F53" s="263"/>
      <c r="G53" s="263"/>
      <c r="I53" s="280"/>
      <c r="J53" s="280"/>
      <c r="K53" s="280"/>
      <c r="L53" s="280"/>
      <c r="M53" s="280"/>
      <c r="N53" s="280"/>
      <c r="O53" s="280"/>
      <c r="P53" s="258"/>
    </row>
    <row r="54" spans="1:16" s="28" customFormat="1" ht="15.75" customHeight="1" x14ac:dyDescent="0.2">
      <c r="A54" s="263"/>
      <c r="B54" s="263"/>
      <c r="C54" s="256"/>
      <c r="D54" s="259"/>
      <c r="E54" s="263"/>
      <c r="F54" s="263"/>
      <c r="G54" s="263"/>
      <c r="I54" s="280"/>
      <c r="J54" s="280"/>
      <c r="K54" s="280"/>
      <c r="L54" s="280"/>
      <c r="M54" s="280"/>
      <c r="N54" s="280"/>
      <c r="O54" s="280"/>
      <c r="P54" s="258"/>
    </row>
    <row r="55" spans="1:16" s="28" customFormat="1" ht="15.75" customHeight="1" x14ac:dyDescent="0.2">
      <c r="A55" s="263"/>
      <c r="B55" s="263"/>
      <c r="C55" s="256"/>
      <c r="D55" s="259"/>
      <c r="E55" s="263"/>
      <c r="F55" s="263"/>
      <c r="G55" s="263"/>
      <c r="I55" s="280"/>
      <c r="J55" s="280"/>
      <c r="K55" s="280"/>
      <c r="L55" s="280"/>
      <c r="M55" s="280"/>
      <c r="N55" s="280"/>
      <c r="O55" s="280"/>
      <c r="P55" s="258"/>
    </row>
    <row r="56" spans="1:16" s="28" customFormat="1" ht="15.75" customHeight="1" x14ac:dyDescent="0.2">
      <c r="A56" s="263"/>
      <c r="B56" s="263"/>
      <c r="C56" s="256"/>
      <c r="D56" s="259"/>
      <c r="E56" s="263"/>
      <c r="F56" s="263"/>
      <c r="G56" s="263"/>
      <c r="I56" s="280"/>
      <c r="J56" s="280"/>
      <c r="K56" s="280"/>
      <c r="L56" s="280"/>
      <c r="M56" s="280"/>
      <c r="N56" s="280"/>
      <c r="O56" s="280"/>
      <c r="P56" s="258"/>
    </row>
    <row r="57" spans="1:16" s="28" customFormat="1" ht="15.75" customHeight="1" x14ac:dyDescent="0.2">
      <c r="A57" s="263"/>
      <c r="B57" s="263"/>
      <c r="C57" s="256"/>
      <c r="D57" s="259"/>
      <c r="E57" s="263"/>
      <c r="F57" s="263"/>
      <c r="G57" s="263"/>
      <c r="I57" s="280"/>
      <c r="J57" s="280"/>
      <c r="K57" s="280"/>
      <c r="L57" s="280"/>
      <c r="M57" s="280"/>
      <c r="N57" s="280"/>
      <c r="O57" s="280"/>
      <c r="P57" s="258"/>
    </row>
    <row r="58" spans="1:16" s="28" customFormat="1" ht="15.75" customHeight="1" x14ac:dyDescent="0.2">
      <c r="A58" s="263"/>
      <c r="B58" s="263"/>
      <c r="C58" s="256"/>
      <c r="D58" s="259"/>
      <c r="E58" s="263"/>
      <c r="F58" s="263"/>
      <c r="G58" s="263"/>
      <c r="I58" s="280"/>
      <c r="J58" s="280"/>
      <c r="K58" s="280"/>
      <c r="L58" s="280"/>
      <c r="M58" s="280"/>
      <c r="N58" s="280"/>
      <c r="O58" s="280"/>
      <c r="P58" s="258"/>
    </row>
    <row r="59" spans="1:16" s="28" customFormat="1" ht="15.75" customHeight="1" x14ac:dyDescent="0.2">
      <c r="A59" s="263"/>
      <c r="B59" s="263"/>
      <c r="C59" s="256"/>
      <c r="D59" s="259"/>
      <c r="E59" s="263"/>
      <c r="F59" s="263"/>
      <c r="G59" s="263"/>
      <c r="I59" s="280"/>
      <c r="J59" s="280"/>
      <c r="K59" s="280"/>
      <c r="L59" s="280"/>
      <c r="M59" s="280"/>
      <c r="N59" s="280"/>
      <c r="O59" s="280"/>
      <c r="P59" s="258"/>
    </row>
    <row r="60" spans="1:16" s="28" customFormat="1" ht="15.75" customHeight="1" x14ac:dyDescent="0.2">
      <c r="A60" s="263"/>
      <c r="B60" s="263"/>
      <c r="C60" s="256"/>
      <c r="D60" s="259"/>
      <c r="E60" s="263"/>
      <c r="F60" s="263"/>
      <c r="G60" s="263"/>
      <c r="I60" s="280"/>
      <c r="J60" s="280"/>
      <c r="K60" s="280"/>
      <c r="L60" s="280"/>
      <c r="M60" s="280"/>
      <c r="N60" s="280"/>
      <c r="O60" s="280"/>
      <c r="P60" s="258"/>
    </row>
    <row r="61" spans="1:16" s="28" customFormat="1" ht="15.75" customHeight="1" x14ac:dyDescent="0.2">
      <c r="A61" s="263"/>
      <c r="B61" s="263"/>
      <c r="C61" s="256"/>
      <c r="D61" s="259"/>
      <c r="E61" s="263"/>
      <c r="F61" s="263"/>
      <c r="G61" s="263"/>
      <c r="I61" s="280"/>
      <c r="J61" s="280"/>
      <c r="K61" s="280"/>
      <c r="L61" s="280"/>
      <c r="M61" s="280"/>
      <c r="N61" s="280"/>
      <c r="O61" s="280"/>
      <c r="P61" s="258"/>
    </row>
    <row r="62" spans="1:16" s="28" customFormat="1" ht="15.75" customHeight="1" x14ac:dyDescent="0.2">
      <c r="A62" s="263"/>
      <c r="B62" s="263"/>
      <c r="C62" s="256"/>
      <c r="D62" s="259"/>
      <c r="E62" s="263"/>
      <c r="F62" s="263"/>
      <c r="G62" s="263"/>
      <c r="I62" s="280"/>
      <c r="J62" s="280"/>
      <c r="K62" s="280"/>
      <c r="L62" s="280"/>
      <c r="M62" s="280"/>
      <c r="N62" s="280"/>
      <c r="O62" s="280"/>
      <c r="P62" s="258"/>
    </row>
    <row r="63" spans="1:16" s="28" customFormat="1" ht="15.75" customHeight="1" x14ac:dyDescent="0.2">
      <c r="A63" s="263"/>
      <c r="B63" s="263"/>
      <c r="C63" s="256"/>
      <c r="D63" s="259"/>
      <c r="E63" s="263"/>
      <c r="F63" s="263"/>
      <c r="G63" s="263"/>
      <c r="I63" s="280"/>
      <c r="J63" s="280"/>
      <c r="K63" s="280"/>
      <c r="L63" s="280"/>
      <c r="M63" s="280"/>
      <c r="N63" s="280"/>
      <c r="O63" s="280"/>
      <c r="P63" s="258"/>
    </row>
    <row r="64" spans="1:16" s="28" customFormat="1" ht="15.75" customHeight="1" x14ac:dyDescent="0.2">
      <c r="A64" s="263"/>
      <c r="B64" s="263"/>
      <c r="C64" s="256"/>
      <c r="D64" s="259"/>
      <c r="E64" s="263"/>
      <c r="F64" s="263"/>
      <c r="G64" s="263"/>
      <c r="I64" s="280"/>
      <c r="J64" s="280"/>
      <c r="K64" s="280"/>
      <c r="L64" s="280"/>
      <c r="M64" s="280"/>
      <c r="N64" s="280"/>
      <c r="O64" s="280"/>
      <c r="P64" s="258"/>
    </row>
    <row r="65" spans="1:16" s="28" customFormat="1" ht="15.75" customHeight="1" x14ac:dyDescent="0.2">
      <c r="A65" s="263"/>
      <c r="B65" s="263"/>
      <c r="C65" s="256"/>
      <c r="D65" s="259"/>
      <c r="E65" s="263"/>
      <c r="F65" s="263"/>
      <c r="G65" s="263"/>
      <c r="I65" s="280"/>
      <c r="J65" s="280"/>
      <c r="K65" s="280"/>
      <c r="L65" s="280"/>
      <c r="M65" s="280"/>
      <c r="N65" s="280"/>
      <c r="O65" s="280"/>
      <c r="P65" s="258"/>
    </row>
    <row r="66" spans="1:16" s="28" customFormat="1" ht="15.75" customHeight="1" x14ac:dyDescent="0.2">
      <c r="A66" s="263"/>
      <c r="B66" s="263"/>
      <c r="C66" s="256"/>
      <c r="D66" s="259"/>
      <c r="E66" s="263"/>
      <c r="F66" s="263"/>
      <c r="G66" s="263"/>
      <c r="I66" s="280"/>
      <c r="J66" s="280"/>
      <c r="K66" s="280"/>
      <c r="L66" s="280"/>
      <c r="M66" s="280"/>
      <c r="N66" s="280"/>
      <c r="O66" s="280"/>
      <c r="P66" s="258"/>
    </row>
    <row r="67" spans="1:16" s="28" customFormat="1" ht="15.75" customHeight="1" x14ac:dyDescent="0.2">
      <c r="A67" s="263"/>
      <c r="B67" s="263"/>
      <c r="C67" s="256"/>
      <c r="D67" s="259"/>
      <c r="E67" s="263"/>
      <c r="F67" s="263"/>
      <c r="G67" s="263"/>
      <c r="I67" s="280"/>
      <c r="J67" s="280"/>
      <c r="K67" s="280"/>
      <c r="L67" s="280"/>
      <c r="M67" s="280"/>
      <c r="N67" s="280"/>
      <c r="O67" s="280"/>
      <c r="P67" s="258"/>
    </row>
    <row r="68" spans="1:16" s="28" customFormat="1" ht="15.75" customHeight="1" x14ac:dyDescent="0.2">
      <c r="A68" s="263"/>
      <c r="B68" s="263"/>
      <c r="C68" s="256"/>
      <c r="D68" s="259"/>
      <c r="E68" s="263"/>
      <c r="F68" s="263"/>
      <c r="G68" s="263"/>
      <c r="I68" s="280"/>
      <c r="J68" s="280"/>
      <c r="K68" s="280"/>
      <c r="L68" s="280"/>
      <c r="M68" s="280"/>
      <c r="N68" s="280"/>
      <c r="O68" s="280"/>
      <c r="P68" s="258"/>
    </row>
    <row r="69" spans="1:16" s="28" customFormat="1" ht="12.75" x14ac:dyDescent="0.2">
      <c r="A69" s="255"/>
      <c r="B69" s="255"/>
      <c r="C69" s="255"/>
      <c r="D69" s="255"/>
      <c r="E69" s="255"/>
      <c r="F69" s="255"/>
      <c r="G69" s="255"/>
      <c r="I69" s="280"/>
      <c r="J69" s="280"/>
      <c r="K69" s="280"/>
      <c r="L69" s="280"/>
      <c r="M69" s="280"/>
      <c r="N69" s="280"/>
      <c r="O69" s="280"/>
      <c r="P69" s="254"/>
    </row>
    <row r="70" spans="1:16" s="28" customFormat="1" ht="12.75" x14ac:dyDescent="0.2">
      <c r="A70" s="255"/>
      <c r="B70" s="255"/>
      <c r="C70" s="255"/>
      <c r="D70" s="255"/>
      <c r="E70" s="255"/>
      <c r="F70" s="255"/>
      <c r="G70" s="255"/>
      <c r="I70" s="280"/>
      <c r="J70" s="280"/>
      <c r="K70" s="280"/>
      <c r="L70" s="280"/>
      <c r="M70" s="280"/>
      <c r="N70" s="280"/>
      <c r="O70" s="280"/>
      <c r="P70" s="254"/>
    </row>
    <row r="71" spans="1:16" s="28" customFormat="1" ht="12.75" x14ac:dyDescent="0.2">
      <c r="A71" s="255"/>
      <c r="B71" s="255"/>
      <c r="C71" s="255"/>
      <c r="D71" s="255"/>
      <c r="E71" s="255"/>
      <c r="F71" s="255"/>
      <c r="G71" s="255"/>
      <c r="I71" s="280"/>
      <c r="J71" s="280"/>
      <c r="K71" s="280"/>
      <c r="L71" s="280"/>
      <c r="M71" s="280"/>
      <c r="N71" s="280"/>
      <c r="O71" s="280"/>
      <c r="P71" s="254"/>
    </row>
    <row r="72" spans="1:16" s="28" customFormat="1" ht="12.75" x14ac:dyDescent="0.2">
      <c r="A72" s="255"/>
      <c r="B72" s="255"/>
      <c r="C72" s="255"/>
      <c r="D72" s="255"/>
      <c r="E72" s="255"/>
      <c r="F72" s="255"/>
      <c r="G72" s="255"/>
      <c r="I72" s="280"/>
      <c r="J72" s="280"/>
      <c r="K72" s="280"/>
      <c r="L72" s="280"/>
      <c r="M72" s="280"/>
      <c r="N72" s="280"/>
      <c r="O72" s="280"/>
      <c r="P72" s="254"/>
    </row>
    <row r="73" spans="1:16" s="28" customFormat="1" ht="12.75" x14ac:dyDescent="0.2">
      <c r="A73" s="255"/>
      <c r="B73" s="255"/>
      <c r="C73" s="255"/>
      <c r="D73" s="255"/>
      <c r="E73" s="255"/>
      <c r="F73" s="255"/>
      <c r="G73" s="255"/>
      <c r="I73" s="280"/>
      <c r="J73" s="280"/>
      <c r="K73" s="280"/>
      <c r="L73" s="280"/>
      <c r="M73" s="280"/>
      <c r="N73" s="280"/>
      <c r="O73" s="280"/>
      <c r="P73" s="254"/>
    </row>
    <row r="74" spans="1:16" s="28" customFormat="1" ht="12.75" x14ac:dyDescent="0.2">
      <c r="A74" s="255"/>
      <c r="B74" s="255"/>
      <c r="C74" s="255"/>
      <c r="D74" s="255"/>
      <c r="E74" s="255"/>
      <c r="F74" s="255"/>
      <c r="G74" s="255"/>
      <c r="I74" s="280"/>
      <c r="J74" s="280"/>
      <c r="K74" s="280"/>
      <c r="L74" s="280"/>
      <c r="M74" s="280"/>
      <c r="N74" s="280"/>
      <c r="O74" s="280"/>
      <c r="P74" s="254"/>
    </row>
    <row r="75" spans="1:16" s="28" customFormat="1" ht="12.75" x14ac:dyDescent="0.2">
      <c r="A75" s="255"/>
      <c r="B75" s="255"/>
      <c r="C75" s="255"/>
      <c r="D75" s="255"/>
      <c r="E75" s="255"/>
      <c r="F75" s="255"/>
      <c r="G75" s="255"/>
      <c r="I75" s="280"/>
      <c r="J75" s="280"/>
      <c r="K75" s="280"/>
      <c r="L75" s="280"/>
      <c r="M75" s="280"/>
      <c r="N75" s="280"/>
      <c r="O75" s="280"/>
      <c r="P75" s="254"/>
    </row>
    <row r="76" spans="1:16" s="28" customFormat="1" ht="12.75" x14ac:dyDescent="0.2">
      <c r="A76" s="255"/>
      <c r="B76" s="255"/>
      <c r="C76" s="255"/>
      <c r="D76" s="255"/>
      <c r="E76" s="255"/>
      <c r="F76" s="255"/>
      <c r="G76" s="255"/>
      <c r="I76" s="280"/>
      <c r="J76" s="280"/>
      <c r="K76" s="280"/>
      <c r="L76" s="280"/>
      <c r="M76" s="280"/>
      <c r="N76" s="280"/>
      <c r="O76" s="280"/>
      <c r="P76" s="254"/>
    </row>
    <row r="77" spans="1:16" s="28" customFormat="1" ht="12.75" x14ac:dyDescent="0.2">
      <c r="A77" s="255"/>
      <c r="B77" s="255"/>
      <c r="C77" s="255"/>
      <c r="D77" s="255"/>
      <c r="E77" s="255"/>
      <c r="F77" s="255"/>
      <c r="G77" s="255"/>
      <c r="I77" s="280"/>
      <c r="J77" s="280"/>
      <c r="K77" s="280"/>
      <c r="L77" s="280"/>
      <c r="M77" s="280"/>
      <c r="N77" s="280"/>
      <c r="O77" s="280"/>
      <c r="P77" s="254"/>
    </row>
    <row r="78" spans="1:16" s="28" customFormat="1" ht="12.75" x14ac:dyDescent="0.2">
      <c r="A78" s="255"/>
      <c r="B78" s="255"/>
      <c r="C78" s="255"/>
      <c r="D78" s="255"/>
      <c r="E78" s="255"/>
      <c r="F78" s="255"/>
      <c r="G78" s="255"/>
      <c r="I78" s="280"/>
      <c r="J78" s="280"/>
      <c r="K78" s="280"/>
      <c r="L78" s="280"/>
      <c r="M78" s="280"/>
      <c r="N78" s="280"/>
      <c r="O78" s="280"/>
      <c r="P78" s="254"/>
    </row>
    <row r="79" spans="1:16" s="28" customFormat="1" ht="12.75" x14ac:dyDescent="0.2">
      <c r="A79" s="255"/>
      <c r="B79" s="255"/>
      <c r="C79" s="255"/>
      <c r="D79" s="255"/>
      <c r="E79" s="255"/>
      <c r="F79" s="255"/>
      <c r="G79" s="255"/>
      <c r="I79" s="280"/>
      <c r="J79" s="280"/>
      <c r="K79" s="280"/>
      <c r="L79" s="280"/>
      <c r="M79" s="280"/>
      <c r="N79" s="280"/>
      <c r="O79" s="280"/>
      <c r="P79" s="254"/>
    </row>
    <row r="80" spans="1:16" s="28" customFormat="1" ht="15.75" x14ac:dyDescent="0.25">
      <c r="A80" s="255"/>
      <c r="B80" s="315"/>
      <c r="C80" s="316" t="e">
        <f>B1</f>
        <v>#REF!</v>
      </c>
      <c r="D80" s="315"/>
      <c r="E80" s="315"/>
      <c r="F80" s="315"/>
      <c r="G80" s="315"/>
      <c r="H80" s="317"/>
      <c r="I80" s="318"/>
      <c r="J80" s="318"/>
      <c r="K80" s="318"/>
      <c r="L80" s="318"/>
      <c r="M80" s="318"/>
      <c r="N80" s="318"/>
      <c r="O80" s="318"/>
      <c r="P80" s="254"/>
    </row>
    <row r="81" spans="1:16" ht="15.75" x14ac:dyDescent="0.25">
      <c r="A81" s="246"/>
      <c r="B81" s="303" t="s">
        <v>346</v>
      </c>
      <c r="C81" s="304" t="s">
        <v>369</v>
      </c>
      <c r="D81" s="305" t="s">
        <v>370</v>
      </c>
      <c r="E81" s="306"/>
      <c r="F81" s="306" t="s">
        <v>392</v>
      </c>
      <c r="G81" s="306"/>
      <c r="H81" s="306"/>
      <c r="I81" s="307"/>
      <c r="J81" s="307" t="s">
        <v>391</v>
      </c>
      <c r="K81" s="307"/>
      <c r="L81" s="279"/>
      <c r="M81" s="307"/>
      <c r="N81" s="307" t="s">
        <v>369</v>
      </c>
      <c r="O81" s="307"/>
    </row>
    <row r="82" spans="1:16" ht="15.75" x14ac:dyDescent="0.25">
      <c r="A82" s="246"/>
      <c r="B82" s="266"/>
      <c r="C82" s="264"/>
      <c r="D82" s="266"/>
      <c r="E82" s="267" t="s">
        <v>371</v>
      </c>
      <c r="F82" s="267" t="s">
        <v>372</v>
      </c>
      <c r="G82" s="267" t="s">
        <v>373</v>
      </c>
      <c r="I82" s="281" t="s">
        <v>371</v>
      </c>
      <c r="J82" s="281" t="s">
        <v>372</v>
      </c>
      <c r="K82" s="281" t="s">
        <v>373</v>
      </c>
      <c r="L82" s="278"/>
      <c r="M82" s="293" t="s">
        <v>371</v>
      </c>
      <c r="N82" s="293" t="s">
        <v>372</v>
      </c>
      <c r="O82" s="293" t="s">
        <v>373</v>
      </c>
      <c r="P82" s="254"/>
    </row>
    <row r="83" spans="1:16" ht="14.25" x14ac:dyDescent="0.2">
      <c r="A83" s="246"/>
      <c r="B83" s="275"/>
      <c r="C83" s="276" t="s">
        <v>374</v>
      </c>
      <c r="D83" s="277"/>
      <c r="E83" s="57"/>
      <c r="F83" s="57"/>
      <c r="G83" s="57"/>
      <c r="H83" s="57"/>
      <c r="I83" s="282"/>
      <c r="J83" s="282"/>
      <c r="K83" s="282"/>
      <c r="L83" s="282"/>
      <c r="M83" s="294">
        <f>SUM(M84:M84)</f>
        <v>0</v>
      </c>
      <c r="N83" s="294">
        <f>SUM(N84:N84)</f>
        <v>0</v>
      </c>
      <c r="O83" s="294">
        <f>SUM(O84:O84)</f>
        <v>0</v>
      </c>
    </row>
    <row r="84" spans="1:16" ht="14.25" x14ac:dyDescent="0.2">
      <c r="A84" s="246"/>
      <c r="B84" s="253"/>
      <c r="C84" s="30" t="s">
        <v>394</v>
      </c>
      <c r="D84" s="41"/>
      <c r="E84" s="270"/>
      <c r="F84" s="270"/>
      <c r="G84" s="270"/>
      <c r="H84" s="28"/>
      <c r="I84" s="283"/>
      <c r="J84" s="283"/>
      <c r="K84" s="283"/>
      <c r="L84" s="280"/>
      <c r="M84" s="295">
        <f>E84*I84</f>
        <v>0</v>
      </c>
      <c r="N84" s="295">
        <f t="shared" ref="N84:O84" si="0">F84*J84</f>
        <v>0</v>
      </c>
      <c r="O84" s="295">
        <f t="shared" si="0"/>
        <v>0</v>
      </c>
    </row>
    <row r="85" spans="1:16" ht="14.25" x14ac:dyDescent="0.2">
      <c r="A85" s="246"/>
      <c r="B85" s="275"/>
      <c r="C85" s="276" t="s">
        <v>378</v>
      </c>
      <c r="D85" s="277"/>
      <c r="E85" s="57"/>
      <c r="F85" s="57"/>
      <c r="G85" s="57"/>
      <c r="H85" s="57"/>
      <c r="I85" s="282"/>
      <c r="J85" s="282"/>
      <c r="K85" s="282"/>
      <c r="L85" s="282"/>
      <c r="M85" s="296"/>
      <c r="N85" s="296"/>
      <c r="O85" s="296"/>
    </row>
    <row r="86" spans="1:16" ht="14.25" x14ac:dyDescent="0.2">
      <c r="A86" s="246"/>
      <c r="B86" s="268"/>
      <c r="C86" s="274" t="s">
        <v>375</v>
      </c>
      <c r="D86" s="269"/>
      <c r="E86" s="61"/>
      <c r="F86" s="61"/>
      <c r="G86" s="61"/>
      <c r="H86" s="61"/>
      <c r="I86" s="284"/>
      <c r="J86" s="284"/>
      <c r="K86" s="284"/>
      <c r="L86" s="284"/>
      <c r="M86" s="298">
        <f>SUM(M87:M87)</f>
        <v>0</v>
      </c>
      <c r="N86" s="298">
        <f>SUM(N87:N87)</f>
        <v>0</v>
      </c>
      <c r="O86" s="298">
        <f>SUM(O87:O87)</f>
        <v>0</v>
      </c>
    </row>
    <row r="87" spans="1:16" ht="14.25" x14ac:dyDescent="0.2">
      <c r="B87" s="253"/>
      <c r="C87" s="30" t="s">
        <v>394</v>
      </c>
      <c r="D87" s="41"/>
      <c r="E87" s="270"/>
      <c r="F87" s="270"/>
      <c r="G87" s="270"/>
      <c r="H87" s="28"/>
      <c r="I87" s="283"/>
      <c r="J87" s="283"/>
      <c r="K87" s="283"/>
      <c r="L87" s="280"/>
      <c r="M87" s="285">
        <f>E87*I87</f>
        <v>0</v>
      </c>
      <c r="N87" s="285">
        <f t="shared" ref="N87:O87" si="1">F87*J87</f>
        <v>0</v>
      </c>
      <c r="O87" s="285">
        <f t="shared" si="1"/>
        <v>0</v>
      </c>
    </row>
    <row r="88" spans="1:16" ht="14.25" x14ac:dyDescent="0.2">
      <c r="B88" s="268"/>
      <c r="C88" s="274" t="s">
        <v>376</v>
      </c>
      <c r="D88" s="269"/>
      <c r="E88" s="61"/>
      <c r="F88" s="61"/>
      <c r="G88" s="61"/>
      <c r="H88" s="61"/>
      <c r="I88" s="284"/>
      <c r="J88" s="284"/>
      <c r="K88" s="284"/>
      <c r="L88" s="284"/>
      <c r="M88" s="298">
        <f>SUM(M89:M89)</f>
        <v>0</v>
      </c>
      <c r="N88" s="298">
        <f>SUM(N89:N89)</f>
        <v>0</v>
      </c>
      <c r="O88" s="298">
        <f>SUM(O89:O89)</f>
        <v>0</v>
      </c>
    </row>
    <row r="89" spans="1:16" ht="14.25" x14ac:dyDescent="0.2">
      <c r="B89" s="253"/>
      <c r="C89" s="30" t="s">
        <v>394</v>
      </c>
      <c r="D89" s="41"/>
      <c r="E89" s="270"/>
      <c r="F89" s="270"/>
      <c r="G89" s="270"/>
      <c r="H89" s="28"/>
      <c r="I89" s="283"/>
      <c r="J89" s="283"/>
      <c r="K89" s="283"/>
      <c r="L89" s="280"/>
      <c r="M89" s="285">
        <f>E89*I89</f>
        <v>0</v>
      </c>
      <c r="N89" s="285">
        <f t="shared" ref="N89" si="2">F89*J89</f>
        <v>0</v>
      </c>
      <c r="O89" s="285">
        <f>G89*K89</f>
        <v>0</v>
      </c>
    </row>
    <row r="90" spans="1:16" ht="14.25" x14ac:dyDescent="0.2">
      <c r="B90" s="268"/>
      <c r="C90" s="274" t="s">
        <v>379</v>
      </c>
      <c r="D90" s="269"/>
      <c r="E90" s="61"/>
      <c r="F90" s="61"/>
      <c r="G90" s="61"/>
      <c r="H90" s="61"/>
      <c r="I90" s="284"/>
      <c r="J90" s="284"/>
      <c r="K90" s="284"/>
      <c r="L90" s="284"/>
      <c r="M90" s="298">
        <f>SUM(M91:M91)</f>
        <v>0</v>
      </c>
      <c r="N90" s="298">
        <f>SUM(N91:N91)</f>
        <v>0</v>
      </c>
      <c r="O90" s="298">
        <f>SUM(O91:O91)</f>
        <v>0</v>
      </c>
    </row>
    <row r="91" spans="1:16" ht="14.25" x14ac:dyDescent="0.2">
      <c r="B91" s="253"/>
      <c r="C91" s="30" t="s">
        <v>394</v>
      </c>
      <c r="D91" s="41"/>
      <c r="E91" s="270"/>
      <c r="F91" s="270"/>
      <c r="G91" s="270"/>
      <c r="H91" s="28"/>
      <c r="I91" s="283"/>
      <c r="J91" s="283"/>
      <c r="K91" s="283"/>
      <c r="L91" s="280"/>
      <c r="M91" s="285">
        <f>E91*I91</f>
        <v>0</v>
      </c>
      <c r="N91" s="285">
        <f t="shared" ref="N91" si="3">F91*J91</f>
        <v>0</v>
      </c>
      <c r="O91" s="285">
        <f>G91*K91</f>
        <v>0</v>
      </c>
    </row>
    <row r="92" spans="1:16" ht="14.25" x14ac:dyDescent="0.2">
      <c r="B92" s="271"/>
      <c r="C92" s="274" t="s">
        <v>380</v>
      </c>
      <c r="D92" s="272"/>
      <c r="E92" s="61"/>
      <c r="F92" s="61"/>
      <c r="G92" s="61"/>
      <c r="H92" s="61"/>
      <c r="I92" s="284"/>
      <c r="J92" s="284"/>
      <c r="K92" s="284"/>
      <c r="L92" s="284"/>
      <c r="M92" s="298">
        <f>SUM(M93:M93)</f>
        <v>0</v>
      </c>
      <c r="N92" s="298">
        <f>SUM(N93:N93)</f>
        <v>0</v>
      </c>
      <c r="O92" s="298">
        <f>SUM(O93:O93)</f>
        <v>0</v>
      </c>
    </row>
    <row r="93" spans="1:16" ht="14.25" x14ac:dyDescent="0.2">
      <c r="B93" s="253"/>
      <c r="C93" s="30" t="s">
        <v>394</v>
      </c>
      <c r="D93" s="41"/>
      <c r="E93" s="270"/>
      <c r="F93" s="270"/>
      <c r="G93" s="270"/>
      <c r="H93" s="28"/>
      <c r="I93" s="283"/>
      <c r="J93" s="283"/>
      <c r="K93" s="283"/>
      <c r="L93" s="280"/>
      <c r="M93" s="285">
        <f>E93*I93</f>
        <v>0</v>
      </c>
      <c r="N93" s="285">
        <f t="shared" ref="N93" si="4">F93*J93</f>
        <v>0</v>
      </c>
      <c r="O93" s="285">
        <f>G93*K93</f>
        <v>0</v>
      </c>
    </row>
    <row r="94" spans="1:16" ht="14.25" x14ac:dyDescent="0.2">
      <c r="B94" s="271"/>
      <c r="C94" s="274" t="s">
        <v>381</v>
      </c>
      <c r="D94" s="272"/>
      <c r="E94" s="61"/>
      <c r="F94" s="61"/>
      <c r="G94" s="61"/>
      <c r="H94" s="61"/>
      <c r="I94" s="284"/>
      <c r="J94" s="284"/>
      <c r="K94" s="284"/>
      <c r="L94" s="284"/>
      <c r="M94" s="298">
        <f>SUM(M95:M95)</f>
        <v>0</v>
      </c>
      <c r="N94" s="298">
        <f>SUM(N95:N95)</f>
        <v>0</v>
      </c>
      <c r="O94" s="298">
        <f>SUM(O95:O95)</f>
        <v>0</v>
      </c>
    </row>
    <row r="95" spans="1:16" ht="14.25" x14ac:dyDescent="0.2">
      <c r="B95" s="253"/>
      <c r="C95" s="30" t="s">
        <v>394</v>
      </c>
      <c r="D95" s="41"/>
      <c r="E95" s="270"/>
      <c r="F95" s="270"/>
      <c r="G95" s="270"/>
      <c r="H95" s="28"/>
      <c r="I95" s="283"/>
      <c r="J95" s="283"/>
      <c r="K95" s="283"/>
      <c r="L95" s="280"/>
      <c r="M95" s="285">
        <f>E95*I95</f>
        <v>0</v>
      </c>
      <c r="N95" s="285">
        <f>F95*J95</f>
        <v>0</v>
      </c>
      <c r="O95" s="285">
        <f>G95*K95</f>
        <v>0</v>
      </c>
    </row>
    <row r="96" spans="1:16" ht="14.25" x14ac:dyDescent="0.2">
      <c r="B96" s="268"/>
      <c r="C96" s="274" t="s">
        <v>377</v>
      </c>
      <c r="D96" s="269"/>
      <c r="E96" s="61"/>
      <c r="F96" s="61"/>
      <c r="G96" s="61"/>
      <c r="H96" s="61"/>
      <c r="I96" s="284"/>
      <c r="J96" s="284"/>
      <c r="K96" s="284"/>
      <c r="L96" s="284"/>
      <c r="M96" s="298">
        <f>SUM(M97:M97)</f>
        <v>0</v>
      </c>
      <c r="N96" s="298">
        <f>SUM(N97:N97)</f>
        <v>0</v>
      </c>
      <c r="O96" s="298">
        <f>SUM(O97:O97)</f>
        <v>0</v>
      </c>
    </row>
    <row r="97" spans="1:15" ht="14.25" x14ac:dyDescent="0.2">
      <c r="B97" s="253"/>
      <c r="C97" s="30" t="s">
        <v>394</v>
      </c>
      <c r="D97" s="41"/>
      <c r="E97" s="270"/>
      <c r="F97" s="270"/>
      <c r="G97" s="270"/>
      <c r="H97" s="28"/>
      <c r="I97" s="283"/>
      <c r="J97" s="283"/>
      <c r="K97" s="283"/>
      <c r="L97" s="280"/>
      <c r="M97" s="285">
        <f>E97*I97</f>
        <v>0</v>
      </c>
      <c r="N97" s="285">
        <f t="shared" ref="N97" si="5">F97*J97</f>
        <v>0</v>
      </c>
      <c r="O97" s="285">
        <f>G97*K97</f>
        <v>0</v>
      </c>
    </row>
    <row r="98" spans="1:15" ht="14.25" x14ac:dyDescent="0.2">
      <c r="B98" s="268"/>
      <c r="C98" s="274" t="s">
        <v>382</v>
      </c>
      <c r="D98" s="269"/>
      <c r="E98" s="61"/>
      <c r="F98" s="61"/>
      <c r="G98" s="61"/>
      <c r="H98" s="61"/>
      <c r="I98" s="284"/>
      <c r="J98" s="284"/>
      <c r="K98" s="284"/>
      <c r="L98" s="284"/>
      <c r="M98" s="298">
        <f>SUM(M99:M99)</f>
        <v>0</v>
      </c>
      <c r="N98" s="298">
        <f>SUM(N99:N99)</f>
        <v>0</v>
      </c>
      <c r="O98" s="298">
        <f>SUM(O99:O99)</f>
        <v>0</v>
      </c>
    </row>
    <row r="99" spans="1:15" ht="14.25" x14ac:dyDescent="0.2">
      <c r="B99" s="253"/>
      <c r="C99" s="30" t="s">
        <v>394</v>
      </c>
      <c r="D99" s="41"/>
      <c r="E99" s="270"/>
      <c r="F99" s="270"/>
      <c r="G99" s="270"/>
      <c r="H99" s="28"/>
      <c r="I99" s="283"/>
      <c r="J99" s="283"/>
      <c r="K99" s="283"/>
      <c r="L99" s="280"/>
      <c r="M99" s="285">
        <f>E99*I99</f>
        <v>0</v>
      </c>
      <c r="N99" s="285">
        <f t="shared" ref="N99" si="6">F99*J99</f>
        <v>0</v>
      </c>
      <c r="O99" s="285">
        <f>G99*K99</f>
        <v>0</v>
      </c>
    </row>
    <row r="100" spans="1:15" ht="14.25" x14ac:dyDescent="0.2">
      <c r="A100" s="246"/>
      <c r="B100" s="275"/>
      <c r="C100" s="276" t="s">
        <v>383</v>
      </c>
      <c r="D100" s="277"/>
      <c r="E100" s="57"/>
      <c r="F100" s="57"/>
      <c r="G100" s="57"/>
      <c r="H100" s="57"/>
      <c r="I100" s="282"/>
      <c r="J100" s="282"/>
      <c r="K100" s="282"/>
      <c r="L100" s="282"/>
      <c r="M100" s="296"/>
      <c r="N100" s="296"/>
      <c r="O100" s="296"/>
    </row>
    <row r="101" spans="1:15" ht="14.25" x14ac:dyDescent="0.2">
      <c r="B101" s="271"/>
      <c r="C101" s="274" t="s">
        <v>384</v>
      </c>
      <c r="D101" s="272"/>
      <c r="E101" s="61"/>
      <c r="F101" s="61"/>
      <c r="G101" s="61"/>
      <c r="H101" s="61"/>
      <c r="I101" s="284"/>
      <c r="J101" s="284"/>
      <c r="K101" s="284"/>
      <c r="L101" s="284"/>
      <c r="M101" s="298">
        <f>SUM(M102:M102)</f>
        <v>0</v>
      </c>
      <c r="N101" s="298">
        <f>SUM(N102:N102)</f>
        <v>0</v>
      </c>
      <c r="O101" s="298">
        <f>SUM(O102:O102)</f>
        <v>0</v>
      </c>
    </row>
    <row r="102" spans="1:15" ht="14.25" x14ac:dyDescent="0.2">
      <c r="B102" s="253"/>
      <c r="C102" s="30" t="s">
        <v>394</v>
      </c>
      <c r="D102" s="41"/>
      <c r="E102" s="270"/>
      <c r="F102" s="270"/>
      <c r="G102" s="270"/>
      <c r="H102" s="28"/>
      <c r="I102" s="283"/>
      <c r="J102" s="283"/>
      <c r="K102" s="283"/>
      <c r="L102" s="280"/>
      <c r="M102" s="285">
        <f>E102*I102</f>
        <v>0</v>
      </c>
      <c r="N102" s="285">
        <f t="shared" ref="N102" si="7">F102*J102</f>
        <v>0</v>
      </c>
      <c r="O102" s="285">
        <f>G102*K102</f>
        <v>0</v>
      </c>
    </row>
    <row r="103" spans="1:15" ht="14.25" x14ac:dyDescent="0.2">
      <c r="B103" s="271"/>
      <c r="C103" s="274" t="s">
        <v>385</v>
      </c>
      <c r="D103" s="272"/>
      <c r="E103" s="61"/>
      <c r="F103" s="61"/>
      <c r="G103" s="61"/>
      <c r="H103" s="61"/>
      <c r="I103" s="284"/>
      <c r="J103" s="284"/>
      <c r="K103" s="284"/>
      <c r="L103" s="284"/>
      <c r="M103" s="298">
        <f>SUM(M104:M104)</f>
        <v>0</v>
      </c>
      <c r="N103" s="298">
        <f>SUM(N104:N104)</f>
        <v>0</v>
      </c>
      <c r="O103" s="298">
        <f>SUM(O104:O104)</f>
        <v>0</v>
      </c>
    </row>
    <row r="104" spans="1:15" ht="14.25" x14ac:dyDescent="0.2">
      <c r="B104" s="253"/>
      <c r="C104" s="30" t="s">
        <v>394</v>
      </c>
      <c r="D104" s="41"/>
      <c r="E104" s="270"/>
      <c r="F104" s="270"/>
      <c r="G104" s="270"/>
      <c r="H104" s="28"/>
      <c r="I104" s="283"/>
      <c r="J104" s="283"/>
      <c r="K104" s="283"/>
      <c r="L104" s="280"/>
      <c r="M104" s="285">
        <f>E104*I104</f>
        <v>0</v>
      </c>
      <c r="N104" s="285">
        <f t="shared" ref="N104" si="8">F104*J104</f>
        <v>0</v>
      </c>
      <c r="O104" s="285">
        <f>G104*K104</f>
        <v>0</v>
      </c>
    </row>
    <row r="105" spans="1:15" ht="14.25" x14ac:dyDescent="0.2">
      <c r="A105" s="246"/>
      <c r="B105" s="288"/>
      <c r="C105" s="289" t="s">
        <v>386</v>
      </c>
      <c r="D105" s="290"/>
      <c r="E105" s="291"/>
      <c r="F105" s="291"/>
      <c r="G105" s="291"/>
      <c r="H105" s="291"/>
      <c r="I105" s="292"/>
      <c r="J105" s="292"/>
      <c r="K105" s="292"/>
      <c r="L105" s="292"/>
      <c r="M105" s="297"/>
      <c r="N105" s="297"/>
      <c r="O105" s="297"/>
    </row>
    <row r="106" spans="1:15" ht="14.25" x14ac:dyDescent="0.2">
      <c r="B106" s="271"/>
      <c r="C106" s="274" t="s">
        <v>387</v>
      </c>
      <c r="D106" s="272"/>
      <c r="E106" s="61"/>
      <c r="F106" s="61"/>
      <c r="G106" s="61"/>
      <c r="H106" s="61"/>
      <c r="I106" s="284"/>
      <c r="J106" s="284"/>
      <c r="K106" s="284"/>
      <c r="L106" s="284"/>
      <c r="M106" s="298">
        <f>SUM(M107:M107)</f>
        <v>0</v>
      </c>
      <c r="N106" s="298">
        <f>SUM(N107:N107)</f>
        <v>0</v>
      </c>
      <c r="O106" s="298">
        <f>SUM(O107:O107)</f>
        <v>0</v>
      </c>
    </row>
    <row r="107" spans="1:15" ht="14.25" x14ac:dyDescent="0.2">
      <c r="B107" s="253"/>
      <c r="C107" s="30" t="s">
        <v>394</v>
      </c>
      <c r="D107" s="41"/>
      <c r="E107" s="270"/>
      <c r="F107" s="270"/>
      <c r="G107" s="270"/>
      <c r="H107" s="28"/>
      <c r="I107" s="283"/>
      <c r="J107" s="283"/>
      <c r="K107" s="283"/>
      <c r="L107" s="280"/>
      <c r="M107" s="285">
        <f>E107*I107</f>
        <v>0</v>
      </c>
      <c r="N107" s="285">
        <f t="shared" ref="N107" si="9">F107*J107</f>
        <v>0</v>
      </c>
      <c r="O107" s="285">
        <f>G107*K107</f>
        <v>0</v>
      </c>
    </row>
    <row r="108" spans="1:15" ht="14.25" x14ac:dyDescent="0.2">
      <c r="B108" s="271"/>
      <c r="C108" s="274" t="s">
        <v>388</v>
      </c>
      <c r="D108" s="272"/>
      <c r="E108" s="61"/>
      <c r="F108" s="61"/>
      <c r="G108" s="61"/>
      <c r="H108" s="61"/>
      <c r="I108" s="284"/>
      <c r="J108" s="284"/>
      <c r="K108" s="284"/>
      <c r="L108" s="284"/>
      <c r="M108" s="298">
        <f>SUM(M109:M109)</f>
        <v>0</v>
      </c>
      <c r="N108" s="298">
        <f>SUM(N109:N109)</f>
        <v>0</v>
      </c>
      <c r="O108" s="298">
        <f>SUM(O109:O109)</f>
        <v>0</v>
      </c>
    </row>
    <row r="109" spans="1:15" ht="14.25" x14ac:dyDescent="0.2">
      <c r="B109" s="253"/>
      <c r="C109" s="30" t="s">
        <v>394</v>
      </c>
      <c r="D109" s="41"/>
      <c r="E109" s="270"/>
      <c r="F109" s="270"/>
      <c r="G109" s="270"/>
      <c r="H109" s="28"/>
      <c r="I109" s="283"/>
      <c r="J109" s="283"/>
      <c r="K109" s="283"/>
      <c r="L109" s="280"/>
      <c r="M109" s="285">
        <f>E109*I109</f>
        <v>0</v>
      </c>
      <c r="N109" s="285">
        <f t="shared" ref="N109" si="10">F109*J109</f>
        <v>0</v>
      </c>
      <c r="O109" s="285">
        <f>G109*K109</f>
        <v>0</v>
      </c>
    </row>
    <row r="110" spans="1:15" ht="14.25" x14ac:dyDescent="0.2">
      <c r="B110" s="273"/>
      <c r="C110" s="3"/>
      <c r="D110" s="3"/>
      <c r="E110" s="3"/>
      <c r="I110" s="278"/>
      <c r="J110" s="278"/>
      <c r="K110" s="278"/>
      <c r="L110" s="278"/>
      <c r="M110" s="278"/>
      <c r="N110" s="278"/>
      <c r="O110" s="278"/>
    </row>
    <row r="111" spans="1:15" ht="15.75" thickBot="1" x14ac:dyDescent="0.3">
      <c r="A111" s="246"/>
      <c r="B111" s="273"/>
      <c r="C111" s="3"/>
      <c r="D111" s="3"/>
      <c r="E111" s="3"/>
      <c r="I111" s="278"/>
      <c r="J111" s="278"/>
      <c r="K111" s="278"/>
      <c r="L111" s="286" t="s">
        <v>390</v>
      </c>
      <c r="M111" s="287">
        <f>SUM(M84:M104)/2</f>
        <v>0</v>
      </c>
      <c r="N111" s="287">
        <f>SUM(N84:N104)/2</f>
        <v>0</v>
      </c>
      <c r="O111" s="287">
        <f>SUM(O84:O104)/2</f>
        <v>0</v>
      </c>
    </row>
    <row r="112" spans="1:15" ht="16.5" thickTop="1" thickBot="1" x14ac:dyDescent="0.3">
      <c r="B112" s="273"/>
      <c r="C112" s="3"/>
      <c r="D112" s="3"/>
      <c r="E112" s="3"/>
      <c r="I112" s="278"/>
      <c r="J112" s="278"/>
      <c r="K112" s="278"/>
      <c r="L112" s="286" t="s">
        <v>389</v>
      </c>
      <c r="M112" s="287">
        <f>SUM(M106:M109)/2</f>
        <v>0</v>
      </c>
      <c r="N112" s="287">
        <f>SUM(N106:N109)/2</f>
        <v>0</v>
      </c>
      <c r="O112" s="287">
        <f>SUM(O106:O109)/2</f>
        <v>0</v>
      </c>
    </row>
    <row r="113" spans="1:16" ht="15.75" thickTop="1" x14ac:dyDescent="0.25"/>
    <row r="114" spans="1:16" s="28" customFormat="1" ht="15.75" x14ac:dyDescent="0.25">
      <c r="A114" s="263"/>
      <c r="B114" s="315"/>
      <c r="C114" s="316">
        <f>B35</f>
        <v>0</v>
      </c>
      <c r="D114" s="315"/>
      <c r="E114" s="315"/>
      <c r="F114" s="315"/>
      <c r="G114" s="315"/>
      <c r="H114" s="317"/>
      <c r="I114" s="318"/>
      <c r="J114" s="318"/>
      <c r="K114" s="318"/>
      <c r="L114" s="318"/>
      <c r="M114" s="318"/>
      <c r="N114" s="318"/>
      <c r="O114" s="318"/>
      <c r="P114" s="254"/>
    </row>
    <row r="115" spans="1:16" ht="15.75" x14ac:dyDescent="0.25">
      <c r="A115" s="246"/>
      <c r="B115" s="303" t="s">
        <v>346</v>
      </c>
      <c r="C115" s="304" t="s">
        <v>369</v>
      </c>
      <c r="D115" s="305" t="s">
        <v>370</v>
      </c>
      <c r="E115" s="306"/>
      <c r="F115" s="306" t="s">
        <v>392</v>
      </c>
      <c r="G115" s="306"/>
      <c r="H115" s="306"/>
      <c r="I115" s="307"/>
      <c r="J115" s="307" t="s">
        <v>391</v>
      </c>
      <c r="K115" s="307"/>
      <c r="L115" s="279"/>
      <c r="M115" s="307"/>
      <c r="N115" s="307" t="s">
        <v>369</v>
      </c>
      <c r="O115" s="307"/>
    </row>
    <row r="116" spans="1:16" ht="15.75" x14ac:dyDescent="0.25">
      <c r="A116" s="246"/>
      <c r="B116" s="266"/>
      <c r="C116" s="264"/>
      <c r="D116" s="266"/>
      <c r="E116" s="267" t="s">
        <v>371</v>
      </c>
      <c r="F116" s="267" t="s">
        <v>372</v>
      </c>
      <c r="G116" s="267" t="s">
        <v>373</v>
      </c>
      <c r="I116" s="281" t="s">
        <v>371</v>
      </c>
      <c r="J116" s="281" t="s">
        <v>372</v>
      </c>
      <c r="K116" s="281" t="s">
        <v>373</v>
      </c>
      <c r="L116" s="278"/>
      <c r="M116" s="293" t="s">
        <v>371</v>
      </c>
      <c r="N116" s="293" t="s">
        <v>372</v>
      </c>
      <c r="O116" s="293" t="s">
        <v>373</v>
      </c>
      <c r="P116" s="254"/>
    </row>
    <row r="117" spans="1:16" ht="14.25" x14ac:dyDescent="0.2">
      <c r="A117" s="246"/>
      <c r="B117" s="275"/>
      <c r="C117" s="276" t="s">
        <v>374</v>
      </c>
      <c r="D117" s="277"/>
      <c r="E117" s="57"/>
      <c r="F117" s="57"/>
      <c r="G117" s="57"/>
      <c r="H117" s="57"/>
      <c r="I117" s="282"/>
      <c r="J117" s="282"/>
      <c r="K117" s="282"/>
      <c r="L117" s="282"/>
      <c r="M117" s="294">
        <f>SUM(M118:M118)</f>
        <v>0</v>
      </c>
      <c r="N117" s="294">
        <f>SUM(N118:N118)</f>
        <v>0</v>
      </c>
      <c r="O117" s="294">
        <f>SUM(O118:O118)</f>
        <v>0</v>
      </c>
    </row>
    <row r="118" spans="1:16" ht="14.25" x14ac:dyDescent="0.2">
      <c r="A118" s="246"/>
      <c r="B118" s="253"/>
      <c r="C118" s="30" t="s">
        <v>394</v>
      </c>
      <c r="D118" s="41"/>
      <c r="E118" s="270"/>
      <c r="F118" s="270"/>
      <c r="G118" s="270"/>
      <c r="H118" s="28"/>
      <c r="I118" s="283"/>
      <c r="J118" s="283"/>
      <c r="K118" s="283"/>
      <c r="L118" s="280"/>
      <c r="M118" s="295">
        <f>E118*I118</f>
        <v>0</v>
      </c>
      <c r="N118" s="295">
        <f t="shared" ref="N118" si="11">F118*J118</f>
        <v>0</v>
      </c>
      <c r="O118" s="295">
        <f t="shared" ref="O118" si="12">G118*K118</f>
        <v>0</v>
      </c>
    </row>
    <row r="119" spans="1:16" ht="14.25" x14ac:dyDescent="0.2">
      <c r="A119" s="246"/>
      <c r="B119" s="275"/>
      <c r="C119" s="276" t="s">
        <v>378</v>
      </c>
      <c r="D119" s="277"/>
      <c r="E119" s="57"/>
      <c r="F119" s="57"/>
      <c r="G119" s="57"/>
      <c r="H119" s="57"/>
      <c r="I119" s="282"/>
      <c r="J119" s="282"/>
      <c r="K119" s="282"/>
      <c r="L119" s="282"/>
      <c r="M119" s="296"/>
      <c r="N119" s="296"/>
      <c r="O119" s="296"/>
    </row>
    <row r="120" spans="1:16" ht="14.25" x14ac:dyDescent="0.2">
      <c r="A120" s="246"/>
      <c r="B120" s="268"/>
      <c r="C120" s="274" t="s">
        <v>375</v>
      </c>
      <c r="D120" s="269"/>
      <c r="E120" s="61"/>
      <c r="F120" s="61"/>
      <c r="G120" s="61"/>
      <c r="H120" s="61"/>
      <c r="I120" s="284"/>
      <c r="J120" s="284"/>
      <c r="K120" s="284"/>
      <c r="L120" s="284"/>
      <c r="M120" s="298">
        <f>SUM(M121:M121)</f>
        <v>0</v>
      </c>
      <c r="N120" s="298">
        <f>SUM(N121:N121)</f>
        <v>0</v>
      </c>
      <c r="O120" s="298">
        <f>SUM(O121:O121)</f>
        <v>0</v>
      </c>
    </row>
    <row r="121" spans="1:16" ht="14.25" x14ac:dyDescent="0.2">
      <c r="B121" s="253"/>
      <c r="C121" s="30" t="s">
        <v>394</v>
      </c>
      <c r="D121" s="41"/>
      <c r="E121" s="270"/>
      <c r="F121" s="270"/>
      <c r="G121" s="270"/>
      <c r="H121" s="28"/>
      <c r="I121" s="283"/>
      <c r="J121" s="283"/>
      <c r="K121" s="283"/>
      <c r="L121" s="280"/>
      <c r="M121" s="285">
        <f>E121*I121</f>
        <v>0</v>
      </c>
      <c r="N121" s="285">
        <f t="shared" ref="N121" si="13">F121*J121</f>
        <v>0</v>
      </c>
      <c r="O121" s="285">
        <f t="shared" ref="O121" si="14">G121*K121</f>
        <v>0</v>
      </c>
    </row>
    <row r="122" spans="1:16" ht="14.25" x14ac:dyDescent="0.2">
      <c r="B122" s="268"/>
      <c r="C122" s="274" t="s">
        <v>376</v>
      </c>
      <c r="D122" s="269"/>
      <c r="E122" s="61"/>
      <c r="F122" s="61"/>
      <c r="G122" s="61"/>
      <c r="H122" s="61"/>
      <c r="I122" s="284"/>
      <c r="J122" s="284"/>
      <c r="K122" s="284"/>
      <c r="L122" s="284"/>
      <c r="M122" s="298">
        <f>SUM(M123:M123)</f>
        <v>0</v>
      </c>
      <c r="N122" s="298">
        <f>SUM(N123:N123)</f>
        <v>0</v>
      </c>
      <c r="O122" s="298">
        <f>SUM(O123:O123)</f>
        <v>0</v>
      </c>
    </row>
    <row r="123" spans="1:16" ht="14.25" x14ac:dyDescent="0.2">
      <c r="B123" s="253"/>
      <c r="C123" s="30" t="s">
        <v>394</v>
      </c>
      <c r="D123" s="41"/>
      <c r="E123" s="270"/>
      <c r="F123" s="270"/>
      <c r="G123" s="270"/>
      <c r="H123" s="28"/>
      <c r="I123" s="283"/>
      <c r="J123" s="283"/>
      <c r="K123" s="283"/>
      <c r="L123" s="280"/>
      <c r="M123" s="285">
        <f>E123*I123</f>
        <v>0</v>
      </c>
      <c r="N123" s="285">
        <f t="shared" ref="N123" si="15">F123*J123</f>
        <v>0</v>
      </c>
      <c r="O123" s="285">
        <f>G123*K123</f>
        <v>0</v>
      </c>
    </row>
    <row r="124" spans="1:16" ht="14.25" x14ac:dyDescent="0.2">
      <c r="B124" s="268"/>
      <c r="C124" s="274" t="s">
        <v>379</v>
      </c>
      <c r="D124" s="269"/>
      <c r="E124" s="61"/>
      <c r="F124" s="61"/>
      <c r="G124" s="61"/>
      <c r="H124" s="61"/>
      <c r="I124" s="284"/>
      <c r="J124" s="284"/>
      <c r="K124" s="284"/>
      <c r="L124" s="284"/>
      <c r="M124" s="298">
        <f>SUM(M125:M125)</f>
        <v>0</v>
      </c>
      <c r="N124" s="298">
        <f>SUM(N125:N125)</f>
        <v>0</v>
      </c>
      <c r="O124" s="298">
        <f>SUM(O125:O125)</f>
        <v>0</v>
      </c>
    </row>
    <row r="125" spans="1:16" ht="14.25" x14ac:dyDescent="0.2">
      <c r="B125" s="253"/>
      <c r="C125" s="30" t="s">
        <v>394</v>
      </c>
      <c r="D125" s="41"/>
      <c r="E125" s="270"/>
      <c r="F125" s="270"/>
      <c r="G125" s="270"/>
      <c r="H125" s="28"/>
      <c r="I125" s="283"/>
      <c r="J125" s="283"/>
      <c r="K125" s="283"/>
      <c r="L125" s="280"/>
      <c r="M125" s="285">
        <f>E125*I125</f>
        <v>0</v>
      </c>
      <c r="N125" s="285">
        <f t="shared" ref="N125" si="16">F125*J125</f>
        <v>0</v>
      </c>
      <c r="O125" s="285">
        <f>G125*K125</f>
        <v>0</v>
      </c>
    </row>
    <row r="126" spans="1:16" ht="14.25" x14ac:dyDescent="0.2">
      <c r="B126" s="271"/>
      <c r="C126" s="274" t="s">
        <v>380</v>
      </c>
      <c r="D126" s="272"/>
      <c r="E126" s="61"/>
      <c r="F126" s="61"/>
      <c r="G126" s="61"/>
      <c r="H126" s="61"/>
      <c r="I126" s="284"/>
      <c r="J126" s="284"/>
      <c r="K126" s="284"/>
      <c r="L126" s="284"/>
      <c r="M126" s="298">
        <f>SUM(M127:M127)</f>
        <v>0</v>
      </c>
      <c r="N126" s="298">
        <f>SUM(N127:N127)</f>
        <v>0</v>
      </c>
      <c r="O126" s="298">
        <f>SUM(O127:O127)</f>
        <v>0</v>
      </c>
    </row>
    <row r="127" spans="1:16" ht="14.25" x14ac:dyDescent="0.2">
      <c r="B127" s="253"/>
      <c r="C127" s="30" t="s">
        <v>394</v>
      </c>
      <c r="D127" s="41"/>
      <c r="E127" s="270"/>
      <c r="F127" s="270"/>
      <c r="G127" s="270"/>
      <c r="H127" s="28"/>
      <c r="I127" s="283"/>
      <c r="J127" s="283"/>
      <c r="K127" s="283"/>
      <c r="L127" s="280"/>
      <c r="M127" s="285">
        <f>E127*I127</f>
        <v>0</v>
      </c>
      <c r="N127" s="285">
        <f t="shared" ref="N127" si="17">F127*J127</f>
        <v>0</v>
      </c>
      <c r="O127" s="285">
        <f>G127*K127</f>
        <v>0</v>
      </c>
    </row>
    <row r="128" spans="1:16" ht="14.25" x14ac:dyDescent="0.2">
      <c r="B128" s="271"/>
      <c r="C128" s="274" t="s">
        <v>381</v>
      </c>
      <c r="D128" s="272"/>
      <c r="E128" s="61"/>
      <c r="F128" s="61"/>
      <c r="G128" s="61"/>
      <c r="H128" s="61"/>
      <c r="I128" s="284"/>
      <c r="J128" s="284"/>
      <c r="K128" s="284"/>
      <c r="L128" s="284"/>
      <c r="M128" s="298">
        <f>SUM(M129:M129)</f>
        <v>0</v>
      </c>
      <c r="N128" s="298">
        <f>SUM(N129:N129)</f>
        <v>0</v>
      </c>
      <c r="O128" s="298">
        <f>SUM(O129:O129)</f>
        <v>0</v>
      </c>
    </row>
    <row r="129" spans="1:15" ht="14.25" x14ac:dyDescent="0.2">
      <c r="B129" s="253"/>
      <c r="C129" s="30" t="s">
        <v>394</v>
      </c>
      <c r="D129" s="41"/>
      <c r="E129" s="270"/>
      <c r="F129" s="270"/>
      <c r="G129" s="270"/>
      <c r="H129" s="28"/>
      <c r="I129" s="283"/>
      <c r="J129" s="283"/>
      <c r="K129" s="283"/>
      <c r="L129" s="280"/>
      <c r="M129" s="285">
        <f>E129*I129</f>
        <v>0</v>
      </c>
      <c r="N129" s="285">
        <f>F129*J129</f>
        <v>0</v>
      </c>
      <c r="O129" s="285">
        <f>G129*K129</f>
        <v>0</v>
      </c>
    </row>
    <row r="130" spans="1:15" ht="14.25" x14ac:dyDescent="0.2">
      <c r="B130" s="268"/>
      <c r="C130" s="274" t="s">
        <v>377</v>
      </c>
      <c r="D130" s="269"/>
      <c r="E130" s="61"/>
      <c r="F130" s="61"/>
      <c r="G130" s="61"/>
      <c r="H130" s="61"/>
      <c r="I130" s="284"/>
      <c r="J130" s="284"/>
      <c r="K130" s="284"/>
      <c r="L130" s="284"/>
      <c r="M130" s="298">
        <f>SUM(M131:M131)</f>
        <v>0</v>
      </c>
      <c r="N130" s="298">
        <f>SUM(N131:N131)</f>
        <v>0</v>
      </c>
      <c r="O130" s="298">
        <f>SUM(O131:O131)</f>
        <v>0</v>
      </c>
    </row>
    <row r="131" spans="1:15" ht="14.25" x14ac:dyDescent="0.2">
      <c r="B131" s="253"/>
      <c r="C131" s="30" t="s">
        <v>394</v>
      </c>
      <c r="D131" s="41"/>
      <c r="E131" s="270"/>
      <c r="F131" s="270"/>
      <c r="G131" s="270"/>
      <c r="H131" s="28"/>
      <c r="I131" s="283"/>
      <c r="J131" s="283"/>
      <c r="K131" s="283"/>
      <c r="L131" s="280"/>
      <c r="M131" s="285">
        <f>E131*I131</f>
        <v>0</v>
      </c>
      <c r="N131" s="285">
        <f t="shared" ref="N131" si="18">F131*J131</f>
        <v>0</v>
      </c>
      <c r="O131" s="285">
        <f>G131*K131</f>
        <v>0</v>
      </c>
    </row>
    <row r="132" spans="1:15" ht="14.25" x14ac:dyDescent="0.2">
      <c r="B132" s="268"/>
      <c r="C132" s="274" t="s">
        <v>382</v>
      </c>
      <c r="D132" s="269"/>
      <c r="E132" s="61"/>
      <c r="F132" s="61"/>
      <c r="G132" s="61"/>
      <c r="H132" s="61"/>
      <c r="I132" s="284"/>
      <c r="J132" s="284"/>
      <c r="K132" s="284"/>
      <c r="L132" s="284"/>
      <c r="M132" s="298">
        <f>SUM(M133:M133)</f>
        <v>0</v>
      </c>
      <c r="N132" s="298">
        <f>SUM(N133:N133)</f>
        <v>0</v>
      </c>
      <c r="O132" s="298">
        <f>SUM(O133:O133)</f>
        <v>0</v>
      </c>
    </row>
    <row r="133" spans="1:15" ht="14.25" x14ac:dyDescent="0.2">
      <c r="B133" s="253"/>
      <c r="C133" s="30" t="s">
        <v>394</v>
      </c>
      <c r="D133" s="41"/>
      <c r="E133" s="270"/>
      <c r="F133" s="270"/>
      <c r="G133" s="270"/>
      <c r="H133" s="28"/>
      <c r="I133" s="283"/>
      <c r="J133" s="283"/>
      <c r="K133" s="283"/>
      <c r="L133" s="280"/>
      <c r="M133" s="285">
        <f>E133*I133</f>
        <v>0</v>
      </c>
      <c r="N133" s="285">
        <f t="shared" ref="N133" si="19">F133*J133</f>
        <v>0</v>
      </c>
      <c r="O133" s="285">
        <f>G133*K133</f>
        <v>0</v>
      </c>
    </row>
    <row r="134" spans="1:15" ht="14.25" x14ac:dyDescent="0.2">
      <c r="A134" s="246"/>
      <c r="B134" s="275"/>
      <c r="C134" s="276" t="s">
        <v>383</v>
      </c>
      <c r="D134" s="277"/>
      <c r="E134" s="57"/>
      <c r="F134" s="57"/>
      <c r="G134" s="57"/>
      <c r="H134" s="57"/>
      <c r="I134" s="282"/>
      <c r="J134" s="282"/>
      <c r="K134" s="282"/>
      <c r="L134" s="282"/>
      <c r="M134" s="296"/>
      <c r="N134" s="296"/>
      <c r="O134" s="296"/>
    </row>
    <row r="135" spans="1:15" ht="14.25" x14ac:dyDescent="0.2">
      <c r="B135" s="271"/>
      <c r="C135" s="274" t="s">
        <v>384</v>
      </c>
      <c r="D135" s="272"/>
      <c r="E135" s="61"/>
      <c r="F135" s="61"/>
      <c r="G135" s="61"/>
      <c r="H135" s="61"/>
      <c r="I135" s="284"/>
      <c r="J135" s="284"/>
      <c r="K135" s="284"/>
      <c r="L135" s="284"/>
      <c r="M135" s="298">
        <f>SUM(M136:M136)</f>
        <v>0</v>
      </c>
      <c r="N135" s="298">
        <f>SUM(N136:N136)</f>
        <v>0</v>
      </c>
      <c r="O135" s="298">
        <f>SUM(O136:O136)</f>
        <v>0</v>
      </c>
    </row>
    <row r="136" spans="1:15" ht="14.25" x14ac:dyDescent="0.2">
      <c r="B136" s="253"/>
      <c r="C136" s="30" t="s">
        <v>394</v>
      </c>
      <c r="D136" s="41"/>
      <c r="E136" s="270"/>
      <c r="F136" s="270"/>
      <c r="G136" s="270"/>
      <c r="H136" s="28"/>
      <c r="I136" s="283"/>
      <c r="J136" s="283"/>
      <c r="K136" s="283"/>
      <c r="L136" s="280"/>
      <c r="M136" s="285">
        <f>E136*I136</f>
        <v>0</v>
      </c>
      <c r="N136" s="285">
        <f t="shared" ref="N136" si="20">F136*J136</f>
        <v>0</v>
      </c>
      <c r="O136" s="285">
        <f>G136*K136</f>
        <v>0</v>
      </c>
    </row>
    <row r="137" spans="1:15" ht="14.25" x14ac:dyDescent="0.2">
      <c r="B137" s="271"/>
      <c r="C137" s="274" t="s">
        <v>385</v>
      </c>
      <c r="D137" s="272"/>
      <c r="E137" s="61"/>
      <c r="F137" s="61"/>
      <c r="G137" s="61"/>
      <c r="H137" s="61"/>
      <c r="I137" s="284"/>
      <c r="J137" s="284"/>
      <c r="K137" s="284"/>
      <c r="L137" s="284"/>
      <c r="M137" s="298">
        <f>SUM(M138:M138)</f>
        <v>0</v>
      </c>
      <c r="N137" s="298">
        <f>SUM(N138:N138)</f>
        <v>0</v>
      </c>
      <c r="O137" s="298">
        <f>SUM(O138:O138)</f>
        <v>0</v>
      </c>
    </row>
    <row r="138" spans="1:15" ht="14.25" x14ac:dyDescent="0.2">
      <c r="B138" s="253"/>
      <c r="C138" s="30" t="s">
        <v>394</v>
      </c>
      <c r="D138" s="41"/>
      <c r="E138" s="270"/>
      <c r="F138" s="270"/>
      <c r="G138" s="270"/>
      <c r="H138" s="28"/>
      <c r="I138" s="283"/>
      <c r="J138" s="283"/>
      <c r="K138" s="283"/>
      <c r="L138" s="280"/>
      <c r="M138" s="285">
        <f>E138*I138</f>
        <v>0</v>
      </c>
      <c r="N138" s="285">
        <f t="shared" ref="N138" si="21">F138*J138</f>
        <v>0</v>
      </c>
      <c r="O138" s="285">
        <f>G138*K138</f>
        <v>0</v>
      </c>
    </row>
    <row r="139" spans="1:15" ht="14.25" x14ac:dyDescent="0.2">
      <c r="A139" s="246"/>
      <c r="B139" s="288"/>
      <c r="C139" s="289" t="s">
        <v>386</v>
      </c>
      <c r="D139" s="290"/>
      <c r="E139" s="291"/>
      <c r="F139" s="291"/>
      <c r="G139" s="291"/>
      <c r="H139" s="291"/>
      <c r="I139" s="292"/>
      <c r="J139" s="292"/>
      <c r="K139" s="292"/>
      <c r="L139" s="292"/>
      <c r="M139" s="297"/>
      <c r="N139" s="297"/>
      <c r="O139" s="297"/>
    </row>
    <row r="140" spans="1:15" ht="14.25" x14ac:dyDescent="0.2">
      <c r="B140" s="271"/>
      <c r="C140" s="274" t="s">
        <v>387</v>
      </c>
      <c r="D140" s="272"/>
      <c r="E140" s="61"/>
      <c r="F140" s="61"/>
      <c r="G140" s="61"/>
      <c r="H140" s="61"/>
      <c r="I140" s="284"/>
      <c r="J140" s="284"/>
      <c r="K140" s="284"/>
      <c r="L140" s="284"/>
      <c r="M140" s="298">
        <f>SUM(M141:M141)</f>
        <v>0</v>
      </c>
      <c r="N140" s="298">
        <f>SUM(N141:N141)</f>
        <v>0</v>
      </c>
      <c r="O140" s="298">
        <f>SUM(O141:O141)</f>
        <v>0</v>
      </c>
    </row>
    <row r="141" spans="1:15" ht="14.25" x14ac:dyDescent="0.2">
      <c r="B141" s="253"/>
      <c r="C141" s="30" t="s">
        <v>394</v>
      </c>
      <c r="D141" s="41"/>
      <c r="E141" s="270"/>
      <c r="F141" s="270"/>
      <c r="G141" s="270"/>
      <c r="H141" s="28"/>
      <c r="I141" s="283"/>
      <c r="J141" s="283"/>
      <c r="K141" s="283"/>
      <c r="L141" s="280"/>
      <c r="M141" s="285">
        <f>E141*I141</f>
        <v>0</v>
      </c>
      <c r="N141" s="285">
        <f t="shared" ref="N141" si="22">F141*J141</f>
        <v>0</v>
      </c>
      <c r="O141" s="285">
        <f>G141*K141</f>
        <v>0</v>
      </c>
    </row>
    <row r="142" spans="1:15" ht="14.25" x14ac:dyDescent="0.2">
      <c r="B142" s="271"/>
      <c r="C142" s="274" t="s">
        <v>388</v>
      </c>
      <c r="D142" s="272"/>
      <c r="E142" s="61"/>
      <c r="F142" s="61"/>
      <c r="G142" s="61"/>
      <c r="H142" s="61"/>
      <c r="I142" s="284"/>
      <c r="J142" s="284"/>
      <c r="K142" s="284"/>
      <c r="L142" s="284"/>
      <c r="M142" s="298">
        <f>SUM(M143:M143)</f>
        <v>0</v>
      </c>
      <c r="N142" s="298">
        <f>SUM(N143:N143)</f>
        <v>0</v>
      </c>
      <c r="O142" s="298">
        <f>SUM(O143:O143)</f>
        <v>0</v>
      </c>
    </row>
    <row r="143" spans="1:15" ht="14.25" x14ac:dyDescent="0.2">
      <c r="B143" s="253"/>
      <c r="C143" s="30" t="s">
        <v>394</v>
      </c>
      <c r="D143" s="41"/>
      <c r="E143" s="270"/>
      <c r="F143" s="270"/>
      <c r="G143" s="270"/>
      <c r="H143" s="28"/>
      <c r="I143" s="283"/>
      <c r="J143" s="283"/>
      <c r="K143" s="283"/>
      <c r="L143" s="280"/>
      <c r="M143" s="285">
        <f>E143*I143</f>
        <v>0</v>
      </c>
      <c r="N143" s="285">
        <f t="shared" ref="N143" si="23">F143*J143</f>
        <v>0</v>
      </c>
      <c r="O143" s="285">
        <f>G143*K143</f>
        <v>0</v>
      </c>
    </row>
    <row r="144" spans="1:15" ht="14.25" x14ac:dyDescent="0.2">
      <c r="B144" s="273"/>
      <c r="C144" s="3"/>
      <c r="D144" s="3"/>
      <c r="E144" s="3"/>
      <c r="I144" s="278"/>
      <c r="J144" s="278"/>
      <c r="K144" s="278"/>
      <c r="L144" s="278"/>
      <c r="M144" s="278"/>
      <c r="N144" s="278"/>
      <c r="O144" s="278"/>
    </row>
    <row r="145" spans="1:16" ht="15.75" thickBot="1" x14ac:dyDescent="0.3">
      <c r="A145" s="246"/>
      <c r="B145" s="273"/>
      <c r="C145" s="3"/>
      <c r="D145" s="3"/>
      <c r="E145" s="3"/>
      <c r="I145" s="278"/>
      <c r="J145" s="278"/>
      <c r="K145" s="278"/>
      <c r="L145" s="286" t="s">
        <v>390</v>
      </c>
      <c r="M145" s="287">
        <f>SUM(M118:M138)/2</f>
        <v>0</v>
      </c>
      <c r="N145" s="287">
        <f>SUM(N118:N138)/2</f>
        <v>0</v>
      </c>
      <c r="O145" s="287">
        <f>SUM(O118:O138)/2</f>
        <v>0</v>
      </c>
    </row>
    <row r="146" spans="1:16" ht="16.5" thickTop="1" thickBot="1" x14ac:dyDescent="0.3">
      <c r="B146" s="273"/>
      <c r="C146" s="3"/>
      <c r="D146" s="3"/>
      <c r="E146" s="3"/>
      <c r="I146" s="278"/>
      <c r="J146" s="278"/>
      <c r="K146" s="278"/>
      <c r="L146" s="286" t="s">
        <v>389</v>
      </c>
      <c r="M146" s="287">
        <f>SUM(M140:M143)/2</f>
        <v>0</v>
      </c>
      <c r="N146" s="287">
        <f>SUM(N140:N143)/2</f>
        <v>0</v>
      </c>
      <c r="O146" s="287">
        <f>SUM(O140:O143)/2</f>
        <v>0</v>
      </c>
    </row>
    <row r="147" spans="1:16" ht="15.75" thickTop="1" x14ac:dyDescent="0.25">
      <c r="B147" s="3"/>
      <c r="F147"/>
    </row>
    <row r="148" spans="1:16" s="28" customFormat="1" ht="15.75" x14ac:dyDescent="0.25">
      <c r="A148" s="263"/>
      <c r="B148" s="315"/>
      <c r="C148" s="316">
        <f>B69</f>
        <v>0</v>
      </c>
      <c r="D148" s="315"/>
      <c r="E148" s="315"/>
      <c r="F148" s="315"/>
      <c r="G148" s="315"/>
      <c r="H148" s="317"/>
      <c r="I148" s="318"/>
      <c r="J148" s="318"/>
      <c r="K148" s="318"/>
      <c r="L148" s="318"/>
      <c r="M148" s="318"/>
      <c r="N148" s="318"/>
      <c r="O148" s="318"/>
      <c r="P148" s="254"/>
    </row>
    <row r="149" spans="1:16" ht="15.75" x14ac:dyDescent="0.25">
      <c r="A149" s="246"/>
      <c r="B149" s="303" t="s">
        <v>346</v>
      </c>
      <c r="C149" s="304" t="s">
        <v>369</v>
      </c>
      <c r="D149" s="305" t="s">
        <v>370</v>
      </c>
      <c r="E149" s="306"/>
      <c r="F149" s="306" t="s">
        <v>392</v>
      </c>
      <c r="G149" s="306"/>
      <c r="H149" s="306"/>
      <c r="I149" s="307"/>
      <c r="J149" s="307" t="s">
        <v>391</v>
      </c>
      <c r="K149" s="307"/>
      <c r="L149" s="279"/>
      <c r="M149" s="307"/>
      <c r="N149" s="307" t="s">
        <v>369</v>
      </c>
      <c r="O149" s="307"/>
    </row>
    <row r="150" spans="1:16" ht="15.75" x14ac:dyDescent="0.25">
      <c r="A150" s="246"/>
      <c r="B150" s="266"/>
      <c r="C150" s="264"/>
      <c r="D150" s="266"/>
      <c r="E150" s="267" t="s">
        <v>371</v>
      </c>
      <c r="F150" s="267" t="s">
        <v>372</v>
      </c>
      <c r="G150" s="267" t="s">
        <v>373</v>
      </c>
      <c r="I150" s="281" t="s">
        <v>371</v>
      </c>
      <c r="J150" s="281" t="s">
        <v>372</v>
      </c>
      <c r="K150" s="281" t="s">
        <v>373</v>
      </c>
      <c r="L150" s="278"/>
      <c r="M150" s="293" t="s">
        <v>371</v>
      </c>
      <c r="N150" s="293" t="s">
        <v>372</v>
      </c>
      <c r="O150" s="293" t="s">
        <v>373</v>
      </c>
      <c r="P150" s="254"/>
    </row>
    <row r="151" spans="1:16" ht="14.25" x14ac:dyDescent="0.2">
      <c r="A151" s="246"/>
      <c r="B151" s="275"/>
      <c r="C151" s="276" t="s">
        <v>374</v>
      </c>
      <c r="D151" s="277"/>
      <c r="E151" s="57"/>
      <c r="F151" s="57"/>
      <c r="G151" s="57"/>
      <c r="H151" s="57"/>
      <c r="I151" s="282"/>
      <c r="J151" s="282"/>
      <c r="K151" s="282"/>
      <c r="L151" s="282"/>
      <c r="M151" s="294">
        <f>SUM(M152:M152)</f>
        <v>0</v>
      </c>
      <c r="N151" s="294">
        <f>SUM(N152:N152)</f>
        <v>0</v>
      </c>
      <c r="O151" s="294">
        <f>SUM(O152:O152)</f>
        <v>0</v>
      </c>
    </row>
    <row r="152" spans="1:16" ht="14.25" x14ac:dyDescent="0.2">
      <c r="A152" s="246"/>
      <c r="B152" s="253"/>
      <c r="C152" s="30" t="s">
        <v>394</v>
      </c>
      <c r="D152" s="41"/>
      <c r="E152" s="270"/>
      <c r="F152" s="270"/>
      <c r="G152" s="270"/>
      <c r="H152" s="28"/>
      <c r="I152" s="283"/>
      <c r="J152" s="283"/>
      <c r="K152" s="283"/>
      <c r="L152" s="280"/>
      <c r="M152" s="295">
        <f>E152*I152</f>
        <v>0</v>
      </c>
      <c r="N152" s="295">
        <f t="shared" ref="N152" si="24">F152*J152</f>
        <v>0</v>
      </c>
      <c r="O152" s="295">
        <f t="shared" ref="O152" si="25">G152*K152</f>
        <v>0</v>
      </c>
    </row>
    <row r="153" spans="1:16" ht="14.25" x14ac:dyDescent="0.2">
      <c r="A153" s="246"/>
      <c r="B153" s="275"/>
      <c r="C153" s="276" t="s">
        <v>378</v>
      </c>
      <c r="D153" s="277"/>
      <c r="E153" s="57"/>
      <c r="F153" s="57"/>
      <c r="G153" s="57"/>
      <c r="H153" s="57"/>
      <c r="I153" s="282"/>
      <c r="J153" s="282"/>
      <c r="K153" s="282"/>
      <c r="L153" s="282"/>
      <c r="M153" s="296"/>
      <c r="N153" s="296"/>
      <c r="O153" s="296"/>
    </row>
    <row r="154" spans="1:16" ht="14.25" x14ac:dyDescent="0.2">
      <c r="A154" s="246"/>
      <c r="B154" s="268"/>
      <c r="C154" s="274" t="s">
        <v>375</v>
      </c>
      <c r="D154" s="269"/>
      <c r="E154" s="61"/>
      <c r="F154" s="61"/>
      <c r="G154" s="61"/>
      <c r="H154" s="61"/>
      <c r="I154" s="284"/>
      <c r="J154" s="284"/>
      <c r="K154" s="284"/>
      <c r="L154" s="284"/>
      <c r="M154" s="298">
        <f>SUM(M155:M155)</f>
        <v>0</v>
      </c>
      <c r="N154" s="298">
        <f>SUM(N155:N155)</f>
        <v>0</v>
      </c>
      <c r="O154" s="298">
        <f>SUM(O155:O155)</f>
        <v>0</v>
      </c>
    </row>
    <row r="155" spans="1:16" ht="14.25" x14ac:dyDescent="0.2">
      <c r="B155" s="253"/>
      <c r="C155" s="30" t="s">
        <v>394</v>
      </c>
      <c r="D155" s="41"/>
      <c r="E155" s="270"/>
      <c r="F155" s="270"/>
      <c r="G155" s="270"/>
      <c r="H155" s="28"/>
      <c r="I155" s="283"/>
      <c r="J155" s="283"/>
      <c r="K155" s="283"/>
      <c r="L155" s="280"/>
      <c r="M155" s="285">
        <f>E155*I155</f>
        <v>0</v>
      </c>
      <c r="N155" s="285">
        <f t="shared" ref="N155" si="26">F155*J155</f>
        <v>0</v>
      </c>
      <c r="O155" s="285">
        <f t="shared" ref="O155" si="27">G155*K155</f>
        <v>0</v>
      </c>
    </row>
    <row r="156" spans="1:16" ht="14.25" x14ac:dyDescent="0.2">
      <c r="B156" s="268"/>
      <c r="C156" s="274" t="s">
        <v>376</v>
      </c>
      <c r="D156" s="269"/>
      <c r="E156" s="61"/>
      <c r="F156" s="61"/>
      <c r="G156" s="61"/>
      <c r="H156" s="61"/>
      <c r="I156" s="284"/>
      <c r="J156" s="284"/>
      <c r="K156" s="284"/>
      <c r="L156" s="284"/>
      <c r="M156" s="298">
        <f>SUM(M157:M157)</f>
        <v>0</v>
      </c>
      <c r="N156" s="298">
        <f>SUM(N157:N157)</f>
        <v>0</v>
      </c>
      <c r="O156" s="298">
        <f>SUM(O157:O157)</f>
        <v>0</v>
      </c>
    </row>
    <row r="157" spans="1:16" ht="14.25" x14ac:dyDescent="0.2">
      <c r="B157" s="253"/>
      <c r="C157" s="30" t="s">
        <v>394</v>
      </c>
      <c r="D157" s="41"/>
      <c r="E157" s="270"/>
      <c r="F157" s="270"/>
      <c r="G157" s="270"/>
      <c r="H157" s="28"/>
      <c r="I157" s="283"/>
      <c r="J157" s="283"/>
      <c r="K157" s="283"/>
      <c r="L157" s="280"/>
      <c r="M157" s="285">
        <f>E157*I157</f>
        <v>0</v>
      </c>
      <c r="N157" s="285">
        <f t="shared" ref="N157" si="28">F157*J157</f>
        <v>0</v>
      </c>
      <c r="O157" s="285">
        <f>G157*K157</f>
        <v>0</v>
      </c>
    </row>
    <row r="158" spans="1:16" ht="14.25" x14ac:dyDescent="0.2">
      <c r="B158" s="268"/>
      <c r="C158" s="274" t="s">
        <v>379</v>
      </c>
      <c r="D158" s="269"/>
      <c r="E158" s="61"/>
      <c r="F158" s="61"/>
      <c r="G158" s="61"/>
      <c r="H158" s="61"/>
      <c r="I158" s="284"/>
      <c r="J158" s="284"/>
      <c r="K158" s="284"/>
      <c r="L158" s="284"/>
      <c r="M158" s="298">
        <f>SUM(M159:M159)</f>
        <v>0</v>
      </c>
      <c r="N158" s="298">
        <f>SUM(N159:N159)</f>
        <v>0</v>
      </c>
      <c r="O158" s="298">
        <f>SUM(O159:O159)</f>
        <v>0</v>
      </c>
    </row>
    <row r="159" spans="1:16" ht="14.25" x14ac:dyDescent="0.2">
      <c r="B159" s="253"/>
      <c r="C159" s="30" t="s">
        <v>394</v>
      </c>
      <c r="D159" s="41"/>
      <c r="E159" s="270"/>
      <c r="F159" s="270"/>
      <c r="G159" s="270"/>
      <c r="H159" s="28"/>
      <c r="I159" s="283"/>
      <c r="J159" s="283"/>
      <c r="K159" s="283"/>
      <c r="L159" s="280"/>
      <c r="M159" s="285">
        <f>E159*I159</f>
        <v>0</v>
      </c>
      <c r="N159" s="285">
        <f t="shared" ref="N159" si="29">F159*J159</f>
        <v>0</v>
      </c>
      <c r="O159" s="285">
        <f>G159*K159</f>
        <v>0</v>
      </c>
    </row>
    <row r="160" spans="1:16" ht="14.25" x14ac:dyDescent="0.2">
      <c r="B160" s="271"/>
      <c r="C160" s="274" t="s">
        <v>380</v>
      </c>
      <c r="D160" s="272"/>
      <c r="E160" s="61"/>
      <c r="F160" s="61"/>
      <c r="G160" s="61"/>
      <c r="H160" s="61"/>
      <c r="I160" s="284"/>
      <c r="J160" s="284"/>
      <c r="K160" s="284"/>
      <c r="L160" s="284"/>
      <c r="M160" s="298">
        <f>SUM(M161:M161)</f>
        <v>0</v>
      </c>
      <c r="N160" s="298">
        <f>SUM(N161:N161)</f>
        <v>0</v>
      </c>
      <c r="O160" s="298">
        <f>SUM(O161:O161)</f>
        <v>0</v>
      </c>
    </row>
    <row r="161" spans="1:15" ht="14.25" x14ac:dyDescent="0.2">
      <c r="B161" s="253"/>
      <c r="C161" s="30" t="s">
        <v>394</v>
      </c>
      <c r="D161" s="41"/>
      <c r="E161" s="270"/>
      <c r="F161" s="270"/>
      <c r="G161" s="270"/>
      <c r="H161" s="28"/>
      <c r="I161" s="283"/>
      <c r="J161" s="283"/>
      <c r="K161" s="283"/>
      <c r="L161" s="280"/>
      <c r="M161" s="285">
        <f>E161*I161</f>
        <v>0</v>
      </c>
      <c r="N161" s="285">
        <f t="shared" ref="N161" si="30">F161*J161</f>
        <v>0</v>
      </c>
      <c r="O161" s="285">
        <f>G161*K161</f>
        <v>0</v>
      </c>
    </row>
    <row r="162" spans="1:15" ht="14.25" x14ac:dyDescent="0.2">
      <c r="B162" s="271"/>
      <c r="C162" s="274" t="s">
        <v>381</v>
      </c>
      <c r="D162" s="272"/>
      <c r="E162" s="61"/>
      <c r="F162" s="61"/>
      <c r="G162" s="61"/>
      <c r="H162" s="61"/>
      <c r="I162" s="284"/>
      <c r="J162" s="284"/>
      <c r="K162" s="284"/>
      <c r="L162" s="284"/>
      <c r="M162" s="298">
        <f>SUM(M163:M163)</f>
        <v>0</v>
      </c>
      <c r="N162" s="298">
        <f>SUM(N163:N163)</f>
        <v>0</v>
      </c>
      <c r="O162" s="298">
        <f>SUM(O163:O163)</f>
        <v>0</v>
      </c>
    </row>
    <row r="163" spans="1:15" ht="14.25" x14ac:dyDescent="0.2">
      <c r="B163" s="253"/>
      <c r="C163" s="30" t="s">
        <v>394</v>
      </c>
      <c r="D163" s="41"/>
      <c r="E163" s="270"/>
      <c r="F163" s="270"/>
      <c r="G163" s="270"/>
      <c r="H163" s="28"/>
      <c r="I163" s="283"/>
      <c r="J163" s="283"/>
      <c r="K163" s="283"/>
      <c r="L163" s="280"/>
      <c r="M163" s="285">
        <f>E163*I163</f>
        <v>0</v>
      </c>
      <c r="N163" s="285">
        <f>F163*J163</f>
        <v>0</v>
      </c>
      <c r="O163" s="285">
        <f>G163*K163</f>
        <v>0</v>
      </c>
    </row>
    <row r="164" spans="1:15" ht="14.25" x14ac:dyDescent="0.2">
      <c r="B164" s="268"/>
      <c r="C164" s="274" t="s">
        <v>377</v>
      </c>
      <c r="D164" s="269"/>
      <c r="E164" s="61"/>
      <c r="F164" s="61"/>
      <c r="G164" s="61"/>
      <c r="H164" s="61"/>
      <c r="I164" s="284"/>
      <c r="J164" s="284"/>
      <c r="K164" s="284"/>
      <c r="L164" s="284"/>
      <c r="M164" s="298">
        <f>SUM(M165:M165)</f>
        <v>0</v>
      </c>
      <c r="N164" s="298">
        <f>SUM(N165:N165)</f>
        <v>0</v>
      </c>
      <c r="O164" s="298">
        <f>SUM(O165:O165)</f>
        <v>0</v>
      </c>
    </row>
    <row r="165" spans="1:15" ht="14.25" x14ac:dyDescent="0.2">
      <c r="B165" s="253"/>
      <c r="C165" s="30" t="s">
        <v>394</v>
      </c>
      <c r="D165" s="41"/>
      <c r="E165" s="270"/>
      <c r="F165" s="270"/>
      <c r="G165" s="270"/>
      <c r="H165" s="28"/>
      <c r="I165" s="283"/>
      <c r="J165" s="283"/>
      <c r="K165" s="283"/>
      <c r="L165" s="280"/>
      <c r="M165" s="285">
        <f>E165*I165</f>
        <v>0</v>
      </c>
      <c r="N165" s="285">
        <f t="shared" ref="N165" si="31">F165*J165</f>
        <v>0</v>
      </c>
      <c r="O165" s="285">
        <f>G165*K165</f>
        <v>0</v>
      </c>
    </row>
    <row r="166" spans="1:15" ht="14.25" x14ac:dyDescent="0.2">
      <c r="B166" s="268"/>
      <c r="C166" s="274" t="s">
        <v>382</v>
      </c>
      <c r="D166" s="269"/>
      <c r="E166" s="61"/>
      <c r="F166" s="61"/>
      <c r="G166" s="61"/>
      <c r="H166" s="61"/>
      <c r="I166" s="284"/>
      <c r="J166" s="284"/>
      <c r="K166" s="284"/>
      <c r="L166" s="284"/>
      <c r="M166" s="298">
        <f>SUM(M167:M167)</f>
        <v>0</v>
      </c>
      <c r="N166" s="298">
        <f>SUM(N167:N167)</f>
        <v>0</v>
      </c>
      <c r="O166" s="298">
        <f>SUM(O167:O167)</f>
        <v>0</v>
      </c>
    </row>
    <row r="167" spans="1:15" ht="14.25" x14ac:dyDescent="0.2">
      <c r="B167" s="253"/>
      <c r="C167" s="30" t="s">
        <v>394</v>
      </c>
      <c r="D167" s="41"/>
      <c r="E167" s="270"/>
      <c r="F167" s="270"/>
      <c r="G167" s="270"/>
      <c r="H167" s="28"/>
      <c r="I167" s="283"/>
      <c r="J167" s="283"/>
      <c r="K167" s="283"/>
      <c r="L167" s="280"/>
      <c r="M167" s="285">
        <f>E167*I167</f>
        <v>0</v>
      </c>
      <c r="N167" s="285">
        <f t="shared" ref="N167" si="32">F167*J167</f>
        <v>0</v>
      </c>
      <c r="O167" s="285">
        <f>G167*K167</f>
        <v>0</v>
      </c>
    </row>
    <row r="168" spans="1:15" ht="14.25" x14ac:dyDescent="0.2">
      <c r="A168" s="246"/>
      <c r="B168" s="275"/>
      <c r="C168" s="276" t="s">
        <v>383</v>
      </c>
      <c r="D168" s="277"/>
      <c r="E168" s="57"/>
      <c r="F168" s="57"/>
      <c r="G168" s="57"/>
      <c r="H168" s="57"/>
      <c r="I168" s="282"/>
      <c r="J168" s="282"/>
      <c r="K168" s="282"/>
      <c r="L168" s="282"/>
      <c r="M168" s="296"/>
      <c r="N168" s="296"/>
      <c r="O168" s="296"/>
    </row>
    <row r="169" spans="1:15" ht="14.25" x14ac:dyDescent="0.2">
      <c r="B169" s="271"/>
      <c r="C169" s="274" t="s">
        <v>384</v>
      </c>
      <c r="D169" s="272"/>
      <c r="E169" s="61"/>
      <c r="F169" s="61"/>
      <c r="G169" s="61"/>
      <c r="H169" s="61"/>
      <c r="I169" s="284"/>
      <c r="J169" s="284"/>
      <c r="K169" s="284"/>
      <c r="L169" s="284"/>
      <c r="M169" s="298">
        <f>SUM(M170:M170)</f>
        <v>0</v>
      </c>
      <c r="N169" s="298">
        <f>SUM(N170:N170)</f>
        <v>0</v>
      </c>
      <c r="O169" s="298">
        <f>SUM(O170:O170)</f>
        <v>0</v>
      </c>
    </row>
    <row r="170" spans="1:15" ht="14.25" x14ac:dyDescent="0.2">
      <c r="B170" s="253"/>
      <c r="C170" s="30" t="s">
        <v>394</v>
      </c>
      <c r="D170" s="41"/>
      <c r="E170" s="270"/>
      <c r="F170" s="270"/>
      <c r="G170" s="270"/>
      <c r="H170" s="28"/>
      <c r="I170" s="283"/>
      <c r="J170" s="283"/>
      <c r="K170" s="283"/>
      <c r="L170" s="280"/>
      <c r="M170" s="285">
        <f>E170*I170</f>
        <v>0</v>
      </c>
      <c r="N170" s="285">
        <f t="shared" ref="N170" si="33">F170*J170</f>
        <v>0</v>
      </c>
      <c r="O170" s="285">
        <f>G170*K170</f>
        <v>0</v>
      </c>
    </row>
    <row r="171" spans="1:15" ht="14.25" x14ac:dyDescent="0.2">
      <c r="B171" s="271"/>
      <c r="C171" s="274" t="s">
        <v>385</v>
      </c>
      <c r="D171" s="272"/>
      <c r="E171" s="61"/>
      <c r="F171" s="61"/>
      <c r="G171" s="61"/>
      <c r="H171" s="61"/>
      <c r="I171" s="284"/>
      <c r="J171" s="284"/>
      <c r="K171" s="284"/>
      <c r="L171" s="284"/>
      <c r="M171" s="298">
        <f>SUM(M172:M172)</f>
        <v>0</v>
      </c>
      <c r="N171" s="298">
        <f>SUM(N172:N172)</f>
        <v>0</v>
      </c>
      <c r="O171" s="298">
        <f>SUM(O172:O172)</f>
        <v>0</v>
      </c>
    </row>
    <row r="172" spans="1:15" ht="14.25" x14ac:dyDescent="0.2">
      <c r="B172" s="253"/>
      <c r="C172" s="30" t="s">
        <v>394</v>
      </c>
      <c r="D172" s="41"/>
      <c r="E172" s="270"/>
      <c r="F172" s="270"/>
      <c r="G172" s="270"/>
      <c r="H172" s="28"/>
      <c r="I172" s="283"/>
      <c r="J172" s="283"/>
      <c r="K172" s="283"/>
      <c r="L172" s="280"/>
      <c r="M172" s="285">
        <f>E172*I172</f>
        <v>0</v>
      </c>
      <c r="N172" s="285">
        <f t="shared" ref="N172" si="34">F172*J172</f>
        <v>0</v>
      </c>
      <c r="O172" s="285">
        <f>G172*K172</f>
        <v>0</v>
      </c>
    </row>
    <row r="173" spans="1:15" ht="14.25" x14ac:dyDescent="0.2">
      <c r="A173" s="246"/>
      <c r="B173" s="288"/>
      <c r="C173" s="289" t="s">
        <v>386</v>
      </c>
      <c r="D173" s="290"/>
      <c r="E173" s="291"/>
      <c r="F173" s="291"/>
      <c r="G173" s="291"/>
      <c r="H173" s="291"/>
      <c r="I173" s="292"/>
      <c r="J173" s="292"/>
      <c r="K173" s="292"/>
      <c r="L173" s="292"/>
      <c r="M173" s="297"/>
      <c r="N173" s="297"/>
      <c r="O173" s="297"/>
    </row>
    <row r="174" spans="1:15" ht="14.25" x14ac:dyDescent="0.2">
      <c r="B174" s="271"/>
      <c r="C174" s="274" t="s">
        <v>387</v>
      </c>
      <c r="D174" s="272"/>
      <c r="E174" s="61"/>
      <c r="F174" s="61"/>
      <c r="G174" s="61"/>
      <c r="H174" s="61"/>
      <c r="I174" s="284"/>
      <c r="J174" s="284"/>
      <c r="K174" s="284"/>
      <c r="L174" s="284"/>
      <c r="M174" s="298">
        <f>SUM(M175:M175)</f>
        <v>0</v>
      </c>
      <c r="N174" s="298">
        <f>SUM(N175:N175)</f>
        <v>0</v>
      </c>
      <c r="O174" s="298">
        <f>SUM(O175:O175)</f>
        <v>0</v>
      </c>
    </row>
    <row r="175" spans="1:15" ht="14.25" x14ac:dyDescent="0.2">
      <c r="B175" s="253"/>
      <c r="C175" s="30" t="s">
        <v>394</v>
      </c>
      <c r="D175" s="41"/>
      <c r="E175" s="270"/>
      <c r="F175" s="270"/>
      <c r="G175" s="270"/>
      <c r="H175" s="28"/>
      <c r="I175" s="283"/>
      <c r="J175" s="283"/>
      <c r="K175" s="283"/>
      <c r="L175" s="280"/>
      <c r="M175" s="285">
        <f>E175*I175</f>
        <v>0</v>
      </c>
      <c r="N175" s="285">
        <f t="shared" ref="N175" si="35">F175*J175</f>
        <v>0</v>
      </c>
      <c r="O175" s="285">
        <f>G175*K175</f>
        <v>0</v>
      </c>
    </row>
    <row r="176" spans="1:15" ht="14.25" x14ac:dyDescent="0.2">
      <c r="B176" s="271"/>
      <c r="C176" s="274" t="s">
        <v>388</v>
      </c>
      <c r="D176" s="272"/>
      <c r="E176" s="61"/>
      <c r="F176" s="61"/>
      <c r="G176" s="61"/>
      <c r="H176" s="61"/>
      <c r="I176" s="284"/>
      <c r="J176" s="284"/>
      <c r="K176" s="284"/>
      <c r="L176" s="284"/>
      <c r="M176" s="298">
        <f>SUM(M177:M177)</f>
        <v>0</v>
      </c>
      <c r="N176" s="298">
        <f>SUM(N177:N177)</f>
        <v>0</v>
      </c>
      <c r="O176" s="298">
        <f>SUM(O177:O177)</f>
        <v>0</v>
      </c>
    </row>
    <row r="177" spans="1:16" ht="14.25" x14ac:dyDescent="0.2">
      <c r="B177" s="253"/>
      <c r="C177" s="30" t="s">
        <v>394</v>
      </c>
      <c r="D177" s="41"/>
      <c r="E177" s="270"/>
      <c r="F177" s="270"/>
      <c r="G177" s="270"/>
      <c r="H177" s="28"/>
      <c r="I177" s="283"/>
      <c r="J177" s="283"/>
      <c r="K177" s="283"/>
      <c r="L177" s="280"/>
      <c r="M177" s="285">
        <f>E177*I177</f>
        <v>0</v>
      </c>
      <c r="N177" s="285">
        <f t="shared" ref="N177" si="36">F177*J177</f>
        <v>0</v>
      </c>
      <c r="O177" s="285">
        <f>G177*K177</f>
        <v>0</v>
      </c>
    </row>
    <row r="178" spans="1:16" ht="14.25" x14ac:dyDescent="0.2">
      <c r="B178" s="273"/>
      <c r="C178" s="3"/>
      <c r="D178" s="3"/>
      <c r="E178" s="3"/>
      <c r="I178" s="278"/>
      <c r="J178" s="278"/>
      <c r="K178" s="278"/>
      <c r="L178" s="278"/>
      <c r="M178" s="278"/>
      <c r="N178" s="278"/>
      <c r="O178" s="278"/>
    </row>
    <row r="179" spans="1:16" ht="15.75" thickBot="1" x14ac:dyDescent="0.3">
      <c r="A179" s="246"/>
      <c r="B179" s="273"/>
      <c r="C179" s="3"/>
      <c r="D179" s="3"/>
      <c r="E179" s="3"/>
      <c r="I179" s="278"/>
      <c r="J179" s="278"/>
      <c r="K179" s="278"/>
      <c r="L179" s="286" t="s">
        <v>390</v>
      </c>
      <c r="M179" s="287">
        <f>SUM(M152:M172)/2</f>
        <v>0</v>
      </c>
      <c r="N179" s="287">
        <f>SUM(N152:N172)/2</f>
        <v>0</v>
      </c>
      <c r="O179" s="287">
        <f>SUM(O152:O172)/2</f>
        <v>0</v>
      </c>
    </row>
    <row r="180" spans="1:16" ht="16.5" thickTop="1" thickBot="1" x14ac:dyDescent="0.3">
      <c r="B180" s="273"/>
      <c r="C180" s="3"/>
      <c r="D180" s="3"/>
      <c r="E180" s="3"/>
      <c r="I180" s="278"/>
      <c r="J180" s="278"/>
      <c r="K180" s="278"/>
      <c r="L180" s="286" t="s">
        <v>389</v>
      </c>
      <c r="M180" s="287">
        <f>SUM(M174:M177)/2</f>
        <v>0</v>
      </c>
      <c r="N180" s="287">
        <f>SUM(N174:N177)/2</f>
        <v>0</v>
      </c>
      <c r="O180" s="287">
        <f>SUM(O174:O177)/2</f>
        <v>0</v>
      </c>
    </row>
    <row r="181" spans="1:16" ht="15.75" thickTop="1" x14ac:dyDescent="0.25">
      <c r="B181" s="3"/>
      <c r="F181"/>
    </row>
    <row r="182" spans="1:16" x14ac:dyDescent="0.25">
      <c r="B182" s="3"/>
      <c r="F182"/>
    </row>
    <row r="183" spans="1:16" hidden="1" x14ac:dyDescent="0.25">
      <c r="B183" s="3"/>
      <c r="F183"/>
    </row>
    <row r="184" spans="1:16" hidden="1" x14ac:dyDescent="0.25">
      <c r="A184" s="3" t="s">
        <v>280</v>
      </c>
      <c r="B184" s="3"/>
      <c r="F184"/>
    </row>
    <row r="185" spans="1:16" hidden="1" x14ac:dyDescent="0.25">
      <c r="B185" s="3"/>
      <c r="F185"/>
    </row>
    <row r="186" spans="1:16" s="28" customFormat="1" ht="15.75" x14ac:dyDescent="0.25">
      <c r="A186" s="263"/>
      <c r="B186" s="315"/>
      <c r="C186" s="316">
        <f>B107</f>
        <v>0</v>
      </c>
      <c r="D186" s="315"/>
      <c r="E186" s="315"/>
      <c r="F186" s="315"/>
      <c r="G186" s="315"/>
      <c r="H186" s="317"/>
      <c r="I186" s="318"/>
      <c r="J186" s="318"/>
      <c r="K186" s="318"/>
      <c r="L186" s="318"/>
      <c r="M186" s="318"/>
      <c r="N186" s="318"/>
      <c r="O186" s="318"/>
      <c r="P186" s="254"/>
    </row>
    <row r="187" spans="1:16" ht="15.75" x14ac:dyDescent="0.25">
      <c r="A187" s="246"/>
      <c r="B187" s="303" t="s">
        <v>346</v>
      </c>
      <c r="C187" s="304" t="s">
        <v>369</v>
      </c>
      <c r="D187" s="305" t="s">
        <v>370</v>
      </c>
      <c r="E187" s="306"/>
      <c r="F187" s="306" t="s">
        <v>392</v>
      </c>
      <c r="G187" s="306"/>
      <c r="H187" s="306"/>
      <c r="I187" s="307"/>
      <c r="J187" s="307" t="s">
        <v>391</v>
      </c>
      <c r="K187" s="307"/>
      <c r="L187" s="279"/>
      <c r="M187" s="307"/>
      <c r="N187" s="307" t="s">
        <v>369</v>
      </c>
      <c r="O187" s="307"/>
    </row>
    <row r="188" spans="1:16" ht="15.75" x14ac:dyDescent="0.25">
      <c r="A188" s="246"/>
      <c r="B188" s="266"/>
      <c r="C188" s="264"/>
      <c r="D188" s="266"/>
      <c r="E188" s="267" t="s">
        <v>371</v>
      </c>
      <c r="F188" s="267" t="s">
        <v>372</v>
      </c>
      <c r="G188" s="267" t="s">
        <v>373</v>
      </c>
      <c r="I188" s="281" t="s">
        <v>371</v>
      </c>
      <c r="J188" s="281" t="s">
        <v>372</v>
      </c>
      <c r="K188" s="281" t="s">
        <v>373</v>
      </c>
      <c r="L188" s="278"/>
      <c r="M188" s="293" t="s">
        <v>371</v>
      </c>
      <c r="N188" s="293" t="s">
        <v>372</v>
      </c>
      <c r="O188" s="293" t="s">
        <v>373</v>
      </c>
      <c r="P188" s="254"/>
    </row>
    <row r="189" spans="1:16" ht="14.25" x14ac:dyDescent="0.2">
      <c r="A189" s="246"/>
      <c r="B189" s="275"/>
      <c r="C189" s="276" t="s">
        <v>374</v>
      </c>
      <c r="D189" s="277"/>
      <c r="E189" s="57"/>
      <c r="F189" s="57"/>
      <c r="G189" s="57"/>
      <c r="H189" s="57"/>
      <c r="I189" s="282"/>
      <c r="J189" s="282"/>
      <c r="K189" s="282"/>
      <c r="L189" s="282"/>
      <c r="M189" s="294">
        <f>SUM(M190:M190)</f>
        <v>0</v>
      </c>
      <c r="N189" s="294">
        <f>SUM(N190:N190)</f>
        <v>0</v>
      </c>
      <c r="O189" s="294">
        <f>SUM(O190:O190)</f>
        <v>0</v>
      </c>
    </row>
    <row r="190" spans="1:16" ht="14.25" x14ac:dyDescent="0.2">
      <c r="A190" s="246"/>
      <c r="B190" s="253"/>
      <c r="C190" s="30" t="s">
        <v>394</v>
      </c>
      <c r="D190" s="41"/>
      <c r="E190" s="270"/>
      <c r="F190" s="270"/>
      <c r="G190" s="270"/>
      <c r="H190" s="28"/>
      <c r="I190" s="283"/>
      <c r="J190" s="283"/>
      <c r="K190" s="283"/>
      <c r="L190" s="280"/>
      <c r="M190" s="295">
        <f>E190*I190</f>
        <v>0</v>
      </c>
      <c r="N190" s="295">
        <f t="shared" ref="N190" si="37">F190*J190</f>
        <v>0</v>
      </c>
      <c r="O190" s="295">
        <f t="shared" ref="O190" si="38">G190*K190</f>
        <v>0</v>
      </c>
    </row>
    <row r="191" spans="1:16" ht="14.25" x14ac:dyDescent="0.2">
      <c r="A191" s="246"/>
      <c r="B191" s="275"/>
      <c r="C191" s="276" t="s">
        <v>378</v>
      </c>
      <c r="D191" s="277"/>
      <c r="E191" s="57"/>
      <c r="F191" s="57"/>
      <c r="G191" s="57"/>
      <c r="H191" s="57"/>
      <c r="I191" s="282"/>
      <c r="J191" s="282"/>
      <c r="K191" s="282"/>
      <c r="L191" s="282"/>
      <c r="M191" s="296"/>
      <c r="N191" s="296"/>
      <c r="O191" s="296"/>
    </row>
    <row r="192" spans="1:16" ht="14.25" x14ac:dyDescent="0.2">
      <c r="A192" s="246"/>
      <c r="B192" s="268"/>
      <c r="C192" s="274" t="s">
        <v>375</v>
      </c>
      <c r="D192" s="269"/>
      <c r="E192" s="61"/>
      <c r="F192" s="61"/>
      <c r="G192" s="61"/>
      <c r="H192" s="61"/>
      <c r="I192" s="284"/>
      <c r="J192" s="284"/>
      <c r="K192" s="284"/>
      <c r="L192" s="284"/>
      <c r="M192" s="298">
        <f>SUM(M193:M193)</f>
        <v>0</v>
      </c>
      <c r="N192" s="298">
        <f>SUM(N193:N193)</f>
        <v>0</v>
      </c>
      <c r="O192" s="298">
        <f>SUM(O193:O193)</f>
        <v>0</v>
      </c>
    </row>
    <row r="193" spans="1:15" ht="14.25" x14ac:dyDescent="0.2">
      <c r="B193" s="253"/>
      <c r="C193" s="30" t="s">
        <v>394</v>
      </c>
      <c r="D193" s="41"/>
      <c r="E193" s="270"/>
      <c r="F193" s="270"/>
      <c r="G193" s="270"/>
      <c r="H193" s="28"/>
      <c r="I193" s="283"/>
      <c r="J193" s="283"/>
      <c r="K193" s="283"/>
      <c r="L193" s="280"/>
      <c r="M193" s="285">
        <f>E193*I193</f>
        <v>0</v>
      </c>
      <c r="N193" s="285">
        <f t="shared" ref="N193" si="39">F193*J193</f>
        <v>0</v>
      </c>
      <c r="O193" s="285">
        <f t="shared" ref="O193" si="40">G193*K193</f>
        <v>0</v>
      </c>
    </row>
    <row r="194" spans="1:15" ht="14.25" x14ac:dyDescent="0.2">
      <c r="B194" s="268"/>
      <c r="C194" s="274" t="s">
        <v>376</v>
      </c>
      <c r="D194" s="269"/>
      <c r="E194" s="61"/>
      <c r="F194" s="61"/>
      <c r="G194" s="61"/>
      <c r="H194" s="61"/>
      <c r="I194" s="284"/>
      <c r="J194" s="284"/>
      <c r="K194" s="284"/>
      <c r="L194" s="284"/>
      <c r="M194" s="298">
        <f>SUM(M195:M195)</f>
        <v>0</v>
      </c>
      <c r="N194" s="298">
        <f>SUM(N195:N195)</f>
        <v>0</v>
      </c>
      <c r="O194" s="298">
        <f>SUM(O195:O195)</f>
        <v>0</v>
      </c>
    </row>
    <row r="195" spans="1:15" ht="14.25" x14ac:dyDescent="0.2">
      <c r="B195" s="253"/>
      <c r="C195" s="30" t="s">
        <v>394</v>
      </c>
      <c r="D195" s="41"/>
      <c r="E195" s="270"/>
      <c r="F195" s="270"/>
      <c r="G195" s="270"/>
      <c r="H195" s="28"/>
      <c r="I195" s="283"/>
      <c r="J195" s="283"/>
      <c r="K195" s="283"/>
      <c r="L195" s="280"/>
      <c r="M195" s="285">
        <f>E195*I195</f>
        <v>0</v>
      </c>
      <c r="N195" s="285">
        <f t="shared" ref="N195" si="41">F195*J195</f>
        <v>0</v>
      </c>
      <c r="O195" s="285">
        <f>G195*K195</f>
        <v>0</v>
      </c>
    </row>
    <row r="196" spans="1:15" ht="14.25" x14ac:dyDescent="0.2">
      <c r="B196" s="268"/>
      <c r="C196" s="274" t="s">
        <v>379</v>
      </c>
      <c r="D196" s="269"/>
      <c r="E196" s="61"/>
      <c r="F196" s="61"/>
      <c r="G196" s="61"/>
      <c r="H196" s="61"/>
      <c r="I196" s="284"/>
      <c r="J196" s="284"/>
      <c r="K196" s="284"/>
      <c r="L196" s="284"/>
      <c r="M196" s="298">
        <f>SUM(M197:M197)</f>
        <v>0</v>
      </c>
      <c r="N196" s="298">
        <f>SUM(N197:N197)</f>
        <v>0</v>
      </c>
      <c r="O196" s="298">
        <f>SUM(O197:O197)</f>
        <v>0</v>
      </c>
    </row>
    <row r="197" spans="1:15" ht="14.25" x14ac:dyDescent="0.2">
      <c r="B197" s="253"/>
      <c r="C197" s="30" t="s">
        <v>394</v>
      </c>
      <c r="D197" s="41"/>
      <c r="E197" s="270"/>
      <c r="F197" s="270"/>
      <c r="G197" s="270"/>
      <c r="H197" s="28"/>
      <c r="I197" s="283"/>
      <c r="J197" s="283"/>
      <c r="K197" s="283"/>
      <c r="L197" s="280"/>
      <c r="M197" s="285">
        <f>E197*I197</f>
        <v>0</v>
      </c>
      <c r="N197" s="285">
        <f t="shared" ref="N197" si="42">F197*J197</f>
        <v>0</v>
      </c>
      <c r="O197" s="285">
        <f>G197*K197</f>
        <v>0</v>
      </c>
    </row>
    <row r="198" spans="1:15" ht="14.25" x14ac:dyDescent="0.2">
      <c r="B198" s="271"/>
      <c r="C198" s="274" t="s">
        <v>380</v>
      </c>
      <c r="D198" s="272"/>
      <c r="E198" s="61"/>
      <c r="F198" s="61"/>
      <c r="G198" s="61"/>
      <c r="H198" s="61"/>
      <c r="I198" s="284"/>
      <c r="J198" s="284"/>
      <c r="K198" s="284"/>
      <c r="L198" s="284"/>
      <c r="M198" s="298">
        <f>SUM(M199:M199)</f>
        <v>0</v>
      </c>
      <c r="N198" s="298">
        <f>SUM(N199:N199)</f>
        <v>0</v>
      </c>
      <c r="O198" s="298">
        <f>SUM(O199:O199)</f>
        <v>0</v>
      </c>
    </row>
    <row r="199" spans="1:15" ht="14.25" x14ac:dyDescent="0.2">
      <c r="B199" s="253"/>
      <c r="C199" s="30" t="s">
        <v>394</v>
      </c>
      <c r="D199" s="41"/>
      <c r="E199" s="270"/>
      <c r="F199" s="270"/>
      <c r="G199" s="270"/>
      <c r="H199" s="28"/>
      <c r="I199" s="283"/>
      <c r="J199" s="283"/>
      <c r="K199" s="283"/>
      <c r="L199" s="280"/>
      <c r="M199" s="285">
        <f>E199*I199</f>
        <v>0</v>
      </c>
      <c r="N199" s="285">
        <f t="shared" ref="N199" si="43">F199*J199</f>
        <v>0</v>
      </c>
      <c r="O199" s="285">
        <f>G199*K199</f>
        <v>0</v>
      </c>
    </row>
    <row r="200" spans="1:15" ht="14.25" x14ac:dyDescent="0.2">
      <c r="B200" s="271"/>
      <c r="C200" s="274" t="s">
        <v>381</v>
      </c>
      <c r="D200" s="272"/>
      <c r="E200" s="61"/>
      <c r="F200" s="61"/>
      <c r="G200" s="61"/>
      <c r="H200" s="61"/>
      <c r="I200" s="284"/>
      <c r="J200" s="284"/>
      <c r="K200" s="284"/>
      <c r="L200" s="284"/>
      <c r="M200" s="298">
        <f>SUM(M201:M201)</f>
        <v>0</v>
      </c>
      <c r="N200" s="298">
        <f>SUM(N201:N201)</f>
        <v>0</v>
      </c>
      <c r="O200" s="298">
        <f>SUM(O201:O201)</f>
        <v>0</v>
      </c>
    </row>
    <row r="201" spans="1:15" ht="14.25" x14ac:dyDescent="0.2">
      <c r="B201" s="253"/>
      <c r="C201" s="30" t="s">
        <v>394</v>
      </c>
      <c r="D201" s="41"/>
      <c r="E201" s="270"/>
      <c r="F201" s="270"/>
      <c r="G201" s="270"/>
      <c r="H201" s="28"/>
      <c r="I201" s="283"/>
      <c r="J201" s="283"/>
      <c r="K201" s="283"/>
      <c r="L201" s="280"/>
      <c r="M201" s="285">
        <f>E201*I201</f>
        <v>0</v>
      </c>
      <c r="N201" s="285">
        <f>F201*J201</f>
        <v>0</v>
      </c>
      <c r="O201" s="285">
        <f>G201*K201</f>
        <v>0</v>
      </c>
    </row>
    <row r="202" spans="1:15" ht="14.25" x14ac:dyDescent="0.2">
      <c r="B202" s="268"/>
      <c r="C202" s="274" t="s">
        <v>377</v>
      </c>
      <c r="D202" s="269"/>
      <c r="E202" s="61"/>
      <c r="F202" s="61"/>
      <c r="G202" s="61"/>
      <c r="H202" s="61"/>
      <c r="I202" s="284"/>
      <c r="J202" s="284"/>
      <c r="K202" s="284"/>
      <c r="L202" s="284"/>
      <c r="M202" s="298">
        <f>SUM(M203:M203)</f>
        <v>0</v>
      </c>
      <c r="N202" s="298">
        <f>SUM(N203:N203)</f>
        <v>0</v>
      </c>
      <c r="O202" s="298">
        <f>SUM(O203:O203)</f>
        <v>0</v>
      </c>
    </row>
    <row r="203" spans="1:15" ht="14.25" x14ac:dyDescent="0.2">
      <c r="B203" s="253"/>
      <c r="C203" s="30" t="s">
        <v>394</v>
      </c>
      <c r="D203" s="41"/>
      <c r="E203" s="270"/>
      <c r="F203" s="270"/>
      <c r="G203" s="270"/>
      <c r="H203" s="28"/>
      <c r="I203" s="283"/>
      <c r="J203" s="283"/>
      <c r="K203" s="283"/>
      <c r="L203" s="280"/>
      <c r="M203" s="285">
        <f>E203*I203</f>
        <v>0</v>
      </c>
      <c r="N203" s="285">
        <f t="shared" ref="N203" si="44">F203*J203</f>
        <v>0</v>
      </c>
      <c r="O203" s="285">
        <f>G203*K203</f>
        <v>0</v>
      </c>
    </row>
    <row r="204" spans="1:15" ht="14.25" x14ac:dyDescent="0.2">
      <c r="B204" s="268"/>
      <c r="C204" s="274" t="s">
        <v>382</v>
      </c>
      <c r="D204" s="269"/>
      <c r="E204" s="61"/>
      <c r="F204" s="61"/>
      <c r="G204" s="61"/>
      <c r="H204" s="61"/>
      <c r="I204" s="284"/>
      <c r="J204" s="284"/>
      <c r="K204" s="284"/>
      <c r="L204" s="284"/>
      <c r="M204" s="298">
        <f>SUM(M205:M205)</f>
        <v>0</v>
      </c>
      <c r="N204" s="298">
        <f>SUM(N205:N205)</f>
        <v>0</v>
      </c>
      <c r="O204" s="298">
        <f>SUM(O205:O205)</f>
        <v>0</v>
      </c>
    </row>
    <row r="205" spans="1:15" ht="14.25" x14ac:dyDescent="0.2">
      <c r="B205" s="253"/>
      <c r="C205" s="30" t="s">
        <v>394</v>
      </c>
      <c r="D205" s="41"/>
      <c r="E205" s="270"/>
      <c r="F205" s="270"/>
      <c r="G205" s="270"/>
      <c r="H205" s="28"/>
      <c r="I205" s="283"/>
      <c r="J205" s="283"/>
      <c r="K205" s="283"/>
      <c r="L205" s="280"/>
      <c r="M205" s="285">
        <f>E205*I205</f>
        <v>0</v>
      </c>
      <c r="N205" s="285">
        <f t="shared" ref="N205" si="45">F205*J205</f>
        <v>0</v>
      </c>
      <c r="O205" s="285">
        <f>G205*K205</f>
        <v>0</v>
      </c>
    </row>
    <row r="206" spans="1:15" ht="14.25" x14ac:dyDescent="0.2">
      <c r="A206" s="246"/>
      <c r="B206" s="275"/>
      <c r="C206" s="276" t="s">
        <v>383</v>
      </c>
      <c r="D206" s="277"/>
      <c r="E206" s="57"/>
      <c r="F206" s="57"/>
      <c r="G206" s="57"/>
      <c r="H206" s="57"/>
      <c r="I206" s="282"/>
      <c r="J206" s="282"/>
      <c r="K206" s="282"/>
      <c r="L206" s="282"/>
      <c r="M206" s="296"/>
      <c r="N206" s="296"/>
      <c r="O206" s="296"/>
    </row>
    <row r="207" spans="1:15" ht="14.25" x14ac:dyDescent="0.2">
      <c r="B207" s="271"/>
      <c r="C207" s="274" t="s">
        <v>384</v>
      </c>
      <c r="D207" s="272"/>
      <c r="E207" s="61"/>
      <c r="F207" s="61"/>
      <c r="G207" s="61"/>
      <c r="H207" s="61"/>
      <c r="I207" s="284"/>
      <c r="J207" s="284"/>
      <c r="K207" s="284"/>
      <c r="L207" s="284"/>
      <c r="M207" s="298">
        <f>SUM(M208:M208)</f>
        <v>0</v>
      </c>
      <c r="N207" s="298">
        <f>SUM(N208:N208)</f>
        <v>0</v>
      </c>
      <c r="O207" s="298">
        <f>SUM(O208:O208)</f>
        <v>0</v>
      </c>
    </row>
    <row r="208" spans="1:15" ht="14.25" x14ac:dyDescent="0.2">
      <c r="B208" s="253"/>
      <c r="C208" s="30" t="s">
        <v>394</v>
      </c>
      <c r="D208" s="41"/>
      <c r="E208" s="270"/>
      <c r="F208" s="270"/>
      <c r="G208" s="270"/>
      <c r="H208" s="28"/>
      <c r="I208" s="283"/>
      <c r="J208" s="283"/>
      <c r="K208" s="283"/>
      <c r="L208" s="280"/>
      <c r="M208" s="285">
        <f>E208*I208</f>
        <v>0</v>
      </c>
      <c r="N208" s="285">
        <f t="shared" ref="N208" si="46">F208*J208</f>
        <v>0</v>
      </c>
      <c r="O208" s="285">
        <f>G208*K208</f>
        <v>0</v>
      </c>
    </row>
    <row r="209" spans="1:15" ht="14.25" x14ac:dyDescent="0.2">
      <c r="B209" s="271"/>
      <c r="C209" s="274" t="s">
        <v>385</v>
      </c>
      <c r="D209" s="272"/>
      <c r="E209" s="61"/>
      <c r="F209" s="61"/>
      <c r="G209" s="61"/>
      <c r="H209" s="61"/>
      <c r="I209" s="284"/>
      <c r="J209" s="284"/>
      <c r="K209" s="284"/>
      <c r="L209" s="284"/>
      <c r="M209" s="298">
        <f>SUM(M210:M210)</f>
        <v>0</v>
      </c>
      <c r="N209" s="298">
        <f>SUM(N210:N210)</f>
        <v>0</v>
      </c>
      <c r="O209" s="298">
        <f>SUM(O210:O210)</f>
        <v>0</v>
      </c>
    </row>
    <row r="210" spans="1:15" ht="14.25" x14ac:dyDescent="0.2">
      <c r="B210" s="253"/>
      <c r="C210" s="30" t="s">
        <v>394</v>
      </c>
      <c r="D210" s="41"/>
      <c r="E210" s="270"/>
      <c r="F210" s="270"/>
      <c r="G210" s="270"/>
      <c r="H210" s="28"/>
      <c r="I210" s="283"/>
      <c r="J210" s="283"/>
      <c r="K210" s="283"/>
      <c r="L210" s="280"/>
      <c r="M210" s="285">
        <f>E210*I210</f>
        <v>0</v>
      </c>
      <c r="N210" s="285">
        <f t="shared" ref="N210" si="47">F210*J210</f>
        <v>0</v>
      </c>
      <c r="O210" s="285">
        <f>G210*K210</f>
        <v>0</v>
      </c>
    </row>
    <row r="211" spans="1:15" ht="14.25" x14ac:dyDescent="0.2">
      <c r="A211" s="246"/>
      <c r="B211" s="288"/>
      <c r="C211" s="289" t="s">
        <v>386</v>
      </c>
      <c r="D211" s="290"/>
      <c r="E211" s="291"/>
      <c r="F211" s="291"/>
      <c r="G211" s="291"/>
      <c r="H211" s="291"/>
      <c r="I211" s="292"/>
      <c r="J211" s="292"/>
      <c r="K211" s="292"/>
      <c r="L211" s="292"/>
      <c r="M211" s="297"/>
      <c r="N211" s="297"/>
      <c r="O211" s="297"/>
    </row>
    <row r="212" spans="1:15" ht="14.25" x14ac:dyDescent="0.2">
      <c r="B212" s="271"/>
      <c r="C212" s="274" t="s">
        <v>387</v>
      </c>
      <c r="D212" s="272"/>
      <c r="E212" s="61"/>
      <c r="F212" s="61"/>
      <c r="G212" s="61"/>
      <c r="H212" s="61"/>
      <c r="I212" s="284"/>
      <c r="J212" s="284"/>
      <c r="K212" s="284"/>
      <c r="L212" s="284"/>
      <c r="M212" s="298">
        <f>SUM(M213:M213)</f>
        <v>0</v>
      </c>
      <c r="N212" s="298">
        <f>SUM(N213:N213)</f>
        <v>0</v>
      </c>
      <c r="O212" s="298">
        <f>SUM(O213:O213)</f>
        <v>0</v>
      </c>
    </row>
    <row r="213" spans="1:15" ht="14.25" x14ac:dyDescent="0.2">
      <c r="B213" s="253"/>
      <c r="C213" s="30" t="s">
        <v>394</v>
      </c>
      <c r="D213" s="41"/>
      <c r="E213" s="270"/>
      <c r="F213" s="270"/>
      <c r="G213" s="270"/>
      <c r="H213" s="28"/>
      <c r="I213" s="283"/>
      <c r="J213" s="283"/>
      <c r="K213" s="283"/>
      <c r="L213" s="280"/>
      <c r="M213" s="285">
        <f>E213*I213</f>
        <v>0</v>
      </c>
      <c r="N213" s="285">
        <f t="shared" ref="N213" si="48">F213*J213</f>
        <v>0</v>
      </c>
      <c r="O213" s="285">
        <f>G213*K213</f>
        <v>0</v>
      </c>
    </row>
    <row r="214" spans="1:15" ht="14.25" x14ac:dyDescent="0.2">
      <c r="B214" s="271"/>
      <c r="C214" s="274" t="s">
        <v>388</v>
      </c>
      <c r="D214" s="272"/>
      <c r="E214" s="61"/>
      <c r="F214" s="61"/>
      <c r="G214" s="61"/>
      <c r="H214" s="61"/>
      <c r="I214" s="284"/>
      <c r="J214" s="284"/>
      <c r="K214" s="284"/>
      <c r="L214" s="284"/>
      <c r="M214" s="298">
        <f>SUM(M215:M215)</f>
        <v>0</v>
      </c>
      <c r="N214" s="298">
        <f>SUM(N215:N215)</f>
        <v>0</v>
      </c>
      <c r="O214" s="298">
        <f>SUM(O215:O215)</f>
        <v>0</v>
      </c>
    </row>
    <row r="215" spans="1:15" ht="14.25" x14ac:dyDescent="0.2">
      <c r="B215" s="253"/>
      <c r="C215" s="30" t="s">
        <v>394</v>
      </c>
      <c r="D215" s="41"/>
      <c r="E215" s="270"/>
      <c r="F215" s="270"/>
      <c r="G215" s="270"/>
      <c r="H215" s="28"/>
      <c r="I215" s="283"/>
      <c r="J215" s="283"/>
      <c r="K215" s="283"/>
      <c r="L215" s="280"/>
      <c r="M215" s="285">
        <f>E215*I215</f>
        <v>0</v>
      </c>
      <c r="N215" s="285">
        <f t="shared" ref="N215" si="49">F215*J215</f>
        <v>0</v>
      </c>
      <c r="O215" s="285">
        <f>G215*K215</f>
        <v>0</v>
      </c>
    </row>
    <row r="216" spans="1:15" ht="14.25" x14ac:dyDescent="0.2">
      <c r="B216" s="273"/>
      <c r="C216" s="3"/>
      <c r="D216" s="3"/>
      <c r="E216" s="3"/>
      <c r="I216" s="278"/>
      <c r="J216" s="278"/>
      <c r="K216" s="278"/>
      <c r="L216" s="278"/>
      <c r="M216" s="278"/>
      <c r="N216" s="278"/>
      <c r="O216" s="278"/>
    </row>
    <row r="217" spans="1:15" ht="15.75" thickBot="1" x14ac:dyDescent="0.3">
      <c r="A217" s="246"/>
      <c r="B217" s="273"/>
      <c r="C217" s="3"/>
      <c r="D217" s="3"/>
      <c r="E217" s="3"/>
      <c r="I217" s="278"/>
      <c r="J217" s="278"/>
      <c r="K217" s="278"/>
      <c r="L217" s="286" t="s">
        <v>390</v>
      </c>
      <c r="M217" s="287">
        <f>SUM(M190:M210)/2</f>
        <v>0</v>
      </c>
      <c r="N217" s="287">
        <f>SUM(N190:N210)/2</f>
        <v>0</v>
      </c>
      <c r="O217" s="287">
        <f>SUM(O190:O210)/2</f>
        <v>0</v>
      </c>
    </row>
    <row r="218" spans="1:15" ht="16.5" thickTop="1" thickBot="1" x14ac:dyDescent="0.3">
      <c r="B218" s="273"/>
      <c r="C218" s="3"/>
      <c r="D218" s="3"/>
      <c r="E218" s="3"/>
      <c r="I218" s="278"/>
      <c r="J218" s="278"/>
      <c r="K218" s="278"/>
      <c r="L218" s="286" t="s">
        <v>389</v>
      </c>
      <c r="M218" s="287">
        <f>SUM(M212:M215)/2</f>
        <v>0</v>
      </c>
      <c r="N218" s="287">
        <f>SUM(N212:N215)/2</f>
        <v>0</v>
      </c>
      <c r="O218" s="287">
        <f>SUM(O212:O215)/2</f>
        <v>0</v>
      </c>
    </row>
    <row r="219" spans="1:15" ht="15.75" thickTop="1" x14ac:dyDescent="0.25">
      <c r="B219" s="3"/>
      <c r="F219"/>
    </row>
    <row r="220" spans="1:15" x14ac:dyDescent="0.25">
      <c r="B220" s="3"/>
      <c r="F220"/>
    </row>
    <row r="221" spans="1:15" x14ac:dyDescent="0.25">
      <c r="B221" s="3"/>
      <c r="F221"/>
    </row>
    <row r="222" spans="1:15" x14ac:dyDescent="0.25">
      <c r="B222" s="3"/>
      <c r="F222"/>
    </row>
    <row r="223" spans="1:15" x14ac:dyDescent="0.25">
      <c r="B223" s="3"/>
      <c r="F223"/>
    </row>
    <row r="224" spans="1:15" x14ac:dyDescent="0.25">
      <c r="B224" s="3"/>
      <c r="F224"/>
    </row>
    <row r="225" spans="2:6" x14ac:dyDescent="0.25">
      <c r="B225" s="3"/>
      <c r="F225"/>
    </row>
    <row r="226" spans="2:6" x14ac:dyDescent="0.25">
      <c r="B226" s="3"/>
      <c r="F226"/>
    </row>
    <row r="227" spans="2:6" x14ac:dyDescent="0.25">
      <c r="B227" s="3"/>
      <c r="F227"/>
    </row>
    <row r="228" spans="2:6" x14ac:dyDescent="0.25">
      <c r="B228" s="3"/>
      <c r="F228"/>
    </row>
    <row r="229" spans="2:6" x14ac:dyDescent="0.25">
      <c r="B229" s="3"/>
      <c r="F229"/>
    </row>
    <row r="230" spans="2:6" x14ac:dyDescent="0.25">
      <c r="B230" s="3"/>
      <c r="F230"/>
    </row>
    <row r="231" spans="2:6" x14ac:dyDescent="0.25">
      <c r="B231" s="3"/>
      <c r="F231"/>
    </row>
    <row r="232" spans="2:6" x14ac:dyDescent="0.25">
      <c r="B232" s="3"/>
      <c r="F232"/>
    </row>
    <row r="233" spans="2:6" x14ac:dyDescent="0.25">
      <c r="B233" s="3"/>
      <c r="F233"/>
    </row>
    <row r="234" spans="2:6" x14ac:dyDescent="0.25">
      <c r="B234" s="3"/>
      <c r="F234"/>
    </row>
    <row r="235" spans="2:6" x14ac:dyDescent="0.25">
      <c r="B235" s="3"/>
      <c r="F235"/>
    </row>
    <row r="236" spans="2:6" x14ac:dyDescent="0.25">
      <c r="B236" s="3"/>
      <c r="F236"/>
    </row>
    <row r="237" spans="2:6" x14ac:dyDescent="0.25">
      <c r="B237" s="3"/>
      <c r="F237"/>
    </row>
    <row r="238" spans="2:6" x14ac:dyDescent="0.25">
      <c r="B238" s="3"/>
      <c r="F238"/>
    </row>
    <row r="239" spans="2:6" x14ac:dyDescent="0.25">
      <c r="B239" s="3"/>
      <c r="F239"/>
    </row>
    <row r="240" spans="2:6" x14ac:dyDescent="0.25">
      <c r="B240" s="3"/>
      <c r="F240"/>
    </row>
    <row r="241" spans="2:6" x14ac:dyDescent="0.25">
      <c r="B241" s="3"/>
      <c r="F241"/>
    </row>
    <row r="242" spans="2:6" x14ac:dyDescent="0.25">
      <c r="B242" s="3"/>
      <c r="F242"/>
    </row>
    <row r="243" spans="2:6" x14ac:dyDescent="0.25">
      <c r="B243" s="3"/>
      <c r="F243"/>
    </row>
    <row r="244" spans="2:6" x14ac:dyDescent="0.25">
      <c r="B244" s="3"/>
      <c r="F244"/>
    </row>
    <row r="245" spans="2:6" x14ac:dyDescent="0.25">
      <c r="B245" s="3"/>
      <c r="F245"/>
    </row>
    <row r="246" spans="2:6" x14ac:dyDescent="0.25">
      <c r="B246" s="3"/>
      <c r="F246"/>
    </row>
    <row r="247" spans="2:6" x14ac:dyDescent="0.25">
      <c r="B247" s="3"/>
      <c r="F247"/>
    </row>
    <row r="248" spans="2:6" x14ac:dyDescent="0.25">
      <c r="B248" s="3"/>
      <c r="F248"/>
    </row>
    <row r="249" spans="2:6" x14ac:dyDescent="0.25">
      <c r="B249" s="3"/>
      <c r="F249"/>
    </row>
    <row r="250" spans="2:6" x14ac:dyDescent="0.25">
      <c r="B250" s="3"/>
      <c r="F250"/>
    </row>
    <row r="251" spans="2:6" x14ac:dyDescent="0.25">
      <c r="B251" s="3"/>
      <c r="F251"/>
    </row>
    <row r="252" spans="2:6" x14ac:dyDescent="0.25">
      <c r="B252" s="3"/>
      <c r="F252"/>
    </row>
    <row r="253" spans="2:6" x14ac:dyDescent="0.25">
      <c r="B253" s="3"/>
      <c r="F253"/>
    </row>
    <row r="254" spans="2:6" x14ac:dyDescent="0.25">
      <c r="B254" s="3"/>
      <c r="F254"/>
    </row>
    <row r="255" spans="2:6" x14ac:dyDescent="0.25">
      <c r="B255" s="3"/>
      <c r="F255"/>
    </row>
    <row r="256" spans="2:6" x14ac:dyDescent="0.25">
      <c r="B256" s="3"/>
      <c r="F256"/>
    </row>
  </sheetData>
  <mergeCells count="3">
    <mergeCell ref="D13:G13"/>
    <mergeCell ref="D15:G15"/>
    <mergeCell ref="D17:O17"/>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7"/>
  <sheetViews>
    <sheetView showGridLines="0" workbookViewId="0">
      <selection activeCell="I64" sqref="I64"/>
    </sheetView>
  </sheetViews>
  <sheetFormatPr defaultRowHeight="15" x14ac:dyDescent="0.25"/>
  <cols>
    <col min="2" max="2" width="13.140625" customWidth="1"/>
    <col min="3" max="4" width="7.5703125" bestFit="1" customWidth="1"/>
    <col min="5" max="5" width="7.42578125" bestFit="1" customWidth="1"/>
    <col min="6" max="6" width="21" customWidth="1"/>
    <col min="7" max="7" width="12.42578125" customWidth="1"/>
    <col min="8" max="8" width="12.85546875" customWidth="1"/>
    <col min="9" max="9" width="17" customWidth="1"/>
    <col min="10" max="10" width="11.85546875" customWidth="1"/>
    <col min="11" max="11" width="14.140625" customWidth="1"/>
  </cols>
  <sheetData>
    <row r="2" spans="2:11" ht="15.75" x14ac:dyDescent="0.25">
      <c r="B2" s="348" t="s">
        <v>456</v>
      </c>
      <c r="C2" s="348"/>
      <c r="D2" s="348"/>
      <c r="E2" s="348"/>
      <c r="F2" s="391" t="s">
        <v>804</v>
      </c>
      <c r="G2" s="941" t="s">
        <v>704</v>
      </c>
      <c r="H2" s="941"/>
      <c r="I2" s="941"/>
      <c r="J2" s="355" t="s">
        <v>278</v>
      </c>
      <c r="K2" s="356" t="s">
        <v>810</v>
      </c>
    </row>
    <row r="3" spans="2:11" ht="15" customHeight="1" x14ac:dyDescent="0.25">
      <c r="B3" s="347" t="s">
        <v>435</v>
      </c>
      <c r="C3" s="368">
        <v>2011</v>
      </c>
      <c r="D3" s="368">
        <v>2012</v>
      </c>
      <c r="E3" s="369">
        <v>2013</v>
      </c>
      <c r="F3" s="393" t="s">
        <v>371</v>
      </c>
      <c r="G3" s="358" t="s">
        <v>371</v>
      </c>
      <c r="H3" s="358" t="s">
        <v>372</v>
      </c>
      <c r="I3" s="358" t="s">
        <v>373</v>
      </c>
      <c r="J3" s="355" t="s">
        <v>371</v>
      </c>
      <c r="K3" s="356" t="s">
        <v>371</v>
      </c>
    </row>
    <row r="4" spans="2:11" ht="15" customHeight="1" x14ac:dyDescent="0.25">
      <c r="B4" s="349" t="s">
        <v>457</v>
      </c>
      <c r="C4" s="360" t="s">
        <v>436</v>
      </c>
      <c r="D4" s="360" t="s">
        <v>437</v>
      </c>
      <c r="E4">
        <v>66007</v>
      </c>
      <c r="F4" s="370">
        <f>G4</f>
        <v>66667.070000000007</v>
      </c>
      <c r="G4" s="370">
        <f t="shared" ref="G4:G12" si="0">E4*(1+G16)</f>
        <v>66667.070000000007</v>
      </c>
      <c r="H4" s="370">
        <f t="shared" ref="H4:I4" si="1">G4*(1+H16)</f>
        <v>67333.740700000009</v>
      </c>
      <c r="I4" s="370">
        <f t="shared" si="1"/>
        <v>68007.078107000008</v>
      </c>
      <c r="J4" s="370">
        <f>E4*(1+J16)</f>
        <v>66667.070000000007</v>
      </c>
      <c r="K4" s="370">
        <f>E4*(1+K16)</f>
        <v>66667.070000000007</v>
      </c>
    </row>
    <row r="5" spans="2:11" ht="15" customHeight="1" x14ac:dyDescent="0.25">
      <c r="B5" s="349" t="s">
        <v>458</v>
      </c>
      <c r="C5" s="360" t="s">
        <v>438</v>
      </c>
      <c r="D5" s="360" t="s">
        <v>439</v>
      </c>
      <c r="E5">
        <v>24475</v>
      </c>
      <c r="F5" s="370">
        <f t="shared" ref="F5:F13" si="2">G5</f>
        <v>24719.75</v>
      </c>
      <c r="G5" s="370">
        <f t="shared" si="0"/>
        <v>24719.75</v>
      </c>
      <c r="H5" s="370">
        <f t="shared" ref="H5:I5" si="3">G5*(1+H17)</f>
        <v>24966.947500000002</v>
      </c>
      <c r="I5" s="370">
        <f t="shared" si="3"/>
        <v>25216.616975000001</v>
      </c>
      <c r="J5" s="370">
        <f t="shared" ref="J5:J12" si="4">E5*(1+J17)</f>
        <v>24719.75</v>
      </c>
      <c r="K5" s="370">
        <f t="shared" ref="K5:K12" si="5">E5*(1+K17)</f>
        <v>24719.75</v>
      </c>
    </row>
    <row r="6" spans="2:11" ht="15" customHeight="1" x14ac:dyDescent="0.25">
      <c r="B6" s="349" t="s">
        <v>459</v>
      </c>
      <c r="C6" s="360" t="s">
        <v>440</v>
      </c>
      <c r="D6" s="360" t="s">
        <v>441</v>
      </c>
      <c r="E6">
        <v>74823</v>
      </c>
      <c r="F6" s="370">
        <f t="shared" si="2"/>
        <v>75571.23</v>
      </c>
      <c r="G6" s="370">
        <f t="shared" si="0"/>
        <v>75571.23</v>
      </c>
      <c r="H6" s="370">
        <f t="shared" ref="H6:I6" si="6">G6*(1+H18)</f>
        <v>76326.942299999995</v>
      </c>
      <c r="I6" s="370">
        <f t="shared" si="6"/>
        <v>77090.211723</v>
      </c>
      <c r="J6" s="370">
        <f t="shared" si="4"/>
        <v>75571.23</v>
      </c>
      <c r="K6" s="370">
        <f t="shared" si="5"/>
        <v>75571.23</v>
      </c>
    </row>
    <row r="7" spans="2:11" ht="15" customHeight="1" x14ac:dyDescent="0.25">
      <c r="B7" s="349" t="s">
        <v>460</v>
      </c>
      <c r="C7" s="360" t="s">
        <v>442</v>
      </c>
      <c r="D7" s="360" t="s">
        <v>443</v>
      </c>
      <c r="E7">
        <v>96057</v>
      </c>
      <c r="F7" s="370">
        <f t="shared" si="2"/>
        <v>97017.57</v>
      </c>
      <c r="G7" s="370">
        <f t="shared" si="0"/>
        <v>97017.57</v>
      </c>
      <c r="H7" s="370">
        <f t="shared" ref="H7:I7" si="7">G7*(1+H19)</f>
        <v>97987.745700000014</v>
      </c>
      <c r="I7" s="370">
        <f t="shared" si="7"/>
        <v>98967.623157000009</v>
      </c>
      <c r="J7" s="370">
        <f t="shared" si="4"/>
        <v>97017.57</v>
      </c>
      <c r="K7" s="370">
        <f t="shared" si="5"/>
        <v>97017.57</v>
      </c>
    </row>
    <row r="8" spans="2:11" ht="15" customHeight="1" x14ac:dyDescent="0.25">
      <c r="B8" s="349" t="s">
        <v>461</v>
      </c>
      <c r="C8" s="360" t="s">
        <v>444</v>
      </c>
      <c r="D8" s="360" t="s">
        <v>445</v>
      </c>
      <c r="E8">
        <v>57108</v>
      </c>
      <c r="F8" s="370">
        <f t="shared" si="2"/>
        <v>57679.08</v>
      </c>
      <c r="G8" s="370">
        <f t="shared" si="0"/>
        <v>57679.08</v>
      </c>
      <c r="H8" s="370">
        <f t="shared" ref="H8:I8" si="8">G8*(1+H20)</f>
        <v>58255.870800000004</v>
      </c>
      <c r="I8" s="370">
        <f t="shared" si="8"/>
        <v>58838.429508000008</v>
      </c>
      <c r="J8" s="370">
        <f t="shared" si="4"/>
        <v>57679.08</v>
      </c>
      <c r="K8" s="370">
        <f t="shared" si="5"/>
        <v>57679.08</v>
      </c>
    </row>
    <row r="9" spans="2:11" ht="15" customHeight="1" x14ac:dyDescent="0.25">
      <c r="B9" s="349" t="s">
        <v>462</v>
      </c>
      <c r="C9" s="360" t="s">
        <v>446</v>
      </c>
      <c r="D9" s="360" t="s">
        <v>447</v>
      </c>
      <c r="E9">
        <v>34936</v>
      </c>
      <c r="F9" s="370">
        <f t="shared" si="2"/>
        <v>35285.360000000001</v>
      </c>
      <c r="G9" s="370">
        <f t="shared" si="0"/>
        <v>35285.360000000001</v>
      </c>
      <c r="H9" s="370">
        <f t="shared" ref="H9:I9" si="9">G9*(1+H21)</f>
        <v>35638.213600000003</v>
      </c>
      <c r="I9" s="370">
        <f t="shared" si="9"/>
        <v>35994.595736000003</v>
      </c>
      <c r="J9" s="370">
        <f t="shared" si="4"/>
        <v>35285.360000000001</v>
      </c>
      <c r="K9" s="370">
        <f t="shared" si="5"/>
        <v>35285.360000000001</v>
      </c>
    </row>
    <row r="10" spans="2:11" ht="15" customHeight="1" x14ac:dyDescent="0.25">
      <c r="B10" s="349" t="s">
        <v>463</v>
      </c>
      <c r="C10" s="360" t="s">
        <v>448</v>
      </c>
      <c r="D10" s="360" t="s">
        <v>449</v>
      </c>
      <c r="E10">
        <v>8972</v>
      </c>
      <c r="F10" s="370">
        <f t="shared" si="2"/>
        <v>9061.7199999999993</v>
      </c>
      <c r="G10" s="370">
        <f t="shared" si="0"/>
        <v>9061.7199999999993</v>
      </c>
      <c r="H10" s="370">
        <f t="shared" ref="H10:I10" si="10">G10*(1+H22)</f>
        <v>9152.3371999999999</v>
      </c>
      <c r="I10" s="370">
        <f t="shared" si="10"/>
        <v>9243.8605719999996</v>
      </c>
      <c r="J10" s="370">
        <f t="shared" si="4"/>
        <v>9061.7199999999993</v>
      </c>
      <c r="K10" s="370">
        <f t="shared" si="5"/>
        <v>9061.7199999999993</v>
      </c>
    </row>
    <row r="11" spans="2:11" ht="15" customHeight="1" x14ac:dyDescent="0.25">
      <c r="B11" s="349" t="s">
        <v>464</v>
      </c>
      <c r="C11" s="360" t="s">
        <v>450</v>
      </c>
      <c r="D11" s="360" t="s">
        <v>451</v>
      </c>
      <c r="E11">
        <v>26194</v>
      </c>
      <c r="F11" s="370">
        <f t="shared" si="2"/>
        <v>26455.94</v>
      </c>
      <c r="G11" s="370">
        <f t="shared" si="0"/>
        <v>26455.94</v>
      </c>
      <c r="H11" s="370">
        <f t="shared" ref="H11:I11" si="11">G11*(1+H23)</f>
        <v>26720.499400000001</v>
      </c>
      <c r="I11" s="370">
        <f t="shared" si="11"/>
        <v>26987.704394</v>
      </c>
      <c r="J11" s="370">
        <f t="shared" si="4"/>
        <v>26455.94</v>
      </c>
      <c r="K11" s="370">
        <f t="shared" si="5"/>
        <v>26455.94</v>
      </c>
    </row>
    <row r="12" spans="2:11" ht="15" customHeight="1" x14ac:dyDescent="0.25">
      <c r="B12" s="349" t="s">
        <v>465</v>
      </c>
      <c r="C12" s="360" t="s">
        <v>452</v>
      </c>
      <c r="D12" s="360" t="s">
        <v>453</v>
      </c>
      <c r="E12">
        <v>36451</v>
      </c>
      <c r="F12" s="370">
        <f t="shared" si="2"/>
        <v>36815.51</v>
      </c>
      <c r="G12" s="370">
        <f t="shared" si="0"/>
        <v>36815.51</v>
      </c>
      <c r="H12" s="370">
        <f t="shared" ref="H12:I12" si="12">G12*(1+H24)</f>
        <v>37183.665100000006</v>
      </c>
      <c r="I12" s="370">
        <f t="shared" si="12"/>
        <v>37555.501751000003</v>
      </c>
      <c r="J12" s="370">
        <f t="shared" si="4"/>
        <v>36815.51</v>
      </c>
      <c r="K12" s="370">
        <f t="shared" si="5"/>
        <v>36815.51</v>
      </c>
    </row>
    <row r="13" spans="2:11" ht="15" customHeight="1" x14ac:dyDescent="0.25">
      <c r="B13" s="349" t="s">
        <v>700</v>
      </c>
      <c r="C13" s="360" t="s">
        <v>454</v>
      </c>
      <c r="D13" s="360" t="s">
        <v>455</v>
      </c>
      <c r="E13" s="360" t="s">
        <v>433</v>
      </c>
      <c r="F13" s="370">
        <f t="shared" si="2"/>
        <v>429273.23</v>
      </c>
      <c r="G13" s="370">
        <f>SUM(G4:G12)</f>
        <v>429273.23</v>
      </c>
      <c r="H13" s="370">
        <f t="shared" ref="H13:K13" si="13">SUM(H4:H12)</f>
        <v>433565.96230000001</v>
      </c>
      <c r="I13" s="370">
        <f t="shared" si="13"/>
        <v>437901.62192300003</v>
      </c>
      <c r="J13" s="370">
        <f t="shared" si="13"/>
        <v>429273.23</v>
      </c>
      <c r="K13" s="370">
        <f t="shared" si="13"/>
        <v>429273.23</v>
      </c>
    </row>
    <row r="15" spans="2:11" x14ac:dyDescent="0.25">
      <c r="B15" s="371" t="s">
        <v>494</v>
      </c>
    </row>
    <row r="16" spans="2:11" x14ac:dyDescent="0.25">
      <c r="B16" s="349" t="s">
        <v>457</v>
      </c>
      <c r="G16" s="14">
        <v>0.01</v>
      </c>
      <c r="H16" s="14">
        <v>0.01</v>
      </c>
      <c r="I16" s="14">
        <v>0.01</v>
      </c>
      <c r="J16" s="14">
        <v>0.01</v>
      </c>
      <c r="K16" s="14">
        <v>0.01</v>
      </c>
    </row>
    <row r="17" spans="2:11" x14ac:dyDescent="0.25">
      <c r="B17" s="349" t="s">
        <v>458</v>
      </c>
      <c r="G17" s="14">
        <v>0.01</v>
      </c>
      <c r="H17" s="14">
        <v>0.01</v>
      </c>
      <c r="I17" s="14">
        <v>0.01</v>
      </c>
      <c r="J17" s="14">
        <v>0.01</v>
      </c>
      <c r="K17" s="14">
        <v>0.01</v>
      </c>
    </row>
    <row r="18" spans="2:11" x14ac:dyDescent="0.25">
      <c r="B18" s="349" t="s">
        <v>459</v>
      </c>
      <c r="G18" s="14">
        <v>0.01</v>
      </c>
      <c r="H18" s="14">
        <v>0.01</v>
      </c>
      <c r="I18" s="14">
        <v>0.01</v>
      </c>
      <c r="J18" s="14">
        <v>0.01</v>
      </c>
      <c r="K18" s="14">
        <v>0.01</v>
      </c>
    </row>
    <row r="19" spans="2:11" x14ac:dyDescent="0.25">
      <c r="B19" s="349" t="s">
        <v>460</v>
      </c>
      <c r="G19" s="14">
        <v>0.01</v>
      </c>
      <c r="H19" s="14">
        <v>0.01</v>
      </c>
      <c r="I19" s="14">
        <v>0.01</v>
      </c>
      <c r="J19" s="14">
        <v>0.01</v>
      </c>
      <c r="K19" s="14">
        <v>0.01</v>
      </c>
    </row>
    <row r="20" spans="2:11" x14ac:dyDescent="0.25">
      <c r="B20" s="349" t="s">
        <v>461</v>
      </c>
      <c r="G20" s="14">
        <v>0.01</v>
      </c>
      <c r="H20" s="14">
        <v>0.01</v>
      </c>
      <c r="I20" s="14">
        <v>0.01</v>
      </c>
      <c r="J20" s="14">
        <v>0.01</v>
      </c>
      <c r="K20" s="14">
        <v>0.01</v>
      </c>
    </row>
    <row r="21" spans="2:11" x14ac:dyDescent="0.25">
      <c r="B21" s="349" t="s">
        <v>462</v>
      </c>
      <c r="G21" s="14">
        <v>0.01</v>
      </c>
      <c r="H21" s="14">
        <v>0.01</v>
      </c>
      <c r="I21" s="14">
        <v>0.01</v>
      </c>
      <c r="J21" s="14">
        <v>0.01</v>
      </c>
      <c r="K21" s="14">
        <v>0.01</v>
      </c>
    </row>
    <row r="22" spans="2:11" x14ac:dyDescent="0.25">
      <c r="B22" s="349" t="s">
        <v>463</v>
      </c>
      <c r="G22" s="14">
        <v>0.01</v>
      </c>
      <c r="H22" s="14">
        <v>0.01</v>
      </c>
      <c r="I22" s="14">
        <v>0.01</v>
      </c>
      <c r="J22" s="14">
        <v>0.01</v>
      </c>
      <c r="K22" s="14">
        <v>0.01</v>
      </c>
    </row>
    <row r="23" spans="2:11" x14ac:dyDescent="0.25">
      <c r="B23" s="349" t="s">
        <v>464</v>
      </c>
      <c r="G23" s="14">
        <v>0.01</v>
      </c>
      <c r="H23" s="14">
        <v>0.01</v>
      </c>
      <c r="I23" s="14">
        <v>0.01</v>
      </c>
      <c r="J23" s="14">
        <v>0.01</v>
      </c>
      <c r="K23" s="14">
        <v>0.01</v>
      </c>
    </row>
    <row r="24" spans="2:11" x14ac:dyDescent="0.25">
      <c r="B24" s="349" t="s">
        <v>465</v>
      </c>
      <c r="G24" s="14">
        <v>0.01</v>
      </c>
      <c r="H24" s="14">
        <v>0.01</v>
      </c>
      <c r="I24" s="14">
        <v>0.01</v>
      </c>
      <c r="J24" s="14">
        <v>0.01</v>
      </c>
      <c r="K24" s="14">
        <v>0.01</v>
      </c>
    </row>
    <row r="25" spans="2:11" x14ac:dyDescent="0.25">
      <c r="B25" s="349" t="s">
        <v>434</v>
      </c>
      <c r="G25" s="14">
        <v>0.01</v>
      </c>
      <c r="H25" s="14">
        <v>0.01</v>
      </c>
      <c r="I25" s="14">
        <v>0.01</v>
      </c>
      <c r="J25" s="14">
        <v>0.01</v>
      </c>
      <c r="K25" s="14">
        <v>0.01</v>
      </c>
    </row>
    <row r="27" spans="2:11" x14ac:dyDescent="0.25">
      <c r="B27" s="347" t="s">
        <v>435</v>
      </c>
      <c r="C27" t="s">
        <v>698</v>
      </c>
    </row>
    <row r="28" spans="2:11" x14ac:dyDescent="0.25">
      <c r="B28" s="349" t="s">
        <v>457</v>
      </c>
      <c r="C28" s="388">
        <v>8</v>
      </c>
      <c r="F28" t="s">
        <v>699</v>
      </c>
    </row>
    <row r="29" spans="2:11" x14ac:dyDescent="0.25">
      <c r="B29" s="349" t="s">
        <v>458</v>
      </c>
      <c r="C29">
        <v>5</v>
      </c>
    </row>
    <row r="30" spans="2:11" x14ac:dyDescent="0.25">
      <c r="B30" s="349" t="s">
        <v>459</v>
      </c>
      <c r="C30" s="388">
        <v>5</v>
      </c>
    </row>
    <row r="31" spans="2:11" x14ac:dyDescent="0.25">
      <c r="B31" s="349" t="s">
        <v>460</v>
      </c>
      <c r="C31">
        <v>12</v>
      </c>
    </row>
    <row r="32" spans="2:11" x14ac:dyDescent="0.25">
      <c r="B32" s="349" t="s">
        <v>461</v>
      </c>
      <c r="C32">
        <v>5</v>
      </c>
    </row>
    <row r="33" spans="2:3" x14ac:dyDescent="0.25">
      <c r="B33" s="349" t="s">
        <v>462</v>
      </c>
      <c r="C33">
        <v>4</v>
      </c>
    </row>
    <row r="34" spans="2:3" x14ac:dyDescent="0.25">
      <c r="B34" s="349" t="s">
        <v>463</v>
      </c>
      <c r="C34">
        <v>5</v>
      </c>
    </row>
    <row r="35" spans="2:3" x14ac:dyDescent="0.25">
      <c r="B35" s="349" t="s">
        <v>464</v>
      </c>
      <c r="C35">
        <v>4</v>
      </c>
    </row>
    <row r="36" spans="2:3" x14ac:dyDescent="0.25">
      <c r="B36" s="349" t="s">
        <v>465</v>
      </c>
      <c r="C36">
        <v>8</v>
      </c>
    </row>
    <row r="37" spans="2:3" x14ac:dyDescent="0.25">
      <c r="B37" s="349" t="s">
        <v>700</v>
      </c>
      <c r="C37">
        <f>SUM(C28:C36)</f>
        <v>56</v>
      </c>
    </row>
  </sheetData>
  <mergeCells count="1">
    <mergeCell ref="G2: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17"/>
  <sheetViews>
    <sheetView showGridLines="0" zoomScaleNormal="100" workbookViewId="0">
      <pane xSplit="24" ySplit="42" topLeftCell="Y43" activePane="bottomRight" state="frozen"/>
      <selection activeCell="C13" sqref="C13"/>
      <selection pane="topRight" activeCell="C13" sqref="C13"/>
      <selection pane="bottomLeft" activeCell="C13" sqref="C13"/>
      <selection pane="bottomRight" activeCell="C18" sqref="C18"/>
    </sheetView>
  </sheetViews>
  <sheetFormatPr defaultRowHeight="15" x14ac:dyDescent="0.25"/>
  <cols>
    <col min="2" max="2" width="21" customWidth="1"/>
    <col min="3" max="3" width="93.85546875" bestFit="1" customWidth="1"/>
  </cols>
  <sheetData>
    <row r="3" spans="1:12" x14ac:dyDescent="0.25">
      <c r="B3" s="2" t="s">
        <v>232</v>
      </c>
      <c r="C3" s="3"/>
      <c r="D3" s="3"/>
      <c r="E3" s="3"/>
      <c r="F3" s="3"/>
      <c r="G3" s="3"/>
      <c r="H3" s="3"/>
      <c r="I3" s="3"/>
      <c r="J3" s="3"/>
      <c r="K3" s="3"/>
      <c r="L3" s="3"/>
    </row>
    <row r="4" spans="1:12" x14ac:dyDescent="0.25">
      <c r="B4" s="2" t="s">
        <v>230</v>
      </c>
      <c r="C4" s="2" t="s">
        <v>345</v>
      </c>
      <c r="D4" s="3"/>
      <c r="E4" s="3"/>
      <c r="F4" s="3"/>
      <c r="G4" s="3"/>
      <c r="H4" s="3"/>
      <c r="I4" s="3"/>
      <c r="J4" s="3"/>
      <c r="K4" s="3"/>
      <c r="L4" s="3"/>
    </row>
    <row r="5" spans="1:12" ht="15.75" x14ac:dyDescent="0.25">
      <c r="A5" s="225"/>
      <c r="B5" s="121" t="s">
        <v>361</v>
      </c>
      <c r="C5" s="3" t="s">
        <v>580</v>
      </c>
      <c r="D5" s="3"/>
      <c r="E5" s="3"/>
      <c r="F5" s="3"/>
      <c r="G5" s="3"/>
      <c r="H5" s="3"/>
      <c r="I5" s="3"/>
      <c r="J5" s="3"/>
      <c r="K5" s="3"/>
      <c r="L5" s="3"/>
    </row>
    <row r="6" spans="1:12" x14ac:dyDescent="0.25">
      <c r="B6" s="248" t="s">
        <v>496</v>
      </c>
      <c r="C6" s="3" t="s">
        <v>581</v>
      </c>
      <c r="D6" s="3"/>
      <c r="E6" s="3"/>
      <c r="F6" s="3"/>
      <c r="G6" s="3"/>
      <c r="H6" s="3"/>
      <c r="I6" s="3"/>
      <c r="J6" s="3"/>
      <c r="K6" s="3"/>
      <c r="L6" s="3"/>
    </row>
    <row r="7" spans="1:12" ht="15.75" x14ac:dyDescent="0.25">
      <c r="A7" s="225"/>
      <c r="B7" s="248" t="s">
        <v>768</v>
      </c>
      <c r="C7" s="3" t="s">
        <v>769</v>
      </c>
      <c r="D7" s="3"/>
      <c r="E7" s="3"/>
      <c r="F7" s="3"/>
      <c r="G7" s="3"/>
      <c r="H7" s="3"/>
      <c r="I7" s="3"/>
      <c r="J7" s="3"/>
      <c r="K7" s="3"/>
      <c r="L7" s="3"/>
    </row>
    <row r="8" spans="1:12" x14ac:dyDescent="0.25">
      <c r="B8" s="248" t="s">
        <v>555</v>
      </c>
      <c r="C8" s="3" t="s">
        <v>582</v>
      </c>
      <c r="D8" s="3"/>
      <c r="E8" s="3"/>
      <c r="F8" s="3"/>
      <c r="G8" s="3"/>
      <c r="H8" s="3"/>
      <c r="I8" s="3"/>
      <c r="J8" s="3"/>
      <c r="K8" s="3"/>
      <c r="L8" s="3"/>
    </row>
    <row r="9" spans="1:12" x14ac:dyDescent="0.25">
      <c r="B9" s="248" t="s">
        <v>557</v>
      </c>
      <c r="C9" s="3" t="s">
        <v>702</v>
      </c>
      <c r="D9" s="3"/>
      <c r="E9" s="3"/>
      <c r="F9" s="3"/>
      <c r="G9" s="3"/>
      <c r="H9" s="3"/>
      <c r="I9" s="3"/>
      <c r="J9" s="3"/>
      <c r="K9" s="3"/>
      <c r="L9" s="3"/>
    </row>
    <row r="10" spans="1:12" x14ac:dyDescent="0.25">
      <c r="B10" s="248" t="s">
        <v>550</v>
      </c>
      <c r="C10" s="3" t="s">
        <v>703</v>
      </c>
      <c r="D10" s="3"/>
      <c r="E10" s="3"/>
      <c r="F10" s="3"/>
      <c r="G10" s="3"/>
      <c r="H10" s="3"/>
      <c r="I10" s="3"/>
      <c r="J10" s="3"/>
      <c r="K10" s="3"/>
      <c r="L10" s="3"/>
    </row>
    <row r="11" spans="1:12" x14ac:dyDescent="0.25">
      <c r="B11" s="248"/>
      <c r="C11" s="3"/>
      <c r="D11" s="3"/>
      <c r="E11" s="3"/>
      <c r="F11" s="3"/>
      <c r="G11" s="3"/>
      <c r="H11" s="3"/>
      <c r="I11" s="3"/>
      <c r="J11" s="3"/>
      <c r="K11" s="3"/>
      <c r="L11" s="3"/>
    </row>
    <row r="12" spans="1:12" ht="18" x14ac:dyDescent="0.25">
      <c r="B12" s="122" t="s">
        <v>346</v>
      </c>
    </row>
    <row r="13" spans="1:12" ht="19.5" customHeight="1" x14ac:dyDescent="0.25">
      <c r="B13" s="246"/>
      <c r="C13" s="843" t="s">
        <v>817</v>
      </c>
    </row>
    <row r="14" spans="1:12" ht="45" customHeight="1" x14ac:dyDescent="0.25">
      <c r="B14" s="246"/>
      <c r="C14" s="844" t="s">
        <v>818</v>
      </c>
    </row>
    <row r="15" spans="1:12" ht="48" customHeight="1" x14ac:dyDescent="0.25">
      <c r="B15" s="3"/>
      <c r="C15" s="845" t="s">
        <v>819</v>
      </c>
    </row>
    <row r="16" spans="1:12" ht="30" x14ac:dyDescent="0.25">
      <c r="C16" s="846" t="s">
        <v>820</v>
      </c>
    </row>
    <row r="17" spans="3:3" ht="30" x14ac:dyDescent="0.25">
      <c r="C17" s="846" t="s">
        <v>821</v>
      </c>
    </row>
  </sheetData>
  <hyperlinks>
    <hyperlink ref="B6" location="GenAssumptions!A1" display="General Assumptions"/>
    <hyperlink ref="B5" location="'Service Descriptions'!A1" display="Service Descriptions"/>
    <hyperlink ref="B8" location="DBE!A1" display="DBE"/>
    <hyperlink ref="B9" location="PED!A1" display="PED"/>
    <hyperlink ref="B10" location="DISTRICT!A1" display="District"/>
    <hyperlink ref="B7" location="Summary_All!A1" display="Summary_All"/>
  </hyperlink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9"/>
  <sheetViews>
    <sheetView showGridLines="0" workbookViewId="0">
      <pane ySplit="3" topLeftCell="A41" activePane="bottomLeft" state="frozen"/>
      <selection activeCell="I64" sqref="I64"/>
      <selection pane="bottomLeft" activeCell="I64" sqref="I64"/>
    </sheetView>
  </sheetViews>
  <sheetFormatPr defaultRowHeight="15" x14ac:dyDescent="0.25"/>
  <cols>
    <col min="3" max="4" width="23.28515625" customWidth="1"/>
    <col min="5" max="5" width="20.28515625" customWidth="1"/>
    <col min="6" max="8" width="15.7109375" customWidth="1"/>
    <col min="9" max="10" width="12.85546875" bestFit="1" customWidth="1"/>
  </cols>
  <sheetData>
    <row r="1" spans="2:10" ht="15.75" x14ac:dyDescent="0.25">
      <c r="B1" s="313" t="s">
        <v>400</v>
      </c>
      <c r="C1" s="313"/>
      <c r="D1" s="313"/>
      <c r="E1" s="313"/>
      <c r="F1" s="313"/>
      <c r="G1" s="313"/>
      <c r="H1" s="313"/>
    </row>
    <row r="2" spans="2:10" ht="15.75" x14ac:dyDescent="0.25">
      <c r="D2" s="391" t="s">
        <v>804</v>
      </c>
      <c r="E2" s="941" t="s">
        <v>409</v>
      </c>
      <c r="F2" s="941"/>
      <c r="G2" s="941"/>
      <c r="H2" s="355" t="s">
        <v>397</v>
      </c>
      <c r="I2" s="356" t="s">
        <v>278</v>
      </c>
    </row>
    <row r="3" spans="2:10" ht="15.75" x14ac:dyDescent="0.25">
      <c r="D3" s="393" t="s">
        <v>371</v>
      </c>
      <c r="E3" s="357" t="s">
        <v>371</v>
      </c>
      <c r="F3" s="357" t="s">
        <v>372</v>
      </c>
      <c r="G3" s="357" t="s">
        <v>373</v>
      </c>
      <c r="H3" s="355" t="s">
        <v>371</v>
      </c>
      <c r="I3" s="356" t="s">
        <v>371</v>
      </c>
    </row>
    <row r="4" spans="2:10" ht="15.75" x14ac:dyDescent="0.25">
      <c r="B4" s="1" t="str">
        <f>PED!B42</f>
        <v>Teacher education assumptions (proxy of INSET need)</v>
      </c>
      <c r="E4" s="377"/>
      <c r="F4" s="377"/>
      <c r="G4" s="377"/>
      <c r="H4" s="377"/>
      <c r="I4" s="377"/>
    </row>
    <row r="5" spans="2:10" x14ac:dyDescent="0.25">
      <c r="C5" t="s">
        <v>490</v>
      </c>
      <c r="D5" s="394">
        <f>PED!D43</f>
        <v>0.18</v>
      </c>
      <c r="E5" s="394">
        <f>PED!E43</f>
        <v>0.18</v>
      </c>
      <c r="F5" s="394">
        <f>PED!F43</f>
        <v>0.18</v>
      </c>
      <c r="G5" s="394">
        <f>PED!G43</f>
        <v>0.18</v>
      </c>
      <c r="H5" s="394">
        <f>PED!H43</f>
        <v>0.18</v>
      </c>
      <c r="I5" s="394">
        <f>PED!I43</f>
        <v>0.18</v>
      </c>
    </row>
    <row r="6" spans="2:10" x14ac:dyDescent="0.25">
      <c r="C6" t="s">
        <v>495</v>
      </c>
      <c r="D6" s="394">
        <f>PED!D44</f>
        <v>0.71</v>
      </c>
      <c r="E6" s="394">
        <f>PED!E44</f>
        <v>0.71</v>
      </c>
      <c r="F6" s="394">
        <f>PED!F44</f>
        <v>0.71</v>
      </c>
      <c r="G6" s="394">
        <f>PED!G44</f>
        <v>0.71</v>
      </c>
      <c r="H6" s="394">
        <f>PED!H44</f>
        <v>0.71</v>
      </c>
      <c r="I6" s="394">
        <f>PED!I44</f>
        <v>0.71</v>
      </c>
    </row>
    <row r="7" spans="2:10" x14ac:dyDescent="0.25">
      <c r="C7" t="s">
        <v>491</v>
      </c>
      <c r="D7" s="394">
        <f>PED!D45</f>
        <v>0.11</v>
      </c>
      <c r="E7" s="394">
        <f>PED!E45</f>
        <v>0.11</v>
      </c>
      <c r="F7" s="394">
        <f>PED!F45</f>
        <v>0.11</v>
      </c>
      <c r="G7" s="394">
        <f>PED!G45</f>
        <v>0.11</v>
      </c>
      <c r="H7" s="394">
        <f>PED!H45</f>
        <v>0.11</v>
      </c>
      <c r="I7" s="394">
        <f>PED!I45</f>
        <v>0.11</v>
      </c>
    </row>
    <row r="8" spans="2:10" x14ac:dyDescent="0.25">
      <c r="B8" s="1" t="str">
        <f>PED!B50</f>
        <v>Number of training days in a three year cycle</v>
      </c>
    </row>
    <row r="9" spans="2:10" x14ac:dyDescent="0.25">
      <c r="C9" t="s">
        <v>490</v>
      </c>
      <c r="D9" s="364">
        <f>PED!D51</f>
        <v>30</v>
      </c>
      <c r="E9" s="364">
        <f>PED!E51</f>
        <v>30</v>
      </c>
      <c r="F9" s="364">
        <f>PED!F51</f>
        <v>30</v>
      </c>
      <c r="G9" s="364">
        <f>PED!G51</f>
        <v>30</v>
      </c>
      <c r="H9" s="364">
        <f>PED!H51</f>
        <v>30</v>
      </c>
      <c r="I9" s="364">
        <f>PED!I51</f>
        <v>30</v>
      </c>
    </row>
    <row r="10" spans="2:10" x14ac:dyDescent="0.25">
      <c r="C10" t="s">
        <v>492</v>
      </c>
      <c r="D10" s="364">
        <f>PED!D52</f>
        <v>30</v>
      </c>
      <c r="E10" s="364">
        <f>PED!E52</f>
        <v>30</v>
      </c>
      <c r="F10" s="364">
        <f>PED!F52</f>
        <v>30</v>
      </c>
      <c r="G10" s="364">
        <f>PED!G52</f>
        <v>30</v>
      </c>
      <c r="H10" s="364">
        <f>PED!H52</f>
        <v>30</v>
      </c>
      <c r="I10" s="364">
        <f>PED!I52</f>
        <v>30</v>
      </c>
    </row>
    <row r="11" spans="2:10" x14ac:dyDescent="0.25">
      <c r="C11" t="s">
        <v>491</v>
      </c>
      <c r="D11" s="364">
        <f>PED!D53</f>
        <v>30</v>
      </c>
      <c r="E11" s="364">
        <f>PED!E53</f>
        <v>30</v>
      </c>
      <c r="F11" s="364">
        <f>PED!F53</f>
        <v>30</v>
      </c>
      <c r="G11" s="364">
        <f>PED!G53</f>
        <v>30</v>
      </c>
      <c r="H11" s="364">
        <f>PED!H53</f>
        <v>30</v>
      </c>
      <c r="I11" s="364">
        <f>PED!I53</f>
        <v>30</v>
      </c>
    </row>
    <row r="12" spans="2:10" x14ac:dyDescent="0.25">
      <c r="B12" s="1" t="str">
        <f>PED!B54</f>
        <v>Rate of participation in INSET training</v>
      </c>
    </row>
    <row r="13" spans="2:10" x14ac:dyDescent="0.25">
      <c r="C13" t="s">
        <v>490</v>
      </c>
      <c r="D13" s="359">
        <f>PED!D55</f>
        <v>0.33</v>
      </c>
      <c r="E13" s="359">
        <f>PED!E55</f>
        <v>0.33</v>
      </c>
      <c r="F13" s="359">
        <f>PED!F55</f>
        <v>0.33</v>
      </c>
      <c r="G13" s="359">
        <f>PED!G55</f>
        <v>0.33</v>
      </c>
      <c r="H13" s="359">
        <f>PED!H55</f>
        <v>0.33</v>
      </c>
      <c r="I13" s="359">
        <f>PED!I55</f>
        <v>0.33</v>
      </c>
    </row>
    <row r="14" spans="2:10" x14ac:dyDescent="0.25">
      <c r="C14" t="s">
        <v>492</v>
      </c>
      <c r="D14" s="359">
        <f>PED!D56</f>
        <v>0.33</v>
      </c>
      <c r="E14" s="359">
        <f>PED!E56</f>
        <v>0.33</v>
      </c>
      <c r="F14" s="359">
        <f>PED!F56</f>
        <v>0.33</v>
      </c>
      <c r="G14" s="359">
        <f>PED!G56</f>
        <v>0.33</v>
      </c>
      <c r="H14" s="359">
        <f>PED!H56</f>
        <v>0.33</v>
      </c>
      <c r="I14" s="359">
        <f>PED!I56</f>
        <v>0.33</v>
      </c>
    </row>
    <row r="15" spans="2:10" x14ac:dyDescent="0.25">
      <c r="C15" t="s">
        <v>491</v>
      </c>
      <c r="D15" s="359">
        <f>PED!D57</f>
        <v>0.33</v>
      </c>
      <c r="E15" s="359">
        <f>PED!E57</f>
        <v>0.33</v>
      </c>
      <c r="F15" s="359">
        <f>PED!F57</f>
        <v>0.33</v>
      </c>
      <c r="G15" s="359">
        <f>PED!G57</f>
        <v>0.33</v>
      </c>
      <c r="H15" s="359">
        <f>PED!H57</f>
        <v>0.33</v>
      </c>
      <c r="I15" s="359">
        <f>PED!I57</f>
        <v>0.33</v>
      </c>
    </row>
    <row r="16" spans="2:10" s="322" customFormat="1" x14ac:dyDescent="0.25">
      <c r="F16" s="365"/>
      <c r="G16" s="365"/>
      <c r="H16" s="365"/>
      <c r="I16" s="365"/>
      <c r="J16" s="365"/>
    </row>
    <row r="17" spans="2:9" ht="15.75" x14ac:dyDescent="0.25">
      <c r="B17" s="1" t="s">
        <v>493</v>
      </c>
      <c r="E17" s="387"/>
      <c r="F17" s="387"/>
      <c r="G17" s="387"/>
      <c r="H17" s="387"/>
      <c r="I17" s="387"/>
    </row>
    <row r="18" spans="2:9" x14ac:dyDescent="0.25">
      <c r="C18" t="s">
        <v>490</v>
      </c>
      <c r="D18" s="359"/>
      <c r="E18" s="359"/>
      <c r="F18" s="359"/>
      <c r="G18" s="359"/>
      <c r="H18" s="359"/>
      <c r="I18" s="359"/>
    </row>
    <row r="19" spans="2:9" x14ac:dyDescent="0.25">
      <c r="C19" s="366" t="s">
        <v>457</v>
      </c>
      <c r="D19" s="367">
        <f>$E$5*Teachers!F4</f>
        <v>12000.072600000001</v>
      </c>
      <c r="E19" s="367">
        <f>$E$5*Teachers!G4</f>
        <v>12000.072600000001</v>
      </c>
      <c r="F19" s="367">
        <f>$F$5*Teachers!H4</f>
        <v>12120.073326000002</v>
      </c>
      <c r="G19" s="367">
        <f>$G$5*Teachers!I4</f>
        <v>12241.27405926</v>
      </c>
      <c r="H19" s="367">
        <f>$H$5*Teachers!J4</f>
        <v>12000.072600000001</v>
      </c>
      <c r="I19" s="367">
        <f>$I$5*Teachers!K4</f>
        <v>12000.072600000001</v>
      </c>
    </row>
    <row r="20" spans="2:9" x14ac:dyDescent="0.25">
      <c r="C20" s="366" t="s">
        <v>458</v>
      </c>
      <c r="D20" s="367">
        <f>$E$5*Teachers!F5</f>
        <v>4449.5549999999994</v>
      </c>
      <c r="E20" s="367">
        <f>$E$5*Teachers!G5</f>
        <v>4449.5549999999994</v>
      </c>
      <c r="F20" s="367">
        <f>$F$5*Teachers!H5</f>
        <v>4494.0505499999999</v>
      </c>
      <c r="G20" s="367">
        <f>$G$5*Teachers!I5</f>
        <v>4538.9910554999997</v>
      </c>
      <c r="H20" s="367">
        <f>$H$5*Teachers!J5</f>
        <v>4449.5549999999994</v>
      </c>
      <c r="I20" s="367">
        <f>$I$5*Teachers!K5</f>
        <v>4449.5549999999994</v>
      </c>
    </row>
    <row r="21" spans="2:9" x14ac:dyDescent="0.25">
      <c r="C21" s="366" t="s">
        <v>459</v>
      </c>
      <c r="D21" s="367">
        <f>$E$5*Teachers!F6</f>
        <v>13602.821399999999</v>
      </c>
      <c r="E21" s="367">
        <f>$E$5*Teachers!G6</f>
        <v>13602.821399999999</v>
      </c>
      <c r="F21" s="367">
        <f>$F$5*Teachers!H6</f>
        <v>13738.849613999999</v>
      </c>
      <c r="G21" s="367">
        <f>$G$5*Teachers!I6</f>
        <v>13876.238110139999</v>
      </c>
      <c r="H21" s="367">
        <f>$H$5*Teachers!J6</f>
        <v>13602.821399999999</v>
      </c>
      <c r="I21" s="367">
        <f>$I$5*Teachers!K6</f>
        <v>13602.821399999999</v>
      </c>
    </row>
    <row r="22" spans="2:9" x14ac:dyDescent="0.25">
      <c r="C22" s="366" t="s">
        <v>460</v>
      </c>
      <c r="D22" s="367">
        <f>$E$5*Teachers!F7</f>
        <v>17463.1626</v>
      </c>
      <c r="E22" s="367">
        <f>$E$5*Teachers!G7</f>
        <v>17463.1626</v>
      </c>
      <c r="F22" s="367">
        <f>$F$5*Teachers!H7</f>
        <v>17637.794226000002</v>
      </c>
      <c r="G22" s="367">
        <f>$G$5*Teachers!I7</f>
        <v>17814.17216826</v>
      </c>
      <c r="H22" s="367">
        <f>$H$5*Teachers!J7</f>
        <v>17463.1626</v>
      </c>
      <c r="I22" s="367">
        <f>$I$5*Teachers!K7</f>
        <v>17463.1626</v>
      </c>
    </row>
    <row r="23" spans="2:9" x14ac:dyDescent="0.25">
      <c r="C23" s="366" t="s">
        <v>461</v>
      </c>
      <c r="D23" s="367">
        <f>$E$5*Teachers!F8</f>
        <v>10382.234399999999</v>
      </c>
      <c r="E23" s="367">
        <f>$E$5*Teachers!G8</f>
        <v>10382.234399999999</v>
      </c>
      <c r="F23" s="367">
        <f>$F$5*Teachers!H8</f>
        <v>10486.056744</v>
      </c>
      <c r="G23" s="367">
        <f>$G$5*Teachers!I8</f>
        <v>10590.917311440002</v>
      </c>
      <c r="H23" s="367">
        <f>$H$5*Teachers!J8</f>
        <v>10382.234399999999</v>
      </c>
      <c r="I23" s="367">
        <f>$I$5*Teachers!K8</f>
        <v>10382.234399999999</v>
      </c>
    </row>
    <row r="24" spans="2:9" x14ac:dyDescent="0.25">
      <c r="C24" s="366" t="s">
        <v>462</v>
      </c>
      <c r="D24" s="367">
        <f>$E$5*Teachers!F9</f>
        <v>6351.3648000000003</v>
      </c>
      <c r="E24" s="367">
        <f>$E$5*Teachers!G9</f>
        <v>6351.3648000000003</v>
      </c>
      <c r="F24" s="367">
        <f>$F$5*Teachers!H9</f>
        <v>6414.8784480000004</v>
      </c>
      <c r="G24" s="367">
        <f>$G$5*Teachers!I9</f>
        <v>6479.0272324799998</v>
      </c>
      <c r="H24" s="367">
        <f>$H$5*Teachers!J9</f>
        <v>6351.3648000000003</v>
      </c>
      <c r="I24" s="367">
        <f>$I$5*Teachers!K9</f>
        <v>6351.3648000000003</v>
      </c>
    </row>
    <row r="25" spans="2:9" x14ac:dyDescent="0.25">
      <c r="C25" s="366" t="s">
        <v>463</v>
      </c>
      <c r="D25" s="367">
        <f>$E$5*Teachers!F10</f>
        <v>1631.1095999999998</v>
      </c>
      <c r="E25" s="367">
        <f>$E$5*Teachers!G10</f>
        <v>1631.1095999999998</v>
      </c>
      <c r="F25" s="367">
        <f>$F$5*Teachers!H10</f>
        <v>1647.4206959999999</v>
      </c>
      <c r="G25" s="367">
        <f>$G$5*Teachers!I10</f>
        <v>1663.8949029599999</v>
      </c>
      <c r="H25" s="367">
        <f>$H$5*Teachers!J10</f>
        <v>1631.1095999999998</v>
      </c>
      <c r="I25" s="367">
        <f>$I$5*Teachers!K10</f>
        <v>1631.1095999999998</v>
      </c>
    </row>
    <row r="26" spans="2:9" x14ac:dyDescent="0.25">
      <c r="C26" s="366" t="s">
        <v>464</v>
      </c>
      <c r="D26" s="367">
        <f>$E$5*Teachers!F11</f>
        <v>4762.0691999999999</v>
      </c>
      <c r="E26" s="367">
        <f>$E$5*Teachers!G11</f>
        <v>4762.0691999999999</v>
      </c>
      <c r="F26" s="367">
        <f>$F$5*Teachers!H11</f>
        <v>4809.6898920000003</v>
      </c>
      <c r="G26" s="367">
        <f>$G$5*Teachers!I11</f>
        <v>4857.7867909199995</v>
      </c>
      <c r="H26" s="367">
        <f>$H$5*Teachers!J11</f>
        <v>4762.0691999999999</v>
      </c>
      <c r="I26" s="367">
        <f>$I$5*Teachers!K11</f>
        <v>4762.0691999999999</v>
      </c>
    </row>
    <row r="27" spans="2:9" x14ac:dyDescent="0.25">
      <c r="C27" s="366" t="s">
        <v>465</v>
      </c>
      <c r="D27" s="367">
        <f>$E$5*Teachers!F12</f>
        <v>6626.7918</v>
      </c>
      <c r="E27" s="367">
        <f>$E$5*Teachers!G12</f>
        <v>6626.7918</v>
      </c>
      <c r="F27" s="367">
        <f>$F$5*Teachers!H12</f>
        <v>6693.0597180000004</v>
      </c>
      <c r="G27" s="367">
        <f>$G$5*Teachers!I12</f>
        <v>6759.9903151799999</v>
      </c>
      <c r="H27" s="367">
        <f>$H$5*Teachers!J12</f>
        <v>6626.7918</v>
      </c>
      <c r="I27" s="367">
        <f>$I$5*Teachers!K12</f>
        <v>6626.7918</v>
      </c>
    </row>
    <row r="28" spans="2:9" x14ac:dyDescent="0.25">
      <c r="D28" s="363"/>
      <c r="E28" s="363"/>
      <c r="F28" s="363"/>
      <c r="G28" s="363"/>
      <c r="H28" s="363"/>
      <c r="I28" s="363"/>
    </row>
    <row r="29" spans="2:9" x14ac:dyDescent="0.25">
      <c r="C29" t="s">
        <v>492</v>
      </c>
      <c r="D29" s="361"/>
      <c r="E29" s="361"/>
      <c r="F29" s="361"/>
      <c r="G29" s="361"/>
      <c r="H29" s="361"/>
      <c r="I29" s="361"/>
    </row>
    <row r="30" spans="2:9" x14ac:dyDescent="0.25">
      <c r="C30" s="366" t="s">
        <v>457</v>
      </c>
      <c r="D30" s="364">
        <f>$E$6*Teachers!F4</f>
        <v>47333.619700000003</v>
      </c>
      <c r="E30" s="364">
        <f>$E$6*Teachers!G4</f>
        <v>47333.619700000003</v>
      </c>
      <c r="F30" s="364">
        <f>$F$6*Teachers!H4</f>
        <v>47806.955897000007</v>
      </c>
      <c r="G30" s="364">
        <f>$G$6*Teachers!I4</f>
        <v>48285.025455970004</v>
      </c>
      <c r="H30" s="364">
        <f>$H$6*Teachers!J4</f>
        <v>47333.619700000003</v>
      </c>
      <c r="I30" s="364">
        <f>$I$6*Teachers!K4</f>
        <v>47333.619700000003</v>
      </c>
    </row>
    <row r="31" spans="2:9" x14ac:dyDescent="0.25">
      <c r="C31" s="366" t="s">
        <v>458</v>
      </c>
      <c r="D31" s="364">
        <f>$E$6*Teachers!F5</f>
        <v>17551.022499999999</v>
      </c>
      <c r="E31" s="364">
        <f>$E$6*Teachers!G5</f>
        <v>17551.022499999999</v>
      </c>
      <c r="F31" s="364">
        <f>$F$6*Teachers!H5</f>
        <v>17726.532725000001</v>
      </c>
      <c r="G31" s="364">
        <f>$G$6*Teachers!I5</f>
        <v>17903.79805225</v>
      </c>
      <c r="H31" s="364">
        <f>$H$6*Teachers!J5</f>
        <v>17551.022499999999</v>
      </c>
      <c r="I31" s="364">
        <f>$I$6*Teachers!K5</f>
        <v>17551.022499999999</v>
      </c>
    </row>
    <row r="32" spans="2:9" x14ac:dyDescent="0.25">
      <c r="C32" s="366" t="s">
        <v>459</v>
      </c>
      <c r="D32" s="364">
        <f>$E$6*Teachers!F6</f>
        <v>53655.573299999996</v>
      </c>
      <c r="E32" s="364">
        <f>$E$6*Teachers!G6</f>
        <v>53655.573299999996</v>
      </c>
      <c r="F32" s="364">
        <f>$F$6*Teachers!H6</f>
        <v>54192.129032999997</v>
      </c>
      <c r="G32" s="364">
        <f>$G$6*Teachers!I6</f>
        <v>54734.050323329997</v>
      </c>
      <c r="H32" s="364">
        <f>$H$6*Teachers!J6</f>
        <v>53655.573299999996</v>
      </c>
      <c r="I32" s="364">
        <f>$I$6*Teachers!K6</f>
        <v>53655.573299999996</v>
      </c>
    </row>
    <row r="33" spans="3:9" x14ac:dyDescent="0.25">
      <c r="C33" s="366" t="s">
        <v>460</v>
      </c>
      <c r="D33" s="364">
        <f>$E$6*Teachers!F7</f>
        <v>68882.474700000006</v>
      </c>
      <c r="E33" s="364">
        <f>$E$6*Teachers!G7</f>
        <v>68882.474700000006</v>
      </c>
      <c r="F33" s="364">
        <f>$F$6*Teachers!H7</f>
        <v>69571.299447000012</v>
      </c>
      <c r="G33" s="364">
        <f>$G$6*Teachers!I7</f>
        <v>70267.012441469997</v>
      </c>
      <c r="H33" s="364">
        <f>$H$6*Teachers!J7</f>
        <v>68882.474700000006</v>
      </c>
      <c r="I33" s="364">
        <f>$I$6*Teachers!K7</f>
        <v>68882.474700000006</v>
      </c>
    </row>
    <row r="34" spans="3:9" x14ac:dyDescent="0.25">
      <c r="C34" s="366" t="s">
        <v>461</v>
      </c>
      <c r="D34" s="364">
        <f>$E$6*Teachers!F8</f>
        <v>40952.146800000002</v>
      </c>
      <c r="E34" s="364">
        <f>$E$6*Teachers!G8</f>
        <v>40952.146800000002</v>
      </c>
      <c r="F34" s="364">
        <f>$F$6*Teachers!H8</f>
        <v>41361.668268000001</v>
      </c>
      <c r="G34" s="364">
        <f>$G$6*Teachers!I8</f>
        <v>41775.284950680005</v>
      </c>
      <c r="H34" s="364">
        <f>$H$6*Teachers!J8</f>
        <v>40952.146800000002</v>
      </c>
      <c r="I34" s="364">
        <f>$I$6*Teachers!K8</f>
        <v>40952.146800000002</v>
      </c>
    </row>
    <row r="35" spans="3:9" x14ac:dyDescent="0.25">
      <c r="C35" s="366" t="s">
        <v>462</v>
      </c>
      <c r="D35" s="364">
        <f>$E$6*Teachers!F9</f>
        <v>25052.605599999999</v>
      </c>
      <c r="E35" s="364">
        <f>$E$6*Teachers!G9</f>
        <v>25052.605599999999</v>
      </c>
      <c r="F35" s="364">
        <f>$F$6*Teachers!H9</f>
        <v>25303.131656000001</v>
      </c>
      <c r="G35" s="364">
        <f>$G$6*Teachers!I9</f>
        <v>25556.16297256</v>
      </c>
      <c r="H35" s="364">
        <f>$H$6*Teachers!J9</f>
        <v>25052.605599999999</v>
      </c>
      <c r="I35" s="364">
        <f>$I$6*Teachers!K9</f>
        <v>25052.605599999999</v>
      </c>
    </row>
    <row r="36" spans="3:9" x14ac:dyDescent="0.25">
      <c r="C36" s="366" t="s">
        <v>463</v>
      </c>
      <c r="D36" s="364">
        <f>$E$6*Teachers!F10</f>
        <v>6433.8211999999994</v>
      </c>
      <c r="E36" s="364">
        <f>$E$6*Teachers!G10</f>
        <v>6433.8211999999994</v>
      </c>
      <c r="F36" s="364">
        <f>$F$6*Teachers!H10</f>
        <v>6498.159412</v>
      </c>
      <c r="G36" s="364">
        <f>$G$6*Teachers!I10</f>
        <v>6563.1410061199995</v>
      </c>
      <c r="H36" s="364">
        <f>$H$6*Teachers!J10</f>
        <v>6433.8211999999994</v>
      </c>
      <c r="I36" s="364">
        <f>$I$6*Teachers!K10</f>
        <v>6433.8211999999994</v>
      </c>
    </row>
    <row r="37" spans="3:9" x14ac:dyDescent="0.25">
      <c r="C37" s="366" t="s">
        <v>464</v>
      </c>
      <c r="D37" s="364">
        <f>$E$6*Teachers!F11</f>
        <v>18783.717399999998</v>
      </c>
      <c r="E37" s="364">
        <f>$E$6*Teachers!G11</f>
        <v>18783.717399999998</v>
      </c>
      <c r="F37" s="364">
        <f>$F$6*Teachers!H11</f>
        <v>18971.554573999998</v>
      </c>
      <c r="G37" s="364">
        <f>$G$6*Teachers!I11</f>
        <v>19161.270119739998</v>
      </c>
      <c r="H37" s="364">
        <f>$H$6*Teachers!J11</f>
        <v>18783.717399999998</v>
      </c>
      <c r="I37" s="364">
        <f>$I$6*Teachers!K11</f>
        <v>18783.717399999998</v>
      </c>
    </row>
    <row r="38" spans="3:9" x14ac:dyDescent="0.25">
      <c r="C38" s="366" t="s">
        <v>465</v>
      </c>
      <c r="D38" s="364">
        <f>$E$6*Teachers!F12</f>
        <v>26139.0121</v>
      </c>
      <c r="E38" s="364">
        <f>$E$6*Teachers!G12</f>
        <v>26139.0121</v>
      </c>
      <c r="F38" s="364">
        <f>$F$6*Teachers!H12</f>
        <v>26400.402221000004</v>
      </c>
      <c r="G38" s="364">
        <f>$G$6*Teachers!I12</f>
        <v>26664.40624321</v>
      </c>
      <c r="H38" s="364">
        <f>$H$6*Teachers!J12</f>
        <v>26139.0121</v>
      </c>
      <c r="I38" s="364">
        <f>$I$6*Teachers!K12</f>
        <v>26139.0121</v>
      </c>
    </row>
    <row r="39" spans="3:9" x14ac:dyDescent="0.25">
      <c r="C39" t="s">
        <v>491</v>
      </c>
      <c r="D39" s="372"/>
      <c r="E39" s="372"/>
      <c r="F39" s="372"/>
      <c r="G39" s="372"/>
      <c r="H39" s="372"/>
      <c r="I39" s="372"/>
    </row>
    <row r="40" spans="3:9" x14ac:dyDescent="0.25">
      <c r="C40" s="366" t="s">
        <v>457</v>
      </c>
      <c r="D40" s="364">
        <f>$E$7*Teachers!F4</f>
        <v>7333.3777000000009</v>
      </c>
      <c r="E40" s="364">
        <f>$E$7*Teachers!G4</f>
        <v>7333.3777000000009</v>
      </c>
      <c r="F40" s="364">
        <f>$F$7*Teachers!H4</f>
        <v>7406.7114770000007</v>
      </c>
      <c r="G40" s="364">
        <f>$G$7*Teachers!I4</f>
        <v>7480.7785917700012</v>
      </c>
      <c r="H40" s="364">
        <f>$H$7*Teachers!J4</f>
        <v>7333.3777000000009</v>
      </c>
      <c r="I40" s="364">
        <f>$I$7*Teachers!K4</f>
        <v>7333.3777000000009</v>
      </c>
    </row>
    <row r="41" spans="3:9" x14ac:dyDescent="0.25">
      <c r="C41" s="366" t="s">
        <v>458</v>
      </c>
      <c r="D41" s="364">
        <f>$E$7*Teachers!F5</f>
        <v>2719.1725000000001</v>
      </c>
      <c r="E41" s="364">
        <f>$E$7*Teachers!G5</f>
        <v>2719.1725000000001</v>
      </c>
      <c r="F41" s="364">
        <f>$F$7*Teachers!H5</f>
        <v>2746.3642250000003</v>
      </c>
      <c r="G41" s="364">
        <f>$G$7*Teachers!I5</f>
        <v>2773.8278672500001</v>
      </c>
      <c r="H41" s="364">
        <f>$H$7*Teachers!J5</f>
        <v>2719.1725000000001</v>
      </c>
      <c r="I41" s="364">
        <f>$I$7*Teachers!K5</f>
        <v>2719.1725000000001</v>
      </c>
    </row>
    <row r="42" spans="3:9" x14ac:dyDescent="0.25">
      <c r="C42" s="366" t="s">
        <v>459</v>
      </c>
      <c r="D42" s="364">
        <f>$E$7*Teachers!F6</f>
        <v>8312.8352999999988</v>
      </c>
      <c r="E42" s="364">
        <f>$E$7*Teachers!G6</f>
        <v>8312.8352999999988</v>
      </c>
      <c r="F42" s="364">
        <f>$F$7*Teachers!H6</f>
        <v>8395.9636529999989</v>
      </c>
      <c r="G42" s="364">
        <f>$G$7*Teachers!I6</f>
        <v>8479.9232895299992</v>
      </c>
      <c r="H42" s="364">
        <f>$H$7*Teachers!J6</f>
        <v>8312.8352999999988</v>
      </c>
      <c r="I42" s="364">
        <f>$I$7*Teachers!K6</f>
        <v>8312.8352999999988</v>
      </c>
    </row>
    <row r="43" spans="3:9" x14ac:dyDescent="0.25">
      <c r="C43" s="366" t="s">
        <v>460</v>
      </c>
      <c r="D43" s="364">
        <f>$E$7*Teachers!F7</f>
        <v>10671.932700000001</v>
      </c>
      <c r="E43" s="364">
        <f>$E$7*Teachers!G7</f>
        <v>10671.932700000001</v>
      </c>
      <c r="F43" s="364">
        <f>$F$7*Teachers!H7</f>
        <v>10778.652027000002</v>
      </c>
      <c r="G43" s="364">
        <f>$G$7*Teachers!I7</f>
        <v>10886.438547270001</v>
      </c>
      <c r="H43" s="364">
        <f>$H$7*Teachers!J7</f>
        <v>10671.932700000001</v>
      </c>
      <c r="I43" s="364">
        <f>$I$7*Teachers!K7</f>
        <v>10671.932700000001</v>
      </c>
    </row>
    <row r="44" spans="3:9" x14ac:dyDescent="0.25">
      <c r="C44" s="366" t="s">
        <v>461</v>
      </c>
      <c r="D44" s="364">
        <f>$E$7*Teachers!F8</f>
        <v>6344.6988000000001</v>
      </c>
      <c r="E44" s="364">
        <f>$E$7*Teachers!G8</f>
        <v>6344.6988000000001</v>
      </c>
      <c r="F44" s="364">
        <f>$F$7*Teachers!H8</f>
        <v>6408.1457880000007</v>
      </c>
      <c r="G44" s="364">
        <f>$G$7*Teachers!I8</f>
        <v>6472.2272458800007</v>
      </c>
      <c r="H44" s="364">
        <f>$H$7*Teachers!J8</f>
        <v>6344.6988000000001</v>
      </c>
      <c r="I44" s="364">
        <f>$I$7*Teachers!K8</f>
        <v>6344.6988000000001</v>
      </c>
    </row>
    <row r="45" spans="3:9" x14ac:dyDescent="0.25">
      <c r="C45" s="366" t="s">
        <v>462</v>
      </c>
      <c r="D45" s="364">
        <f>$E$7*Teachers!F9</f>
        <v>3881.3896</v>
      </c>
      <c r="E45" s="364">
        <f>$E$7*Teachers!G9</f>
        <v>3881.3896</v>
      </c>
      <c r="F45" s="364">
        <f>$F$7*Teachers!H9</f>
        <v>3920.2034960000005</v>
      </c>
      <c r="G45" s="364">
        <f>$G$7*Teachers!I9</f>
        <v>3959.4055309600003</v>
      </c>
      <c r="H45" s="364">
        <f>$H$7*Teachers!J9</f>
        <v>3881.3896</v>
      </c>
      <c r="I45" s="364">
        <f>$I$7*Teachers!K9</f>
        <v>3881.3896</v>
      </c>
    </row>
    <row r="46" spans="3:9" x14ac:dyDescent="0.25">
      <c r="C46" s="366" t="s">
        <v>463</v>
      </c>
      <c r="D46" s="364">
        <f>$E$7*Teachers!F10</f>
        <v>996.78919999999994</v>
      </c>
      <c r="E46" s="364">
        <f>$E$7*Teachers!G10</f>
        <v>996.78919999999994</v>
      </c>
      <c r="F46" s="364">
        <f>$F$7*Teachers!H10</f>
        <v>1006.7570919999999</v>
      </c>
      <c r="G46" s="364">
        <f>$G$7*Teachers!I10</f>
        <v>1016.8246629199999</v>
      </c>
      <c r="H46" s="364">
        <f>$H$7*Teachers!J10</f>
        <v>996.78919999999994</v>
      </c>
      <c r="I46" s="364">
        <f>$I$7*Teachers!K10</f>
        <v>996.78919999999994</v>
      </c>
    </row>
    <row r="47" spans="3:9" x14ac:dyDescent="0.25">
      <c r="C47" s="366" t="s">
        <v>464</v>
      </c>
      <c r="D47" s="364">
        <f>$E$7*Teachers!F11</f>
        <v>2910.1533999999997</v>
      </c>
      <c r="E47" s="364">
        <f>$E$7*Teachers!G11</f>
        <v>2910.1533999999997</v>
      </c>
      <c r="F47" s="364">
        <f>$F$7*Teachers!H11</f>
        <v>2939.254934</v>
      </c>
      <c r="G47" s="364">
        <f>$G$7*Teachers!I11</f>
        <v>2968.6474833400002</v>
      </c>
      <c r="H47" s="364">
        <f>$H$7*Teachers!J11</f>
        <v>2910.1533999999997</v>
      </c>
      <c r="I47" s="364">
        <f>$I$7*Teachers!K11</f>
        <v>2910.1533999999997</v>
      </c>
    </row>
    <row r="48" spans="3:9" x14ac:dyDescent="0.25">
      <c r="C48" s="366" t="s">
        <v>465</v>
      </c>
      <c r="D48" s="364">
        <f>$E$7*Teachers!F12</f>
        <v>4049.7061000000003</v>
      </c>
      <c r="E48" s="364">
        <f>$E$7*Teachers!G12</f>
        <v>4049.7061000000003</v>
      </c>
      <c r="F48" s="364">
        <f>$F$7*Teachers!H12</f>
        <v>4090.2031610000008</v>
      </c>
      <c r="G48" s="364">
        <f>$G$7*Teachers!I12</f>
        <v>4131.1051926100008</v>
      </c>
      <c r="H48" s="364">
        <f>$H$7*Teachers!J12</f>
        <v>4049.7061000000003</v>
      </c>
      <c r="I48" s="364">
        <f>$I$7*Teachers!K12</f>
        <v>4049.7061000000003</v>
      </c>
    </row>
    <row r="49" spans="2:9" x14ac:dyDescent="0.25">
      <c r="B49" s="1" t="str">
        <f>PED!B58</f>
        <v>Annual number of training days</v>
      </c>
      <c r="D49" s="362"/>
      <c r="E49" s="362"/>
      <c r="F49" s="362"/>
      <c r="G49" s="362"/>
      <c r="H49" s="362"/>
      <c r="I49" s="362"/>
    </row>
    <row r="50" spans="2:9" x14ac:dyDescent="0.25">
      <c r="C50" t="s">
        <v>490</v>
      </c>
      <c r="D50" s="361"/>
      <c r="E50" s="361"/>
      <c r="F50" s="361"/>
      <c r="G50" s="361"/>
      <c r="H50" s="361"/>
      <c r="I50" s="361"/>
    </row>
    <row r="51" spans="2:9" x14ac:dyDescent="0.25">
      <c r="C51" s="366" t="s">
        <v>457</v>
      </c>
      <c r="D51" s="395">
        <f>D19*D$9*D$13/3</f>
        <v>39600.239580000001</v>
      </c>
      <c r="E51" s="395">
        <f t="shared" ref="E51:I51" si="0">E19*E$9*E$13/3</f>
        <v>39600.239580000001</v>
      </c>
      <c r="F51" s="395">
        <f t="shared" si="0"/>
        <v>39996.241975800003</v>
      </c>
      <c r="G51" s="395">
        <f t="shared" si="0"/>
        <v>40396.204395558001</v>
      </c>
      <c r="H51" s="395">
        <f t="shared" si="0"/>
        <v>39600.239580000001</v>
      </c>
      <c r="I51" s="395">
        <f t="shared" si="0"/>
        <v>39600.239580000001</v>
      </c>
    </row>
    <row r="52" spans="2:9" x14ac:dyDescent="0.25">
      <c r="C52" s="366" t="s">
        <v>458</v>
      </c>
      <c r="D52" s="395">
        <f t="shared" ref="D52:I52" si="1">D20*D$9*D$13/3</f>
        <v>14683.531499999999</v>
      </c>
      <c r="E52" s="395">
        <f t="shared" si="1"/>
        <v>14683.531499999999</v>
      </c>
      <c r="F52" s="395">
        <f t="shared" si="1"/>
        <v>14830.366815000001</v>
      </c>
      <c r="G52" s="395">
        <f t="shared" si="1"/>
        <v>14978.670483150001</v>
      </c>
      <c r="H52" s="395">
        <f t="shared" si="1"/>
        <v>14683.531499999999</v>
      </c>
      <c r="I52" s="395">
        <f t="shared" si="1"/>
        <v>14683.531499999999</v>
      </c>
    </row>
    <row r="53" spans="2:9" x14ac:dyDescent="0.25">
      <c r="C53" s="366" t="s">
        <v>459</v>
      </c>
      <c r="D53" s="395">
        <f t="shared" ref="D53:I53" si="2">D21*D$9*D$13/3</f>
        <v>44889.310620000004</v>
      </c>
      <c r="E53" s="395">
        <f t="shared" si="2"/>
        <v>44889.310620000004</v>
      </c>
      <c r="F53" s="395">
        <f t="shared" si="2"/>
        <v>45338.203726200001</v>
      </c>
      <c r="G53" s="395">
        <f t="shared" si="2"/>
        <v>45791.585763461997</v>
      </c>
      <c r="H53" s="395">
        <f t="shared" si="2"/>
        <v>44889.310620000004</v>
      </c>
      <c r="I53" s="395">
        <f t="shared" si="2"/>
        <v>44889.310620000004</v>
      </c>
    </row>
    <row r="54" spans="2:9" x14ac:dyDescent="0.25">
      <c r="C54" s="366" t="s">
        <v>460</v>
      </c>
      <c r="D54" s="395">
        <f t="shared" ref="D54:I54" si="3">D22*D$9*D$13/3</f>
        <v>57628.436580000001</v>
      </c>
      <c r="E54" s="395">
        <f t="shared" si="3"/>
        <v>57628.436580000001</v>
      </c>
      <c r="F54" s="395">
        <f t="shared" si="3"/>
        <v>58204.720945800007</v>
      </c>
      <c r="G54" s="395">
        <f t="shared" si="3"/>
        <v>58786.768155258011</v>
      </c>
      <c r="H54" s="395">
        <f t="shared" si="3"/>
        <v>57628.436580000001</v>
      </c>
      <c r="I54" s="395">
        <f t="shared" si="3"/>
        <v>57628.436580000001</v>
      </c>
    </row>
    <row r="55" spans="2:9" x14ac:dyDescent="0.25">
      <c r="C55" s="366" t="s">
        <v>461</v>
      </c>
      <c r="D55" s="395">
        <f t="shared" ref="D55:I55" si="4">D23*D$9*D$13/3</f>
        <v>34261.373520000001</v>
      </c>
      <c r="E55" s="395">
        <f t="shared" si="4"/>
        <v>34261.373520000001</v>
      </c>
      <c r="F55" s="395">
        <f t="shared" si="4"/>
        <v>34603.987255200002</v>
      </c>
      <c r="G55" s="395">
        <f t="shared" si="4"/>
        <v>34950.027127752015</v>
      </c>
      <c r="H55" s="395">
        <f t="shared" si="4"/>
        <v>34261.373520000001</v>
      </c>
      <c r="I55" s="395">
        <f t="shared" si="4"/>
        <v>34261.373520000001</v>
      </c>
    </row>
    <row r="56" spans="2:9" x14ac:dyDescent="0.25">
      <c r="C56" s="366" t="s">
        <v>462</v>
      </c>
      <c r="D56" s="395">
        <f t="shared" ref="D56:I56" si="5">D24*D$9*D$13/3</f>
        <v>20959.503840000001</v>
      </c>
      <c r="E56" s="395">
        <f t="shared" si="5"/>
        <v>20959.503840000001</v>
      </c>
      <c r="F56" s="395">
        <f t="shared" si="5"/>
        <v>21169.098878400004</v>
      </c>
      <c r="G56" s="395">
        <f t="shared" si="5"/>
        <v>21380.789867183998</v>
      </c>
      <c r="H56" s="395">
        <f t="shared" si="5"/>
        <v>20959.503840000001</v>
      </c>
      <c r="I56" s="395">
        <f t="shared" si="5"/>
        <v>20959.503840000001</v>
      </c>
    </row>
    <row r="57" spans="2:9" x14ac:dyDescent="0.25">
      <c r="C57" s="366" t="s">
        <v>463</v>
      </c>
      <c r="D57" s="395">
        <f t="shared" ref="D57:I57" si="6">D25*D$9*D$13/3</f>
        <v>5382.6616799999993</v>
      </c>
      <c r="E57" s="395">
        <f t="shared" si="6"/>
        <v>5382.6616799999993</v>
      </c>
      <c r="F57" s="395">
        <f t="shared" si="6"/>
        <v>5436.4882967999993</v>
      </c>
      <c r="G57" s="395">
        <f t="shared" si="6"/>
        <v>5490.8531797679998</v>
      </c>
      <c r="H57" s="395">
        <f t="shared" si="6"/>
        <v>5382.6616799999993</v>
      </c>
      <c r="I57" s="395">
        <f t="shared" si="6"/>
        <v>5382.6616799999993</v>
      </c>
    </row>
    <row r="58" spans="2:9" x14ac:dyDescent="0.25">
      <c r="C58" s="366" t="s">
        <v>464</v>
      </c>
      <c r="D58" s="395">
        <f t="shared" ref="D58:I58" si="7">D26*D$9*D$13/3</f>
        <v>15714.828360000001</v>
      </c>
      <c r="E58" s="395">
        <f t="shared" si="7"/>
        <v>15714.828360000001</v>
      </c>
      <c r="F58" s="395">
        <f t="shared" si="7"/>
        <v>15871.976643600005</v>
      </c>
      <c r="G58" s="395">
        <f t="shared" si="7"/>
        <v>16030.696410035998</v>
      </c>
      <c r="H58" s="395">
        <f t="shared" si="7"/>
        <v>15714.828360000001</v>
      </c>
      <c r="I58" s="395">
        <f t="shared" si="7"/>
        <v>15714.828360000001</v>
      </c>
    </row>
    <row r="59" spans="2:9" x14ac:dyDescent="0.25">
      <c r="C59" s="366" t="s">
        <v>465</v>
      </c>
      <c r="D59" s="395">
        <f t="shared" ref="D59:I59" si="8">D27*D$9*D$13/3</f>
        <v>21868.412939999998</v>
      </c>
      <c r="E59" s="395">
        <f t="shared" si="8"/>
        <v>21868.412939999998</v>
      </c>
      <c r="F59" s="395">
        <f t="shared" si="8"/>
        <v>22087.097069400003</v>
      </c>
      <c r="G59" s="395">
        <f t="shared" si="8"/>
        <v>22307.968040094001</v>
      </c>
      <c r="H59" s="395">
        <f t="shared" si="8"/>
        <v>21868.412939999998</v>
      </c>
      <c r="I59" s="395">
        <f t="shared" si="8"/>
        <v>21868.412939999998</v>
      </c>
    </row>
    <row r="60" spans="2:9" x14ac:dyDescent="0.25">
      <c r="C60" t="s">
        <v>492</v>
      </c>
      <c r="D60" s="372"/>
      <c r="E60" s="372"/>
      <c r="F60" s="372"/>
      <c r="G60" s="372"/>
      <c r="H60" s="372"/>
      <c r="I60" s="372"/>
    </row>
    <row r="61" spans="2:9" x14ac:dyDescent="0.25">
      <c r="C61" s="366" t="s">
        <v>457</v>
      </c>
      <c r="D61" s="364">
        <f>D30*D$10*D$14/3</f>
        <v>156200.94501</v>
      </c>
      <c r="E61" s="364">
        <f t="shared" ref="E61:I61" si="9">E30*E$10*E$14/3</f>
        <v>156200.94501</v>
      </c>
      <c r="F61" s="364">
        <f t="shared" si="9"/>
        <v>157762.95446010001</v>
      </c>
      <c r="G61" s="364">
        <f t="shared" si="9"/>
        <v>159340.58400470103</v>
      </c>
      <c r="H61" s="364">
        <f t="shared" si="9"/>
        <v>156200.94501</v>
      </c>
      <c r="I61" s="364">
        <f t="shared" si="9"/>
        <v>156200.94501</v>
      </c>
    </row>
    <row r="62" spans="2:9" x14ac:dyDescent="0.25">
      <c r="C62" s="366" t="s">
        <v>458</v>
      </c>
      <c r="D62" s="364">
        <f t="shared" ref="D62:I69" si="10">D31*D$10*D$14/3</f>
        <v>57918.374249999993</v>
      </c>
      <c r="E62" s="364">
        <f t="shared" si="10"/>
        <v>57918.374249999993</v>
      </c>
      <c r="F62" s="364">
        <f t="shared" si="10"/>
        <v>58497.557992500013</v>
      </c>
      <c r="G62" s="364">
        <f t="shared" si="10"/>
        <v>59082.533572424996</v>
      </c>
      <c r="H62" s="364">
        <f t="shared" si="10"/>
        <v>57918.374249999993</v>
      </c>
      <c r="I62" s="364">
        <f t="shared" si="10"/>
        <v>57918.374249999993</v>
      </c>
    </row>
    <row r="63" spans="2:9" x14ac:dyDescent="0.25">
      <c r="C63" s="366" t="s">
        <v>459</v>
      </c>
      <c r="D63" s="364">
        <f t="shared" si="10"/>
        <v>177063.39188999997</v>
      </c>
      <c r="E63" s="364">
        <f t="shared" si="10"/>
        <v>177063.39188999997</v>
      </c>
      <c r="F63" s="364">
        <f t="shared" si="10"/>
        <v>178834.02580890001</v>
      </c>
      <c r="G63" s="364">
        <f t="shared" si="10"/>
        <v>180622.36606698899</v>
      </c>
      <c r="H63" s="364">
        <f t="shared" si="10"/>
        <v>177063.39188999997</v>
      </c>
      <c r="I63" s="364">
        <f t="shared" si="10"/>
        <v>177063.39188999997</v>
      </c>
    </row>
    <row r="64" spans="2:9" x14ac:dyDescent="0.25">
      <c r="C64" s="366" t="s">
        <v>460</v>
      </c>
      <c r="D64" s="364">
        <f t="shared" si="10"/>
        <v>227312.16651000001</v>
      </c>
      <c r="E64" s="364">
        <f t="shared" si="10"/>
        <v>227312.16651000001</v>
      </c>
      <c r="F64" s="364">
        <f t="shared" si="10"/>
        <v>229585.28817510002</v>
      </c>
      <c r="G64" s="364">
        <f t="shared" si="10"/>
        <v>231881.14105685099</v>
      </c>
      <c r="H64" s="364">
        <f t="shared" si="10"/>
        <v>227312.16651000001</v>
      </c>
      <c r="I64" s="364">
        <f t="shared" si="10"/>
        <v>227312.16651000001</v>
      </c>
    </row>
    <row r="65" spans="3:9" x14ac:dyDescent="0.25">
      <c r="C65" s="366" t="s">
        <v>461</v>
      </c>
      <c r="D65" s="364">
        <f t="shared" si="10"/>
        <v>135142.08444000004</v>
      </c>
      <c r="E65" s="364">
        <f t="shared" si="10"/>
        <v>135142.08444000004</v>
      </c>
      <c r="F65" s="364">
        <f t="shared" si="10"/>
        <v>136493.50528440002</v>
      </c>
      <c r="G65" s="364">
        <f t="shared" si="10"/>
        <v>137858.44033724404</v>
      </c>
      <c r="H65" s="364">
        <f t="shared" si="10"/>
        <v>135142.08444000004</v>
      </c>
      <c r="I65" s="364">
        <f t="shared" si="10"/>
        <v>135142.08444000004</v>
      </c>
    </row>
    <row r="66" spans="3:9" x14ac:dyDescent="0.25">
      <c r="C66" s="366" t="s">
        <v>462</v>
      </c>
      <c r="D66" s="364">
        <f t="shared" si="10"/>
        <v>82673.598480000001</v>
      </c>
      <c r="E66" s="364">
        <f t="shared" si="10"/>
        <v>82673.598480000001</v>
      </c>
      <c r="F66" s="364">
        <f t="shared" si="10"/>
        <v>83500.334464800006</v>
      </c>
      <c r="G66" s="364">
        <f t="shared" si="10"/>
        <v>84335.337809447999</v>
      </c>
      <c r="H66" s="364">
        <f t="shared" si="10"/>
        <v>82673.598480000001</v>
      </c>
      <c r="I66" s="364">
        <f t="shared" si="10"/>
        <v>82673.598480000001</v>
      </c>
    </row>
    <row r="67" spans="3:9" x14ac:dyDescent="0.25">
      <c r="C67" s="366" t="s">
        <v>463</v>
      </c>
      <c r="D67" s="364">
        <f t="shared" si="10"/>
        <v>21231.609959999998</v>
      </c>
      <c r="E67" s="364">
        <f t="shared" si="10"/>
        <v>21231.609959999998</v>
      </c>
      <c r="F67" s="364">
        <f t="shared" si="10"/>
        <v>21443.926059600002</v>
      </c>
      <c r="G67" s="364">
        <f t="shared" si="10"/>
        <v>21658.365320196001</v>
      </c>
      <c r="H67" s="364">
        <f t="shared" si="10"/>
        <v>21231.609959999998</v>
      </c>
      <c r="I67" s="364">
        <f t="shared" si="10"/>
        <v>21231.609959999998</v>
      </c>
    </row>
    <row r="68" spans="3:9" x14ac:dyDescent="0.25">
      <c r="C68" s="366" t="s">
        <v>464</v>
      </c>
      <c r="D68" s="364">
        <f t="shared" si="10"/>
        <v>61986.267419999989</v>
      </c>
      <c r="E68" s="364">
        <f t="shared" si="10"/>
        <v>61986.267419999989</v>
      </c>
      <c r="F68" s="364">
        <f t="shared" si="10"/>
        <v>62606.130094199994</v>
      </c>
      <c r="G68" s="364">
        <f t="shared" si="10"/>
        <v>63232.191395141999</v>
      </c>
      <c r="H68" s="364">
        <f t="shared" si="10"/>
        <v>61986.267419999989</v>
      </c>
      <c r="I68" s="364">
        <f t="shared" si="10"/>
        <v>61986.267419999989</v>
      </c>
    </row>
    <row r="69" spans="3:9" x14ac:dyDescent="0.25">
      <c r="C69" s="366" t="s">
        <v>465</v>
      </c>
      <c r="D69" s="364">
        <f t="shared" si="10"/>
        <v>86258.739929999996</v>
      </c>
      <c r="E69" s="364">
        <f t="shared" si="10"/>
        <v>86258.739929999996</v>
      </c>
      <c r="F69" s="364">
        <f t="shared" si="10"/>
        <v>87121.327329300009</v>
      </c>
      <c r="G69" s="364">
        <f t="shared" si="10"/>
        <v>87992.540602592999</v>
      </c>
      <c r="H69" s="364">
        <f t="shared" si="10"/>
        <v>86258.739929999996</v>
      </c>
      <c r="I69" s="364">
        <f t="shared" si="10"/>
        <v>86258.739929999996</v>
      </c>
    </row>
    <row r="70" spans="3:9" x14ac:dyDescent="0.25">
      <c r="C70" t="s">
        <v>491</v>
      </c>
      <c r="D70" s="372"/>
      <c r="E70" s="372"/>
      <c r="F70" s="372"/>
      <c r="G70" s="372"/>
      <c r="H70" s="372"/>
      <c r="I70" s="372"/>
    </row>
    <row r="71" spans="3:9" x14ac:dyDescent="0.25">
      <c r="C71" s="366" t="s">
        <v>457</v>
      </c>
      <c r="D71" s="364">
        <f>D40*D$11*D$15/3</f>
        <v>24200.146410000005</v>
      </c>
      <c r="E71" s="364">
        <f t="shared" ref="E71:I71" si="11">E40*E$11*E$15/3</f>
        <v>24200.146410000005</v>
      </c>
      <c r="F71" s="364">
        <f t="shared" si="11"/>
        <v>24442.147874100003</v>
      </c>
      <c r="G71" s="364">
        <f t="shared" si="11"/>
        <v>24686.569352841005</v>
      </c>
      <c r="H71" s="364">
        <f t="shared" si="11"/>
        <v>24200.146410000005</v>
      </c>
      <c r="I71" s="364">
        <f t="shared" si="11"/>
        <v>24200.146410000005</v>
      </c>
    </row>
    <row r="72" spans="3:9" x14ac:dyDescent="0.25">
      <c r="C72" s="366" t="s">
        <v>458</v>
      </c>
      <c r="D72" s="364">
        <f t="shared" ref="D72:I79" si="12">D41*D$11*D$15/3</f>
        <v>8973.2692500000012</v>
      </c>
      <c r="E72" s="364">
        <f t="shared" si="12"/>
        <v>8973.2692500000012</v>
      </c>
      <c r="F72" s="364">
        <f t="shared" si="12"/>
        <v>9063.001942500001</v>
      </c>
      <c r="G72" s="364">
        <f t="shared" si="12"/>
        <v>9153.6319619250007</v>
      </c>
      <c r="H72" s="364">
        <f t="shared" si="12"/>
        <v>8973.2692500000012</v>
      </c>
      <c r="I72" s="364">
        <f t="shared" si="12"/>
        <v>8973.2692500000012</v>
      </c>
    </row>
    <row r="73" spans="3:9" x14ac:dyDescent="0.25">
      <c r="C73" s="366" t="s">
        <v>459</v>
      </c>
      <c r="D73" s="364">
        <f t="shared" si="12"/>
        <v>27432.356489999995</v>
      </c>
      <c r="E73" s="364">
        <f t="shared" si="12"/>
        <v>27432.356489999995</v>
      </c>
      <c r="F73" s="364">
        <f t="shared" si="12"/>
        <v>27706.6800549</v>
      </c>
      <c r="G73" s="364">
        <f t="shared" si="12"/>
        <v>27983.746855449001</v>
      </c>
      <c r="H73" s="364">
        <f t="shared" si="12"/>
        <v>27432.356489999995</v>
      </c>
      <c r="I73" s="364">
        <f t="shared" si="12"/>
        <v>27432.356489999995</v>
      </c>
    </row>
    <row r="74" spans="3:9" x14ac:dyDescent="0.25">
      <c r="C74" s="366" t="s">
        <v>460</v>
      </c>
      <c r="D74" s="364">
        <f t="shared" si="12"/>
        <v>35217.377910000003</v>
      </c>
      <c r="E74" s="364">
        <f t="shared" si="12"/>
        <v>35217.377910000003</v>
      </c>
      <c r="F74" s="364">
        <f t="shared" si="12"/>
        <v>35569.551689100008</v>
      </c>
      <c r="G74" s="364">
        <f t="shared" si="12"/>
        <v>35925.247205991007</v>
      </c>
      <c r="H74" s="364">
        <f t="shared" si="12"/>
        <v>35217.377910000003</v>
      </c>
      <c r="I74" s="364">
        <f t="shared" si="12"/>
        <v>35217.377910000003</v>
      </c>
    </row>
    <row r="75" spans="3:9" x14ac:dyDescent="0.25">
      <c r="C75" s="366" t="s">
        <v>461</v>
      </c>
      <c r="D75" s="364">
        <f t="shared" si="12"/>
        <v>20937.506040000004</v>
      </c>
      <c r="E75" s="364">
        <f t="shared" si="12"/>
        <v>20937.506040000004</v>
      </c>
      <c r="F75" s="364">
        <f t="shared" si="12"/>
        <v>21146.881100400005</v>
      </c>
      <c r="G75" s="364">
        <f t="shared" si="12"/>
        <v>21358.349911404006</v>
      </c>
      <c r="H75" s="364">
        <f t="shared" si="12"/>
        <v>20937.506040000004</v>
      </c>
      <c r="I75" s="364">
        <f t="shared" si="12"/>
        <v>20937.506040000004</v>
      </c>
    </row>
    <row r="76" spans="3:9" x14ac:dyDescent="0.25">
      <c r="C76" s="366" t="s">
        <v>462</v>
      </c>
      <c r="D76" s="364">
        <f t="shared" si="12"/>
        <v>12808.585679999998</v>
      </c>
      <c r="E76" s="364">
        <f t="shared" si="12"/>
        <v>12808.585679999998</v>
      </c>
      <c r="F76" s="364">
        <f t="shared" si="12"/>
        <v>12936.671536800002</v>
      </c>
      <c r="G76" s="364">
        <f t="shared" si="12"/>
        <v>13066.038252168</v>
      </c>
      <c r="H76" s="364">
        <f t="shared" si="12"/>
        <v>12808.585679999998</v>
      </c>
      <c r="I76" s="364">
        <f t="shared" si="12"/>
        <v>12808.585679999998</v>
      </c>
    </row>
    <row r="77" spans="3:9" x14ac:dyDescent="0.25">
      <c r="C77" s="366" t="s">
        <v>463</v>
      </c>
      <c r="D77" s="364">
        <f t="shared" si="12"/>
        <v>3289.40436</v>
      </c>
      <c r="E77" s="364">
        <f t="shared" si="12"/>
        <v>3289.40436</v>
      </c>
      <c r="F77" s="364">
        <f t="shared" si="12"/>
        <v>3322.2984035999998</v>
      </c>
      <c r="G77" s="364">
        <f t="shared" si="12"/>
        <v>3355.5213876359999</v>
      </c>
      <c r="H77" s="364">
        <f t="shared" si="12"/>
        <v>3289.40436</v>
      </c>
      <c r="I77" s="364">
        <f t="shared" si="12"/>
        <v>3289.40436</v>
      </c>
    </row>
    <row r="78" spans="3:9" x14ac:dyDescent="0.25">
      <c r="C78" s="366" t="s">
        <v>464</v>
      </c>
      <c r="D78" s="364">
        <f t="shared" si="12"/>
        <v>9603.5062199999993</v>
      </c>
      <c r="E78" s="364">
        <f t="shared" si="12"/>
        <v>9603.5062199999993</v>
      </c>
      <c r="F78" s="364">
        <f t="shared" si="12"/>
        <v>9699.5412822000017</v>
      </c>
      <c r="G78" s="364">
        <f t="shared" si="12"/>
        <v>9796.5366950220014</v>
      </c>
      <c r="H78" s="364">
        <f t="shared" si="12"/>
        <v>9603.5062199999993</v>
      </c>
      <c r="I78" s="364">
        <f t="shared" si="12"/>
        <v>9603.5062199999993</v>
      </c>
    </row>
    <row r="79" spans="3:9" x14ac:dyDescent="0.25">
      <c r="C79" s="366" t="s">
        <v>465</v>
      </c>
      <c r="D79" s="364">
        <f t="shared" si="12"/>
        <v>13364.030130000001</v>
      </c>
      <c r="E79" s="364">
        <f t="shared" si="12"/>
        <v>13364.030130000001</v>
      </c>
      <c r="F79" s="364">
        <f t="shared" si="12"/>
        <v>13497.670431300003</v>
      </c>
      <c r="G79" s="364">
        <f t="shared" si="12"/>
        <v>13632.647135613004</v>
      </c>
      <c r="H79" s="364">
        <f t="shared" si="12"/>
        <v>13364.030130000001</v>
      </c>
      <c r="I79" s="364">
        <f t="shared" si="12"/>
        <v>13364.030130000001</v>
      </c>
    </row>
    <row r="81" spans="3:9" x14ac:dyDescent="0.25">
      <c r="C81" s="380" t="s">
        <v>518</v>
      </c>
      <c r="D81" s="379"/>
      <c r="E81" s="379"/>
      <c r="F81" s="379"/>
      <c r="G81" s="379"/>
      <c r="H81" s="378"/>
      <c r="I81" s="378"/>
    </row>
    <row r="82" spans="3:9" x14ac:dyDescent="0.25">
      <c r="C82" s="346" t="s">
        <v>252</v>
      </c>
      <c r="D82" s="381">
        <f>ROUNDUP(Demand!D51+Demand!D61+Demand!D71,0)</f>
        <v>220002</v>
      </c>
      <c r="E82" s="381">
        <f>ROUNDUP(Demand!E51+Demand!E61+Demand!E71,0)</f>
        <v>220002</v>
      </c>
      <c r="F82" s="381">
        <f>ROUNDUP(Demand!F51+Demand!F61+Demand!F71,0)</f>
        <v>222202</v>
      </c>
      <c r="G82" s="381">
        <f>ROUNDUP(Demand!G51+Demand!G61+Demand!G71,0)</f>
        <v>224424</v>
      </c>
      <c r="H82" s="381">
        <f>ROUNDUP(Demand!H51+Demand!H61+Demand!H71,0)</f>
        <v>220002</v>
      </c>
      <c r="I82" s="381">
        <f>ROUNDUP(Demand!I51+Demand!I61+Demand!I71,0)</f>
        <v>220002</v>
      </c>
    </row>
    <row r="83" spans="3:9" x14ac:dyDescent="0.25">
      <c r="C83" s="346" t="s">
        <v>253</v>
      </c>
      <c r="D83" s="381">
        <f>ROUNDUP(Demand!D52+Demand!D62+Demand!D72,0)</f>
        <v>81576</v>
      </c>
      <c r="E83" s="381">
        <f>ROUNDUP(Demand!E52+Demand!E62+Demand!E72,0)</f>
        <v>81576</v>
      </c>
      <c r="F83" s="381">
        <f>ROUNDUP(Demand!F52+Demand!F62+Demand!F72,0)</f>
        <v>82391</v>
      </c>
      <c r="G83" s="381">
        <f>ROUNDUP(Demand!G52+Demand!G62+Demand!G72,0)</f>
        <v>83215</v>
      </c>
      <c r="H83" s="381">
        <f>ROUNDUP(Demand!H52+Demand!H62+Demand!H72,0)</f>
        <v>81576</v>
      </c>
      <c r="I83" s="381">
        <f>ROUNDUP(Demand!I52+Demand!I62+Demand!I72,0)</f>
        <v>81576</v>
      </c>
    </row>
    <row r="84" spans="3:9" x14ac:dyDescent="0.25">
      <c r="C84" s="346" t="s">
        <v>254</v>
      </c>
      <c r="D84" s="381">
        <f>ROUNDUP(Demand!D53+Demand!D63+Demand!D73,0)</f>
        <v>249386</v>
      </c>
      <c r="E84" s="381">
        <f>ROUNDUP(Demand!E53+Demand!E63+Demand!E73,0)</f>
        <v>249386</v>
      </c>
      <c r="F84" s="381">
        <f>ROUNDUP(Demand!F53+Demand!F63+Demand!F73,0)</f>
        <v>251879</v>
      </c>
      <c r="G84" s="381">
        <f>ROUNDUP(Demand!G53+Demand!G63+Demand!G73,0)</f>
        <v>254398</v>
      </c>
      <c r="H84" s="381">
        <f>ROUNDUP(Demand!H53+Demand!H63+Demand!H73,0)</f>
        <v>249386</v>
      </c>
      <c r="I84" s="381">
        <f>ROUNDUP(Demand!I53+Demand!I63+Demand!I73,0)</f>
        <v>249386</v>
      </c>
    </row>
    <row r="85" spans="3:9" x14ac:dyDescent="0.25">
      <c r="C85" s="346" t="s">
        <v>255</v>
      </c>
      <c r="D85" s="381">
        <f>ROUNDUP(Demand!D54+Demand!D64+Demand!D74,0)</f>
        <v>320158</v>
      </c>
      <c r="E85" s="381">
        <f>ROUNDUP(Demand!E54+Demand!E64+Demand!E74,0)</f>
        <v>320158</v>
      </c>
      <c r="F85" s="381">
        <f>ROUNDUP(Demand!F54+Demand!F64+Demand!F74,0)</f>
        <v>323360</v>
      </c>
      <c r="G85" s="381">
        <f>ROUNDUP(Demand!G54+Demand!G64+Demand!G74,0)</f>
        <v>326594</v>
      </c>
      <c r="H85" s="381">
        <f>ROUNDUP(Demand!H54+Demand!H64+Demand!H74,0)</f>
        <v>320158</v>
      </c>
      <c r="I85" s="381">
        <f>ROUNDUP(Demand!I54+Demand!I64+Demand!I74,0)</f>
        <v>320158</v>
      </c>
    </row>
    <row r="86" spans="3:9" x14ac:dyDescent="0.25">
      <c r="C86" s="346" t="s">
        <v>256</v>
      </c>
      <c r="D86" s="381">
        <f>ROUNDUP(Demand!D55+Demand!D65+Demand!D75,0)</f>
        <v>190341</v>
      </c>
      <c r="E86" s="381">
        <f>ROUNDUP(Demand!E55+Demand!E65+Demand!E75,0)</f>
        <v>190341</v>
      </c>
      <c r="F86" s="381">
        <f>ROUNDUP(Demand!F55+Demand!F65+Demand!F75,0)</f>
        <v>192245</v>
      </c>
      <c r="G86" s="381">
        <f>ROUNDUP(Demand!G55+Demand!G65+Demand!G75,0)</f>
        <v>194167</v>
      </c>
      <c r="H86" s="381">
        <f>ROUNDUP(Demand!H55+Demand!H65+Demand!H75,0)</f>
        <v>190341</v>
      </c>
      <c r="I86" s="381">
        <f>ROUNDUP(Demand!I55+Demand!I65+Demand!I75,0)</f>
        <v>190341</v>
      </c>
    </row>
    <row r="87" spans="3:9" x14ac:dyDescent="0.25">
      <c r="C87" s="346" t="s">
        <v>257</v>
      </c>
      <c r="D87" s="381">
        <f>ROUNDUP(Demand!D56+Demand!D66+Demand!D76,0)</f>
        <v>116442</v>
      </c>
      <c r="E87" s="381">
        <f>ROUNDUP(Demand!E56+Demand!E66+Demand!E76,0)</f>
        <v>116442</v>
      </c>
      <c r="F87" s="381">
        <f>ROUNDUP(Demand!F56+Demand!F66+Demand!F76,0)</f>
        <v>117607</v>
      </c>
      <c r="G87" s="381">
        <f>ROUNDUP(Demand!G56+Demand!G66+Demand!G76,0)</f>
        <v>118783</v>
      </c>
      <c r="H87" s="381">
        <f>ROUNDUP(Demand!H56+Demand!H66+Demand!H76,0)</f>
        <v>116442</v>
      </c>
      <c r="I87" s="381">
        <f>ROUNDUP(Demand!I56+Demand!I66+Demand!I76,0)</f>
        <v>116442</v>
      </c>
    </row>
    <row r="88" spans="3:9" x14ac:dyDescent="0.25">
      <c r="C88" s="346" t="s">
        <v>258</v>
      </c>
      <c r="D88" s="381">
        <f>ROUNDUP(Demand!D57+Demand!D67+Demand!D77,0)</f>
        <v>29904</v>
      </c>
      <c r="E88" s="381">
        <f>ROUNDUP(Demand!E57+Demand!E67+Demand!E77,0)</f>
        <v>29904</v>
      </c>
      <c r="F88" s="381">
        <f>ROUNDUP(Demand!F57+Demand!F67+Demand!F77,0)</f>
        <v>30203</v>
      </c>
      <c r="G88" s="381">
        <f>ROUNDUP(Demand!G57+Demand!G67+Demand!G77,0)</f>
        <v>30505</v>
      </c>
      <c r="H88" s="381">
        <f>ROUNDUP(Demand!H57+Demand!H67+Demand!H77,0)</f>
        <v>29904</v>
      </c>
      <c r="I88" s="381">
        <f>ROUNDUP(Demand!I57+Demand!I67+Demand!I77,0)</f>
        <v>29904</v>
      </c>
    </row>
    <row r="89" spans="3:9" x14ac:dyDescent="0.25">
      <c r="C89" s="346" t="s">
        <v>259</v>
      </c>
      <c r="D89" s="381">
        <f>ROUNDUP(Demand!D58+Demand!D68+Demand!D78,0)</f>
        <v>87305</v>
      </c>
      <c r="E89" s="381">
        <f>ROUNDUP(Demand!E58+Demand!E68+Demand!E78,0)</f>
        <v>87305</v>
      </c>
      <c r="F89" s="381">
        <f>ROUNDUP(Demand!F58+Demand!F68+Demand!F78,0)</f>
        <v>88178</v>
      </c>
      <c r="G89" s="381">
        <f>ROUNDUP(Demand!G58+Demand!G68+Demand!G78,0)</f>
        <v>89060</v>
      </c>
      <c r="H89" s="381">
        <f>ROUNDUP(Demand!H58+Demand!H68+Demand!H78,0)</f>
        <v>87305</v>
      </c>
      <c r="I89" s="381">
        <f>ROUNDUP(Demand!I58+Demand!I68+Demand!I78,0)</f>
        <v>87305</v>
      </c>
    </row>
    <row r="90" spans="3:9" x14ac:dyDescent="0.25">
      <c r="C90" s="346" t="s">
        <v>260</v>
      </c>
      <c r="D90" s="381">
        <f>ROUNDUP(Demand!D59+Demand!D69+Demand!D79,0)</f>
        <v>121492</v>
      </c>
      <c r="E90" s="381">
        <f>ROUNDUP(Demand!E59+Demand!E69+Demand!E79,0)</f>
        <v>121492</v>
      </c>
      <c r="F90" s="381">
        <f>ROUNDUP(Demand!F59+Demand!F69+Demand!F79,0)</f>
        <v>122707</v>
      </c>
      <c r="G90" s="381">
        <f>ROUNDUP(Demand!G59+Demand!G69+Demand!G79,0)</f>
        <v>123934</v>
      </c>
      <c r="H90" s="381">
        <f>ROUNDUP(Demand!H59+Demand!H69+Demand!H79,0)</f>
        <v>121492</v>
      </c>
      <c r="I90" s="381">
        <f>ROUNDUP(Demand!I59+Demand!I69+Demand!I79,0)</f>
        <v>121492</v>
      </c>
    </row>
    <row r="91" spans="3:9" x14ac:dyDescent="0.25">
      <c r="C91" s="374" t="s">
        <v>517</v>
      </c>
      <c r="D91" s="376">
        <f t="shared" ref="D91:I91" si="13">SUM(D82:D90)</f>
        <v>1416606</v>
      </c>
      <c r="E91" s="376">
        <f t="shared" si="13"/>
        <v>1416606</v>
      </c>
      <c r="F91" s="376">
        <f t="shared" si="13"/>
        <v>1430772</v>
      </c>
      <c r="G91" s="376">
        <f t="shared" si="13"/>
        <v>1445080</v>
      </c>
      <c r="H91" s="376">
        <f t="shared" si="13"/>
        <v>1416606</v>
      </c>
      <c r="I91" s="376">
        <f t="shared" si="13"/>
        <v>1416606</v>
      </c>
    </row>
    <row r="92" spans="3:9" x14ac:dyDescent="0.25">
      <c r="C92" s="380" t="s">
        <v>519</v>
      </c>
      <c r="D92" s="379"/>
      <c r="E92" s="379"/>
      <c r="F92" s="379"/>
      <c r="G92" s="379"/>
      <c r="H92" s="378"/>
      <c r="I92" s="378"/>
    </row>
    <row r="93" spans="3:9" x14ac:dyDescent="0.25">
      <c r="C93" s="346" t="s">
        <v>252</v>
      </c>
      <c r="D93" s="382">
        <f>D82*PED!D$63/GenAssumptions!D$45/GenAssumptions!D$41</f>
        <v>586.67200000000003</v>
      </c>
      <c r="E93" s="382">
        <f>E82*PED!E$63/GenAssumptions!E$45/GenAssumptions!E$41</f>
        <v>586.67200000000003</v>
      </c>
      <c r="F93" s="382">
        <f>F82*PED!F$63/GenAssumptions!F$45/GenAssumptions!F$41</f>
        <v>592.5386666666667</v>
      </c>
      <c r="G93" s="382">
        <f>G82*PED!G$63/GenAssumptions!G$45/GenAssumptions!G$41</f>
        <v>598.46400000000006</v>
      </c>
      <c r="H93" s="382">
        <f>H82*PED!H$63/GenAssumptions!H$45/GenAssumptions!H$41</f>
        <v>586.67200000000003</v>
      </c>
      <c r="I93" s="382">
        <f>I82*PED!I$63/GenAssumptions!I$45/GenAssumptions!I$41</f>
        <v>586.67200000000003</v>
      </c>
    </row>
    <row r="94" spans="3:9" x14ac:dyDescent="0.25">
      <c r="C94" s="346" t="s">
        <v>253</v>
      </c>
      <c r="D94" s="382">
        <f>D83*PED!D$63/GenAssumptions!D$45/GenAssumptions!D$41</f>
        <v>217.536</v>
      </c>
      <c r="E94" s="382">
        <f>E83*PED!E$63/GenAssumptions!E$45/GenAssumptions!E$41</f>
        <v>217.536</v>
      </c>
      <c r="F94" s="382">
        <f>F83*PED!F$63/GenAssumptions!F$45/GenAssumptions!F$41</f>
        <v>219.70933333333335</v>
      </c>
      <c r="G94" s="382">
        <f>G83*PED!G$63/GenAssumptions!G$45/GenAssumptions!G$41</f>
        <v>221.90666666666667</v>
      </c>
      <c r="H94" s="382">
        <f>H83*PED!H$63/GenAssumptions!H$45/GenAssumptions!H$41</f>
        <v>217.536</v>
      </c>
      <c r="I94" s="382">
        <f>I83*PED!I$63/GenAssumptions!I$45/GenAssumptions!I$41</f>
        <v>217.536</v>
      </c>
    </row>
    <row r="95" spans="3:9" x14ac:dyDescent="0.25">
      <c r="C95" s="346" t="s">
        <v>254</v>
      </c>
      <c r="D95" s="382">
        <f>D84*PED!D$63/GenAssumptions!D$45/GenAssumptions!D$41</f>
        <v>665.0293333333334</v>
      </c>
      <c r="E95" s="382">
        <f>E84*PED!E$63/GenAssumptions!E$45/GenAssumptions!E$41</f>
        <v>665.0293333333334</v>
      </c>
      <c r="F95" s="382">
        <f>F84*PED!F$63/GenAssumptions!F$45/GenAssumptions!F$41</f>
        <v>671.67733333333331</v>
      </c>
      <c r="G95" s="382">
        <f>G84*PED!G$63/GenAssumptions!G$45/GenAssumptions!G$41</f>
        <v>678.39466666666681</v>
      </c>
      <c r="H95" s="382">
        <f>H84*PED!H$63/GenAssumptions!H$45/GenAssumptions!H$41</f>
        <v>665.0293333333334</v>
      </c>
      <c r="I95" s="382">
        <f>I84*PED!I$63/GenAssumptions!I$45/GenAssumptions!I$41</f>
        <v>665.0293333333334</v>
      </c>
    </row>
    <row r="96" spans="3:9" x14ac:dyDescent="0.25">
      <c r="C96" s="346" t="s">
        <v>255</v>
      </c>
      <c r="D96" s="382">
        <f>D85*PED!D$63/GenAssumptions!D$45/GenAssumptions!D$41</f>
        <v>853.75466666666682</v>
      </c>
      <c r="E96" s="382">
        <f>E85*PED!E$63/GenAssumptions!E$45/GenAssumptions!E$41</f>
        <v>853.75466666666682</v>
      </c>
      <c r="F96" s="382">
        <f>F85*PED!F$63/GenAssumptions!F$45/GenAssumptions!F$41</f>
        <v>862.29333333333329</v>
      </c>
      <c r="G96" s="382">
        <f>G85*PED!G$63/GenAssumptions!G$45/GenAssumptions!G$41</f>
        <v>870.91733333333332</v>
      </c>
      <c r="H96" s="382">
        <f>H85*PED!H$63/GenAssumptions!H$45/GenAssumptions!H$41</f>
        <v>853.75466666666682</v>
      </c>
      <c r="I96" s="382">
        <f>I85*PED!I$63/GenAssumptions!I$45/GenAssumptions!I$41</f>
        <v>853.75466666666682</v>
      </c>
    </row>
    <row r="97" spans="3:9" x14ac:dyDescent="0.25">
      <c r="C97" s="346" t="s">
        <v>256</v>
      </c>
      <c r="D97" s="382">
        <f>D86*PED!D$63/GenAssumptions!D$45/GenAssumptions!D$41</f>
        <v>507.57600000000008</v>
      </c>
      <c r="E97" s="382">
        <f>E86*PED!E$63/GenAssumptions!E$45/GenAssumptions!E$41</f>
        <v>507.57600000000008</v>
      </c>
      <c r="F97" s="382">
        <f>F86*PED!F$63/GenAssumptions!F$45/GenAssumptions!F$41</f>
        <v>512.65333333333331</v>
      </c>
      <c r="G97" s="382">
        <f>G86*PED!G$63/GenAssumptions!G$45/GenAssumptions!G$41</f>
        <v>517.77866666666671</v>
      </c>
      <c r="H97" s="382">
        <f>H86*PED!H$63/GenAssumptions!H$45/GenAssumptions!H$41</f>
        <v>507.57600000000008</v>
      </c>
      <c r="I97" s="382">
        <f>I86*PED!I$63/GenAssumptions!I$45/GenAssumptions!I$41</f>
        <v>507.57600000000008</v>
      </c>
    </row>
    <row r="98" spans="3:9" x14ac:dyDescent="0.25">
      <c r="C98" s="346" t="s">
        <v>257</v>
      </c>
      <c r="D98" s="382">
        <f>D87*PED!D$63/GenAssumptions!D$45/GenAssumptions!D$41</f>
        <v>310.512</v>
      </c>
      <c r="E98" s="382">
        <f>E87*PED!E$63/GenAssumptions!E$45/GenAssumptions!E$41</f>
        <v>310.512</v>
      </c>
      <c r="F98" s="382">
        <f>F87*PED!F$63/GenAssumptions!F$45/GenAssumptions!F$41</f>
        <v>313.61866666666668</v>
      </c>
      <c r="G98" s="382">
        <f>G87*PED!G$63/GenAssumptions!G$45/GenAssumptions!G$41</f>
        <v>316.75466666666671</v>
      </c>
      <c r="H98" s="382">
        <f>H87*PED!H$63/GenAssumptions!H$45/GenAssumptions!H$41</f>
        <v>310.512</v>
      </c>
      <c r="I98" s="382">
        <f>I87*PED!I$63/GenAssumptions!I$45/GenAssumptions!I$41</f>
        <v>310.512</v>
      </c>
    </row>
    <row r="99" spans="3:9" x14ac:dyDescent="0.25">
      <c r="C99" s="346" t="s">
        <v>258</v>
      </c>
      <c r="D99" s="382">
        <f>D88*PED!D$63/GenAssumptions!D$45/GenAssumptions!D$41</f>
        <v>79.744</v>
      </c>
      <c r="E99" s="382">
        <f>E88*PED!E$63/GenAssumptions!E$45/GenAssumptions!E$41</f>
        <v>79.744</v>
      </c>
      <c r="F99" s="382">
        <f>F88*PED!F$63/GenAssumptions!F$45/GenAssumptions!F$41</f>
        <v>80.541333333333341</v>
      </c>
      <c r="G99" s="382">
        <f>G88*PED!G$63/GenAssumptions!G$45/GenAssumptions!G$41</f>
        <v>81.346666666666664</v>
      </c>
      <c r="H99" s="382">
        <f>H88*PED!H$63/GenAssumptions!H$45/GenAssumptions!H$41</f>
        <v>79.744</v>
      </c>
      <c r="I99" s="382">
        <f>I88*PED!I$63/GenAssumptions!I$45/GenAssumptions!I$41</f>
        <v>79.744</v>
      </c>
    </row>
    <row r="100" spans="3:9" x14ac:dyDescent="0.25">
      <c r="C100" s="346" t="s">
        <v>259</v>
      </c>
      <c r="D100" s="382">
        <f>D89*PED!D$63/GenAssumptions!D$45/GenAssumptions!D$41</f>
        <v>232.81333333333333</v>
      </c>
      <c r="E100" s="382">
        <f>E89*PED!E$63/GenAssumptions!E$45/GenAssumptions!E$41</f>
        <v>232.81333333333333</v>
      </c>
      <c r="F100" s="382">
        <f>F89*PED!F$63/GenAssumptions!F$45/GenAssumptions!F$41</f>
        <v>235.14133333333336</v>
      </c>
      <c r="G100" s="382">
        <f>G89*PED!G$63/GenAssumptions!G$45/GenAssumptions!G$41</f>
        <v>237.49333333333334</v>
      </c>
      <c r="H100" s="382">
        <f>H89*PED!H$63/GenAssumptions!H$45/GenAssumptions!H$41</f>
        <v>232.81333333333333</v>
      </c>
      <c r="I100" s="382">
        <f>I89*PED!I$63/GenAssumptions!I$45/GenAssumptions!I$41</f>
        <v>232.81333333333333</v>
      </c>
    </row>
    <row r="101" spans="3:9" x14ac:dyDescent="0.25">
      <c r="C101" s="346" t="s">
        <v>260</v>
      </c>
      <c r="D101" s="382">
        <f>D90*PED!D$63/GenAssumptions!D$45/GenAssumptions!D$41</f>
        <v>323.9786666666667</v>
      </c>
      <c r="E101" s="382">
        <f>E90*PED!E$63/GenAssumptions!E$45/GenAssumptions!E$41</f>
        <v>323.9786666666667</v>
      </c>
      <c r="F101" s="382">
        <f>F90*PED!F$63/GenAssumptions!F$45/GenAssumptions!F$41</f>
        <v>327.21866666666671</v>
      </c>
      <c r="G101" s="382">
        <f>G90*PED!G$63/GenAssumptions!G$45/GenAssumptions!G$41</f>
        <v>330.4906666666667</v>
      </c>
      <c r="H101" s="382">
        <f>H90*PED!H$63/GenAssumptions!H$45/GenAssumptions!H$41</f>
        <v>323.9786666666667</v>
      </c>
      <c r="I101" s="382">
        <f>I90*PED!I$63/GenAssumptions!I$45/GenAssumptions!I$41</f>
        <v>323.9786666666667</v>
      </c>
    </row>
    <row r="102" spans="3:9" x14ac:dyDescent="0.25">
      <c r="C102" s="374" t="s">
        <v>517</v>
      </c>
      <c r="D102" s="375">
        <f t="shared" ref="D102:I102" si="14">SUM(D93:D101)</f>
        <v>3777.6160000000009</v>
      </c>
      <c r="E102" s="375">
        <f t="shared" si="14"/>
        <v>3777.6160000000009</v>
      </c>
      <c r="F102" s="375">
        <f t="shared" si="14"/>
        <v>3815.3920000000003</v>
      </c>
      <c r="G102" s="375">
        <f t="shared" si="14"/>
        <v>3853.5466666666666</v>
      </c>
      <c r="H102" s="375">
        <f t="shared" si="14"/>
        <v>3777.6160000000009</v>
      </c>
      <c r="I102" s="375">
        <f t="shared" si="14"/>
        <v>3777.6160000000009</v>
      </c>
    </row>
    <row r="103" spans="3:9" x14ac:dyDescent="0.25">
      <c r="C103" s="373"/>
    </row>
    <row r="104" spans="3:9" x14ac:dyDescent="0.25">
      <c r="C104" s="380" t="s">
        <v>540</v>
      </c>
      <c r="D104" s="379"/>
      <c r="E104" s="379"/>
      <c r="F104" s="379"/>
      <c r="G104" s="379"/>
      <c r="H104" s="378"/>
      <c r="I104" s="378"/>
    </row>
    <row r="105" spans="3:9" x14ac:dyDescent="0.25">
      <c r="C105" s="346" t="s">
        <v>252</v>
      </c>
      <c r="D105" s="382">
        <f>(D82*PED!D$64)/GenAssumptions!D$46/GenAssumptions!D$42</f>
        <v>220.00199999999998</v>
      </c>
      <c r="E105" s="382">
        <f>(E82*PED!E$64)/GenAssumptions!E$46/GenAssumptions!E$42</f>
        <v>220.00199999999998</v>
      </c>
      <c r="F105" s="382">
        <f>(F82*PED!F$64)/GenAssumptions!F$46/GenAssumptions!F$42</f>
        <v>222.20199999999997</v>
      </c>
      <c r="G105" s="382">
        <f>(G82*PED!G$64)/GenAssumptions!G$46/GenAssumptions!G$42</f>
        <v>224.42399999999998</v>
      </c>
      <c r="H105" s="382">
        <f>(H82*PED!H$64)/GenAssumptions!H$46/GenAssumptions!H$42</f>
        <v>220.00199999999998</v>
      </c>
      <c r="I105" s="382">
        <f>(I82*PED!I$64)/GenAssumptions!I$46/GenAssumptions!I$42</f>
        <v>220.00199999999998</v>
      </c>
    </row>
    <row r="106" spans="3:9" x14ac:dyDescent="0.25">
      <c r="C106" s="346" t="s">
        <v>253</v>
      </c>
      <c r="D106" s="382">
        <f>(D83*PED!D$64)/GenAssumptions!D$46/GenAssumptions!D$42</f>
        <v>81.575999999999993</v>
      </c>
      <c r="E106" s="382">
        <f>(E83*PED!E$64)/GenAssumptions!E$46/GenAssumptions!E$42</f>
        <v>81.575999999999993</v>
      </c>
      <c r="F106" s="382">
        <f>(F83*PED!F$64)/GenAssumptions!F$46/GenAssumptions!F$42</f>
        <v>82.391000000000005</v>
      </c>
      <c r="G106" s="382">
        <f>(G83*PED!G$64)/GenAssumptions!G$46/GenAssumptions!G$42</f>
        <v>83.214999999999989</v>
      </c>
      <c r="H106" s="382">
        <f>(H83*PED!H$64)/GenAssumptions!H$46/GenAssumptions!H$42</f>
        <v>81.575999999999993</v>
      </c>
      <c r="I106" s="382">
        <f>(I83*PED!I$64)/GenAssumptions!I$46/GenAssumptions!I$42</f>
        <v>81.575999999999993</v>
      </c>
    </row>
    <row r="107" spans="3:9" x14ac:dyDescent="0.25">
      <c r="C107" s="346" t="s">
        <v>254</v>
      </c>
      <c r="D107" s="382">
        <f>(D84*PED!D$64)/GenAssumptions!D$46/GenAssumptions!D$42</f>
        <v>249.386</v>
      </c>
      <c r="E107" s="382">
        <f>(E84*PED!E$64)/GenAssumptions!E$46/GenAssumptions!E$42</f>
        <v>249.386</v>
      </c>
      <c r="F107" s="382">
        <f>(F84*PED!F$64)/GenAssumptions!F$46/GenAssumptions!F$42</f>
        <v>251.87899999999999</v>
      </c>
      <c r="G107" s="382">
        <f>(G84*PED!G$64)/GenAssumptions!G$46/GenAssumptions!G$42</f>
        <v>254.398</v>
      </c>
      <c r="H107" s="382">
        <f>(H84*PED!H$64)/GenAssumptions!H$46/GenAssumptions!H$42</f>
        <v>249.386</v>
      </c>
      <c r="I107" s="382">
        <f>(I84*PED!I$64)/GenAssumptions!I$46/GenAssumptions!I$42</f>
        <v>249.386</v>
      </c>
    </row>
    <row r="108" spans="3:9" x14ac:dyDescent="0.25">
      <c r="C108" s="346" t="s">
        <v>255</v>
      </c>
      <c r="D108" s="382">
        <f>(D85*PED!D$64)/GenAssumptions!D$46/GenAssumptions!D$42</f>
        <v>320.15800000000002</v>
      </c>
      <c r="E108" s="382">
        <f>(E85*PED!E$64)/GenAssumptions!E$46/GenAssumptions!E$42</f>
        <v>320.15800000000002</v>
      </c>
      <c r="F108" s="382">
        <f>(F85*PED!F$64)/GenAssumptions!F$46/GenAssumptions!F$42</f>
        <v>323.35999999999996</v>
      </c>
      <c r="G108" s="382">
        <f>(G85*PED!G$64)/GenAssumptions!G$46/GenAssumptions!G$42</f>
        <v>326.59399999999999</v>
      </c>
      <c r="H108" s="382">
        <f>(H85*PED!H$64)/GenAssumptions!H$46/GenAssumptions!H$42</f>
        <v>320.15800000000002</v>
      </c>
      <c r="I108" s="382">
        <f>(I85*PED!I$64)/GenAssumptions!I$46/GenAssumptions!I$42</f>
        <v>320.15800000000002</v>
      </c>
    </row>
    <row r="109" spans="3:9" x14ac:dyDescent="0.25">
      <c r="C109" s="346" t="s">
        <v>256</v>
      </c>
      <c r="D109" s="382">
        <f>(D86*PED!D$64)/GenAssumptions!D$46/GenAssumptions!D$42</f>
        <v>190.34099999999998</v>
      </c>
      <c r="E109" s="382">
        <f>(E86*PED!E$64)/GenAssumptions!E$46/GenAssumptions!E$42</f>
        <v>190.34099999999998</v>
      </c>
      <c r="F109" s="382">
        <f>(F86*PED!F$64)/GenAssumptions!F$46/GenAssumptions!F$42</f>
        <v>192.245</v>
      </c>
      <c r="G109" s="382">
        <f>(G86*PED!G$64)/GenAssumptions!G$46/GenAssumptions!G$42</f>
        <v>194.167</v>
      </c>
      <c r="H109" s="382">
        <f>(H86*PED!H$64)/GenAssumptions!H$46/GenAssumptions!H$42</f>
        <v>190.34099999999998</v>
      </c>
      <c r="I109" s="382">
        <f>(I86*PED!I$64)/GenAssumptions!I$46/GenAssumptions!I$42</f>
        <v>190.34099999999998</v>
      </c>
    </row>
    <row r="110" spans="3:9" x14ac:dyDescent="0.25">
      <c r="C110" s="346" t="s">
        <v>257</v>
      </c>
      <c r="D110" s="382">
        <f>(D87*PED!D$64)/GenAssumptions!D$46/GenAssumptions!D$42</f>
        <v>116.44199999999999</v>
      </c>
      <c r="E110" s="382">
        <f>(E87*PED!E$64)/GenAssumptions!E$46/GenAssumptions!E$42</f>
        <v>116.44199999999999</v>
      </c>
      <c r="F110" s="382">
        <f>(F87*PED!F$64)/GenAssumptions!F$46/GenAssumptions!F$42</f>
        <v>117.607</v>
      </c>
      <c r="G110" s="382">
        <f>(G87*PED!G$64)/GenAssumptions!G$46/GenAssumptions!G$42</f>
        <v>118.783</v>
      </c>
      <c r="H110" s="382">
        <f>(H87*PED!H$64)/GenAssumptions!H$46/GenAssumptions!H$42</f>
        <v>116.44199999999999</v>
      </c>
      <c r="I110" s="382">
        <f>(I87*PED!I$64)/GenAssumptions!I$46/GenAssumptions!I$42</f>
        <v>116.44199999999999</v>
      </c>
    </row>
    <row r="111" spans="3:9" x14ac:dyDescent="0.25">
      <c r="C111" s="346" t="s">
        <v>258</v>
      </c>
      <c r="D111" s="382">
        <f>(D88*PED!D$64)/GenAssumptions!D$46/GenAssumptions!D$42</f>
        <v>29.903999999999996</v>
      </c>
      <c r="E111" s="382">
        <f>(E88*PED!E$64)/GenAssumptions!E$46/GenAssumptions!E$42</f>
        <v>29.903999999999996</v>
      </c>
      <c r="F111" s="382">
        <f>(F88*PED!F$64)/GenAssumptions!F$46/GenAssumptions!F$42</f>
        <v>30.202999999999996</v>
      </c>
      <c r="G111" s="382">
        <f>(G88*PED!G$64)/GenAssumptions!G$46/GenAssumptions!G$42</f>
        <v>30.504999999999999</v>
      </c>
      <c r="H111" s="382">
        <f>(H88*PED!H$64)/GenAssumptions!H$46/GenAssumptions!H$42</f>
        <v>29.903999999999996</v>
      </c>
      <c r="I111" s="382">
        <f>(I88*PED!I$64)/GenAssumptions!I$46/GenAssumptions!I$42</f>
        <v>29.903999999999996</v>
      </c>
    </row>
    <row r="112" spans="3:9" x14ac:dyDescent="0.25">
      <c r="C112" s="346" t="s">
        <v>259</v>
      </c>
      <c r="D112" s="382">
        <f>(D89*PED!D$64)/GenAssumptions!D$46/GenAssumptions!D$42</f>
        <v>87.305000000000007</v>
      </c>
      <c r="E112" s="382">
        <f>(E89*PED!E$64)/GenAssumptions!E$46/GenAssumptions!E$42</f>
        <v>87.305000000000007</v>
      </c>
      <c r="F112" s="382">
        <f>(F89*PED!F$64)/GenAssumptions!F$46/GenAssumptions!F$42</f>
        <v>88.177999999999983</v>
      </c>
      <c r="G112" s="382">
        <f>(G89*PED!G$64)/GenAssumptions!G$46/GenAssumptions!G$42</f>
        <v>89.06</v>
      </c>
      <c r="H112" s="382">
        <f>(H89*PED!H$64)/GenAssumptions!H$46/GenAssumptions!H$42</f>
        <v>87.305000000000007</v>
      </c>
      <c r="I112" s="382">
        <f>(I89*PED!I$64)/GenAssumptions!I$46/GenAssumptions!I$42</f>
        <v>87.305000000000007</v>
      </c>
    </row>
    <row r="113" spans="3:9" x14ac:dyDescent="0.25">
      <c r="C113" s="346" t="s">
        <v>260</v>
      </c>
      <c r="D113" s="382">
        <f>(D90*PED!D$64)/GenAssumptions!D$46/GenAssumptions!D$42</f>
        <v>121.49199999999999</v>
      </c>
      <c r="E113" s="382">
        <f>(E90*PED!E$64)/GenAssumptions!E$46/GenAssumptions!E$42</f>
        <v>121.49199999999999</v>
      </c>
      <c r="F113" s="382">
        <f>(F90*PED!F$64)/GenAssumptions!F$46/GenAssumptions!F$42</f>
        <v>122.70700000000001</v>
      </c>
      <c r="G113" s="382">
        <f>(G90*PED!G$64)/GenAssumptions!G$46/GenAssumptions!G$42</f>
        <v>123.93399999999998</v>
      </c>
      <c r="H113" s="382">
        <f>(H90*PED!H$64)/GenAssumptions!H$46/GenAssumptions!H$42</f>
        <v>121.49199999999999</v>
      </c>
      <c r="I113" s="382">
        <f>(I90*PED!I$64)/GenAssumptions!I$46/GenAssumptions!I$42</f>
        <v>121.49199999999999</v>
      </c>
    </row>
    <row r="114" spans="3:9" x14ac:dyDescent="0.25">
      <c r="C114" s="374" t="s">
        <v>517</v>
      </c>
      <c r="D114" s="383">
        <f t="shared" ref="D114:I114" si="15">SUM(D105:D113)</f>
        <v>1416.606</v>
      </c>
      <c r="E114" s="383">
        <f t="shared" si="15"/>
        <v>1416.606</v>
      </c>
      <c r="F114" s="383">
        <f t="shared" si="15"/>
        <v>1430.7719999999997</v>
      </c>
      <c r="G114" s="383">
        <f t="shared" si="15"/>
        <v>1445.0799999999997</v>
      </c>
      <c r="H114" s="383">
        <f t="shared" si="15"/>
        <v>1416.606</v>
      </c>
      <c r="I114" s="383">
        <f t="shared" si="15"/>
        <v>1416.606</v>
      </c>
    </row>
    <row r="115" spans="3:9" x14ac:dyDescent="0.25">
      <c r="C115" s="373"/>
    </row>
    <row r="116" spans="3:9" x14ac:dyDescent="0.25">
      <c r="C116" s="380" t="s">
        <v>716</v>
      </c>
      <c r="D116" s="379"/>
      <c r="E116" s="379"/>
      <c r="F116" s="379"/>
      <c r="G116" s="379"/>
      <c r="H116" s="378"/>
      <c r="I116" s="378"/>
    </row>
    <row r="117" spans="3:9" x14ac:dyDescent="0.25">
      <c r="C117" s="346" t="s">
        <v>252</v>
      </c>
      <c r="D117" s="382">
        <f>D93*PED!D$68</f>
        <v>293.33600000000001</v>
      </c>
      <c r="E117" s="382">
        <f>E93*PED!E$68</f>
        <v>293.33600000000001</v>
      </c>
      <c r="F117" s="382">
        <f>F93*PED!F$68</f>
        <v>296.26933333333335</v>
      </c>
      <c r="G117" s="382">
        <f>G93*PED!G$68</f>
        <v>299.23200000000003</v>
      </c>
      <c r="H117" s="382">
        <f>H93*PED!H$68</f>
        <v>293.33600000000001</v>
      </c>
      <c r="I117" s="382">
        <f>I93*PED!I$68</f>
        <v>293.33600000000001</v>
      </c>
    </row>
    <row r="118" spans="3:9" x14ac:dyDescent="0.25">
      <c r="C118" s="346" t="s">
        <v>253</v>
      </c>
      <c r="D118" s="390">
        <f>D94*PED!D$68</f>
        <v>108.768</v>
      </c>
      <c r="E118" s="390">
        <f>E94*PED!E$68</f>
        <v>108.768</v>
      </c>
      <c r="F118" s="390">
        <f>F94*PED!F$68</f>
        <v>109.85466666666667</v>
      </c>
      <c r="G118" s="390">
        <f>G94*PED!G$68</f>
        <v>110.95333333333333</v>
      </c>
      <c r="H118" s="390">
        <f>H94*PED!H$68</f>
        <v>108.768</v>
      </c>
      <c r="I118" s="390">
        <f>I94*PED!I$68</f>
        <v>108.768</v>
      </c>
    </row>
    <row r="119" spans="3:9" x14ac:dyDescent="0.25">
      <c r="C119" s="346" t="s">
        <v>254</v>
      </c>
      <c r="D119" s="390">
        <f>D95*PED!D$68</f>
        <v>332.5146666666667</v>
      </c>
      <c r="E119" s="390">
        <f>E95*PED!E$68</f>
        <v>332.5146666666667</v>
      </c>
      <c r="F119" s="390">
        <f>F95*PED!F$68</f>
        <v>335.83866666666665</v>
      </c>
      <c r="G119" s="390">
        <f>G95*PED!G$68</f>
        <v>339.1973333333334</v>
      </c>
      <c r="H119" s="390">
        <f>H95*PED!H$68</f>
        <v>332.5146666666667</v>
      </c>
      <c r="I119" s="390">
        <f>I95*PED!I$68</f>
        <v>332.5146666666667</v>
      </c>
    </row>
    <row r="120" spans="3:9" x14ac:dyDescent="0.25">
      <c r="C120" s="346" t="s">
        <v>255</v>
      </c>
      <c r="D120" s="390">
        <f>D96*PED!D$68</f>
        <v>426.87733333333341</v>
      </c>
      <c r="E120" s="390">
        <f>E96*PED!E$68</f>
        <v>426.87733333333341</v>
      </c>
      <c r="F120" s="390">
        <f>F96*PED!F$68</f>
        <v>431.14666666666665</v>
      </c>
      <c r="G120" s="390">
        <f>G96*PED!G$68</f>
        <v>435.45866666666666</v>
      </c>
      <c r="H120" s="390">
        <f>H96*PED!H$68</f>
        <v>426.87733333333341</v>
      </c>
      <c r="I120" s="390">
        <f>I96*PED!I$68</f>
        <v>426.87733333333341</v>
      </c>
    </row>
    <row r="121" spans="3:9" x14ac:dyDescent="0.25">
      <c r="C121" s="346" t="s">
        <v>256</v>
      </c>
      <c r="D121" s="390">
        <f>D97*PED!D$68</f>
        <v>253.78800000000004</v>
      </c>
      <c r="E121" s="390">
        <f>E97*PED!E$68</f>
        <v>253.78800000000004</v>
      </c>
      <c r="F121" s="390">
        <f>F97*PED!F$68</f>
        <v>256.32666666666665</v>
      </c>
      <c r="G121" s="390">
        <f>G97*PED!G$68</f>
        <v>258.88933333333335</v>
      </c>
      <c r="H121" s="390">
        <f>H97*PED!H$68</f>
        <v>253.78800000000004</v>
      </c>
      <c r="I121" s="390">
        <f>I97*PED!I$68</f>
        <v>253.78800000000004</v>
      </c>
    </row>
    <row r="122" spans="3:9" x14ac:dyDescent="0.25">
      <c r="C122" s="346" t="s">
        <v>257</v>
      </c>
      <c r="D122" s="390">
        <f>D98*PED!D$68</f>
        <v>155.256</v>
      </c>
      <c r="E122" s="390">
        <f>E98*PED!E$68</f>
        <v>155.256</v>
      </c>
      <c r="F122" s="390">
        <f>F98*PED!F$68</f>
        <v>156.80933333333334</v>
      </c>
      <c r="G122" s="390">
        <f>G98*PED!G$68</f>
        <v>158.37733333333335</v>
      </c>
      <c r="H122" s="390">
        <f>H98*PED!H$68</f>
        <v>155.256</v>
      </c>
      <c r="I122" s="390">
        <f>I98*PED!I$68</f>
        <v>155.256</v>
      </c>
    </row>
    <row r="123" spans="3:9" x14ac:dyDescent="0.25">
      <c r="C123" s="346" t="s">
        <v>258</v>
      </c>
      <c r="D123" s="390">
        <f>D99*PED!D$68</f>
        <v>39.872</v>
      </c>
      <c r="E123" s="390">
        <f>E99*PED!E$68</f>
        <v>39.872</v>
      </c>
      <c r="F123" s="390">
        <f>F99*PED!F$68</f>
        <v>40.270666666666671</v>
      </c>
      <c r="G123" s="390">
        <f>G99*PED!G$68</f>
        <v>40.673333333333332</v>
      </c>
      <c r="H123" s="390">
        <f>H99*PED!H$68</f>
        <v>39.872</v>
      </c>
      <c r="I123" s="390">
        <f>I99*PED!I$68</f>
        <v>39.872</v>
      </c>
    </row>
    <row r="124" spans="3:9" x14ac:dyDescent="0.25">
      <c r="C124" s="346" t="s">
        <v>259</v>
      </c>
      <c r="D124" s="390">
        <f>D100*PED!D$68</f>
        <v>116.40666666666667</v>
      </c>
      <c r="E124" s="390">
        <f>E100*PED!E$68</f>
        <v>116.40666666666667</v>
      </c>
      <c r="F124" s="390">
        <f>F100*PED!F$68</f>
        <v>117.57066666666668</v>
      </c>
      <c r="G124" s="390">
        <f>G100*PED!G$68</f>
        <v>118.74666666666667</v>
      </c>
      <c r="H124" s="390">
        <f>H100*PED!H$68</f>
        <v>116.40666666666667</v>
      </c>
      <c r="I124" s="390">
        <f>I100*PED!I$68</f>
        <v>116.40666666666667</v>
      </c>
    </row>
    <row r="125" spans="3:9" x14ac:dyDescent="0.25">
      <c r="C125" s="346" t="s">
        <v>260</v>
      </c>
      <c r="D125" s="390">
        <f>D101*PED!D$68</f>
        <v>161.98933333333335</v>
      </c>
      <c r="E125" s="390">
        <f>E101*PED!E$68</f>
        <v>161.98933333333335</v>
      </c>
      <c r="F125" s="390">
        <f>F101*PED!F$68</f>
        <v>163.60933333333335</v>
      </c>
      <c r="G125" s="390">
        <f>G101*PED!G$68</f>
        <v>165.24533333333335</v>
      </c>
      <c r="H125" s="390">
        <f>H101*PED!H$68</f>
        <v>161.98933333333335</v>
      </c>
      <c r="I125" s="390">
        <f>I101*PED!I$68</f>
        <v>161.98933333333335</v>
      </c>
    </row>
    <row r="126" spans="3:9" x14ac:dyDescent="0.25">
      <c r="C126" s="374" t="s">
        <v>517</v>
      </c>
      <c r="D126" s="375">
        <f t="shared" ref="D126:I126" si="16">SUM(D117:D125)</f>
        <v>1888.8080000000004</v>
      </c>
      <c r="E126" s="375">
        <f t="shared" si="16"/>
        <v>1888.8080000000004</v>
      </c>
      <c r="F126" s="375">
        <f t="shared" si="16"/>
        <v>1907.6960000000001</v>
      </c>
      <c r="G126" s="375">
        <f t="shared" si="16"/>
        <v>1926.7733333333333</v>
      </c>
      <c r="H126" s="375">
        <f t="shared" si="16"/>
        <v>1888.8080000000004</v>
      </c>
      <c r="I126" s="375">
        <f t="shared" si="16"/>
        <v>1888.8080000000004</v>
      </c>
    </row>
    <row r="127" spans="3:9" x14ac:dyDescent="0.25">
      <c r="C127" s="373"/>
    </row>
    <row r="128" spans="3:9" x14ac:dyDescent="0.25">
      <c r="C128" s="380" t="s">
        <v>715</v>
      </c>
      <c r="D128" s="379"/>
      <c r="E128" s="379"/>
      <c r="F128" s="379"/>
      <c r="G128" s="379"/>
      <c r="H128" s="378"/>
      <c r="I128" s="378"/>
    </row>
    <row r="129" spans="3:9" x14ac:dyDescent="0.25">
      <c r="C129" s="346" t="s">
        <v>252</v>
      </c>
      <c r="D129" s="382">
        <f>Demand!D105*PED!D$69</f>
        <v>220.00199999999998</v>
      </c>
      <c r="E129" s="382">
        <f>Demand!E105*PED!E$69</f>
        <v>220.00199999999998</v>
      </c>
      <c r="F129" s="382">
        <f>Demand!F105*PED!F$69</f>
        <v>222.20199999999997</v>
      </c>
      <c r="G129" s="382">
        <f>Demand!G105*PED!G$69</f>
        <v>224.42399999999998</v>
      </c>
      <c r="H129" s="382">
        <f>Demand!H105*PED!H$69</f>
        <v>220.00199999999998</v>
      </c>
      <c r="I129" s="382">
        <f>Demand!I105*PED!I$69</f>
        <v>220.00199999999998</v>
      </c>
    </row>
    <row r="130" spans="3:9" x14ac:dyDescent="0.25">
      <c r="C130" s="346" t="s">
        <v>253</v>
      </c>
      <c r="D130" s="382">
        <f>Demand!D106*PED!D$69</f>
        <v>81.575999999999993</v>
      </c>
      <c r="E130" s="382">
        <f>Demand!E106*PED!E$69</f>
        <v>81.575999999999993</v>
      </c>
      <c r="F130" s="382">
        <f>Demand!F106*PED!F$69</f>
        <v>82.391000000000005</v>
      </c>
      <c r="G130" s="382">
        <f>Demand!G106*PED!G$69</f>
        <v>83.214999999999989</v>
      </c>
      <c r="H130" s="382">
        <f>Demand!H106*PED!H$69</f>
        <v>81.575999999999993</v>
      </c>
      <c r="I130" s="382">
        <f>Demand!I106*PED!I$69</f>
        <v>81.575999999999993</v>
      </c>
    </row>
    <row r="131" spans="3:9" x14ac:dyDescent="0.25">
      <c r="C131" s="346" t="s">
        <v>254</v>
      </c>
      <c r="D131" s="382">
        <f>Demand!D107*PED!D$69</f>
        <v>249.386</v>
      </c>
      <c r="E131" s="382">
        <f>Demand!E107*PED!E$69</f>
        <v>249.386</v>
      </c>
      <c r="F131" s="382">
        <f>Demand!F107*PED!F$69</f>
        <v>251.87899999999999</v>
      </c>
      <c r="G131" s="382">
        <f>Demand!G107*PED!G$69</f>
        <v>254.398</v>
      </c>
      <c r="H131" s="382">
        <f>Demand!H107*PED!H$69</f>
        <v>249.386</v>
      </c>
      <c r="I131" s="382">
        <f>Demand!I107*PED!I$69</f>
        <v>249.386</v>
      </c>
    </row>
    <row r="132" spans="3:9" x14ac:dyDescent="0.25">
      <c r="C132" s="346" t="s">
        <v>255</v>
      </c>
      <c r="D132" s="382">
        <f>Demand!D108*PED!D$69</f>
        <v>320.15800000000002</v>
      </c>
      <c r="E132" s="382">
        <f>Demand!E108*PED!E$69</f>
        <v>320.15800000000002</v>
      </c>
      <c r="F132" s="382">
        <f>Demand!F108*PED!F$69</f>
        <v>323.35999999999996</v>
      </c>
      <c r="G132" s="382">
        <f>Demand!G108*PED!G$69</f>
        <v>326.59399999999999</v>
      </c>
      <c r="H132" s="382">
        <f>Demand!H108*PED!H$69</f>
        <v>320.15800000000002</v>
      </c>
      <c r="I132" s="382">
        <f>Demand!I108*PED!I$69</f>
        <v>320.15800000000002</v>
      </c>
    </row>
    <row r="133" spans="3:9" x14ac:dyDescent="0.25">
      <c r="C133" s="346" t="s">
        <v>256</v>
      </c>
      <c r="D133" s="382">
        <f>Demand!D109*PED!D$69</f>
        <v>190.34099999999998</v>
      </c>
      <c r="E133" s="382">
        <f>Demand!E109*PED!E$69</f>
        <v>190.34099999999998</v>
      </c>
      <c r="F133" s="382">
        <f>Demand!F109*PED!F$69</f>
        <v>192.245</v>
      </c>
      <c r="G133" s="382">
        <f>Demand!G109*PED!G$69</f>
        <v>194.167</v>
      </c>
      <c r="H133" s="382">
        <f>Demand!H109*PED!H$69</f>
        <v>190.34099999999998</v>
      </c>
      <c r="I133" s="382">
        <f>Demand!I109*PED!I$69</f>
        <v>190.34099999999998</v>
      </c>
    </row>
    <row r="134" spans="3:9" x14ac:dyDescent="0.25">
      <c r="C134" s="346" t="s">
        <v>257</v>
      </c>
      <c r="D134" s="382">
        <f>Demand!D110*PED!D$69</f>
        <v>116.44199999999999</v>
      </c>
      <c r="E134" s="382">
        <f>Demand!E110*PED!E$69</f>
        <v>116.44199999999999</v>
      </c>
      <c r="F134" s="382">
        <f>Demand!F110*PED!F$69</f>
        <v>117.607</v>
      </c>
      <c r="G134" s="382">
        <f>Demand!G110*PED!G$69</f>
        <v>118.783</v>
      </c>
      <c r="H134" s="382">
        <f>Demand!H110*PED!H$69</f>
        <v>116.44199999999999</v>
      </c>
      <c r="I134" s="382">
        <f>Demand!I110*PED!I$69</f>
        <v>116.44199999999999</v>
      </c>
    </row>
    <row r="135" spans="3:9" x14ac:dyDescent="0.25">
      <c r="C135" s="346" t="s">
        <v>258</v>
      </c>
      <c r="D135" s="382">
        <f>Demand!D111*PED!D$69</f>
        <v>29.903999999999996</v>
      </c>
      <c r="E135" s="382">
        <f>Demand!E111*PED!E$69</f>
        <v>29.903999999999996</v>
      </c>
      <c r="F135" s="382">
        <f>Demand!F111*PED!F$69</f>
        <v>30.202999999999996</v>
      </c>
      <c r="G135" s="382">
        <f>Demand!G111*PED!G$69</f>
        <v>30.504999999999999</v>
      </c>
      <c r="H135" s="382">
        <f>Demand!H111*PED!H$69</f>
        <v>29.903999999999996</v>
      </c>
      <c r="I135" s="382">
        <f>Demand!I111*PED!I$69</f>
        <v>29.903999999999996</v>
      </c>
    </row>
    <row r="136" spans="3:9" x14ac:dyDescent="0.25">
      <c r="C136" s="346" t="s">
        <v>259</v>
      </c>
      <c r="D136" s="382">
        <f>Demand!D112*PED!D$69</f>
        <v>87.305000000000007</v>
      </c>
      <c r="E136" s="382">
        <f>Demand!E112*PED!E$69</f>
        <v>87.305000000000007</v>
      </c>
      <c r="F136" s="382">
        <f>Demand!F112*PED!F$69</f>
        <v>88.177999999999983</v>
      </c>
      <c r="G136" s="382">
        <f>Demand!G112*PED!G$69</f>
        <v>89.06</v>
      </c>
      <c r="H136" s="382">
        <f>Demand!H112*PED!H$69</f>
        <v>87.305000000000007</v>
      </c>
      <c r="I136" s="382">
        <f>Demand!I112*PED!I$69</f>
        <v>87.305000000000007</v>
      </c>
    </row>
    <row r="137" spans="3:9" x14ac:dyDescent="0.25">
      <c r="C137" s="346" t="s">
        <v>260</v>
      </c>
      <c r="D137" s="382">
        <f>Demand!D113*PED!D$69</f>
        <v>121.49199999999999</v>
      </c>
      <c r="E137" s="382">
        <f>Demand!E113*PED!E$69</f>
        <v>121.49199999999999</v>
      </c>
      <c r="F137" s="382">
        <f>Demand!F113*PED!F$69</f>
        <v>122.70700000000001</v>
      </c>
      <c r="G137" s="382">
        <f>Demand!G113*PED!G$69</f>
        <v>123.93399999999998</v>
      </c>
      <c r="H137" s="382">
        <f>Demand!H113*PED!H$69</f>
        <v>121.49199999999999</v>
      </c>
      <c r="I137" s="382">
        <f>Demand!I113*PED!I$69</f>
        <v>121.49199999999999</v>
      </c>
    </row>
    <row r="138" spans="3:9" x14ac:dyDescent="0.25">
      <c r="C138" s="374" t="s">
        <v>517</v>
      </c>
      <c r="D138" s="389">
        <f t="shared" ref="D138:I138" si="17">SUM(D129:D137)</f>
        <v>1416.606</v>
      </c>
      <c r="E138" s="389">
        <f t="shared" si="17"/>
        <v>1416.606</v>
      </c>
      <c r="F138" s="383">
        <f t="shared" si="17"/>
        <v>1430.7719999999997</v>
      </c>
      <c r="G138" s="383">
        <f t="shared" si="17"/>
        <v>1445.0799999999997</v>
      </c>
      <c r="H138" s="383">
        <f t="shared" si="17"/>
        <v>1416.606</v>
      </c>
      <c r="I138" s="383">
        <f t="shared" si="17"/>
        <v>1416.606</v>
      </c>
    </row>
    <row r="139" spans="3:9" x14ac:dyDescent="0.25">
      <c r="C139" s="384"/>
      <c r="D139" s="384"/>
      <c r="E139" s="385"/>
      <c r="F139" s="385"/>
      <c r="G139" s="385"/>
      <c r="H139" s="385"/>
      <c r="I139" s="385"/>
    </row>
  </sheetData>
  <mergeCells count="1">
    <mergeCell ref="E2:G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6"/>
  <sheetViews>
    <sheetView topLeftCell="B1" workbookViewId="0">
      <selection activeCell="D12" sqref="D12"/>
    </sheetView>
  </sheetViews>
  <sheetFormatPr defaultRowHeight="15" x14ac:dyDescent="0.25"/>
  <cols>
    <col min="4" max="4" width="19.140625" customWidth="1"/>
    <col min="6" max="6" width="40.5703125" bestFit="1" customWidth="1"/>
    <col min="7" max="7" width="11.28515625" customWidth="1"/>
  </cols>
  <sheetData>
    <row r="3" spans="1:7" x14ac:dyDescent="0.25">
      <c r="C3">
        <v>2006</v>
      </c>
      <c r="D3" s="25">
        <v>1077415</v>
      </c>
      <c r="F3" s="25">
        <v>1070532</v>
      </c>
    </row>
    <row r="4" spans="1:7" x14ac:dyDescent="0.25">
      <c r="C4">
        <v>2007</v>
      </c>
      <c r="D4" s="26">
        <v>1058336</v>
      </c>
      <c r="E4">
        <f>D3*D11</f>
        <v>1052238.5561299617</v>
      </c>
    </row>
    <row r="5" spans="1:7" x14ac:dyDescent="0.25">
      <c r="A5" s="23"/>
      <c r="C5">
        <v>2008</v>
      </c>
      <c r="D5" s="26">
        <v>1076543</v>
      </c>
      <c r="E5">
        <f>E4*D11</f>
        <v>1027650.4216169874</v>
      </c>
    </row>
    <row r="6" spans="1:7" x14ac:dyDescent="0.25">
      <c r="A6" s="24"/>
      <c r="C6">
        <v>2009</v>
      </c>
      <c r="D6" s="25">
        <v>1019758</v>
      </c>
      <c r="E6">
        <f>E5*D11</f>
        <v>1003636.8491701018</v>
      </c>
    </row>
    <row r="7" spans="1:7" x14ac:dyDescent="0.25">
      <c r="A7" s="24"/>
      <c r="C7">
        <v>2010</v>
      </c>
      <c r="D7" s="25">
        <v>981062</v>
      </c>
      <c r="E7">
        <f>E6*D11</f>
        <v>980184.41273749853</v>
      </c>
    </row>
    <row r="8" spans="1:7" x14ac:dyDescent="0.25">
      <c r="A8" s="24"/>
      <c r="C8">
        <v>2011</v>
      </c>
      <c r="D8" s="25">
        <v>957280</v>
      </c>
      <c r="E8">
        <f>E7*D11</f>
        <v>957279.99999999988</v>
      </c>
      <c r="F8" s="25">
        <v>911353</v>
      </c>
    </row>
    <row r="9" spans="1:7" x14ac:dyDescent="0.25">
      <c r="A9" s="24"/>
      <c r="C9">
        <v>2012</v>
      </c>
      <c r="D9">
        <v>934910.80503992387</v>
      </c>
      <c r="E9">
        <f>E8*D11</f>
        <v>934910.80503992387</v>
      </c>
      <c r="G9">
        <f>F8*F11</f>
        <v>882478.27430321451</v>
      </c>
    </row>
    <row r="10" spans="1:7" x14ac:dyDescent="0.25">
      <c r="A10" s="24"/>
      <c r="C10">
        <v>2013</v>
      </c>
      <c r="D10">
        <v>913064.32118126214</v>
      </c>
      <c r="E10">
        <f>E9*D11</f>
        <v>913064.32118126214</v>
      </c>
      <c r="F10" s="14">
        <f>(D3-D8)/D8^-5</f>
        <v>9.6574947384924197E+34</v>
      </c>
      <c r="G10" s="25">
        <f>G9*F11</f>
        <v>854518.39695176238</v>
      </c>
    </row>
    <row r="11" spans="1:7" x14ac:dyDescent="0.25">
      <c r="A11" s="24"/>
      <c r="D11" s="22">
        <f>SUM((D8/D3)^(1/5))</f>
        <v>0.97663254746774608</v>
      </c>
      <c r="E11" s="22" t="e">
        <f t="shared" ref="E11" si="0">SUM((E8/E3)^(1/5))</f>
        <v>#DIV/0!</v>
      </c>
      <c r="F11" s="22">
        <f>SUM((F8/F3)^(1/5))</f>
        <v>0.96831663943961832</v>
      </c>
    </row>
    <row r="12" spans="1:7" x14ac:dyDescent="0.25">
      <c r="A12" s="24"/>
      <c r="D12">
        <f>D11*D3</f>
        <v>1052238.5561299617</v>
      </c>
    </row>
    <row r="13" spans="1:7" x14ac:dyDescent="0.25">
      <c r="A13" s="24"/>
    </row>
    <row r="14" spans="1:7" x14ac:dyDescent="0.25">
      <c r="D14" s="24"/>
    </row>
    <row r="15" spans="1:7" x14ac:dyDescent="0.25">
      <c r="D15" s="24"/>
    </row>
    <row r="16" spans="1:7" x14ac:dyDescent="0.25">
      <c r="D16" s="23"/>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G223"/>
  <sheetViews>
    <sheetView workbookViewId="0">
      <selection activeCell="A207" sqref="A207"/>
    </sheetView>
  </sheetViews>
  <sheetFormatPr defaultRowHeight="15" x14ac:dyDescent="0.25"/>
  <cols>
    <col min="1" max="1" width="4.140625" customWidth="1"/>
    <col min="2" max="2" width="69.42578125" bestFit="1" customWidth="1"/>
    <col min="3" max="3" width="29.42578125" bestFit="1" customWidth="1"/>
    <col min="4" max="4" width="22.5703125" customWidth="1"/>
    <col min="5" max="5" width="25.140625" customWidth="1"/>
    <col min="6" max="6" width="12.28515625" customWidth="1"/>
    <col min="7" max="7" width="19.42578125" customWidth="1"/>
  </cols>
  <sheetData>
    <row r="2" spans="1:5" x14ac:dyDescent="0.25">
      <c r="A2" s="2" t="s">
        <v>19</v>
      </c>
    </row>
    <row r="3" spans="1:5" x14ac:dyDescent="0.25">
      <c r="A3" s="2"/>
    </row>
    <row r="4" spans="1:5" ht="15.75" thickBot="1" x14ac:dyDescent="0.3">
      <c r="B4" s="1" t="s">
        <v>22</v>
      </c>
    </row>
    <row r="5" spans="1:5" ht="61.5" customHeight="1" thickBot="1" x14ac:dyDescent="0.3">
      <c r="B5" s="5" t="s">
        <v>2</v>
      </c>
      <c r="C5" s="6" t="s">
        <v>3</v>
      </c>
      <c r="D5" s="6" t="s">
        <v>4</v>
      </c>
      <c r="E5" s="6" t="s">
        <v>5</v>
      </c>
    </row>
    <row r="6" spans="1:5" ht="15.75" thickBot="1" x14ac:dyDescent="0.3">
      <c r="B6" s="7" t="s">
        <v>6</v>
      </c>
      <c r="C6" s="8" t="s">
        <v>7</v>
      </c>
      <c r="D6" s="9">
        <v>0.1</v>
      </c>
      <c r="E6" s="8">
        <v>10</v>
      </c>
    </row>
    <row r="7" spans="1:5" ht="15.75" thickBot="1" x14ac:dyDescent="0.3">
      <c r="B7" s="7" t="s">
        <v>8</v>
      </c>
      <c r="C7" s="8" t="s">
        <v>9</v>
      </c>
      <c r="D7" s="9">
        <v>0.2</v>
      </c>
      <c r="E7" s="8">
        <v>15</v>
      </c>
    </row>
    <row r="8" spans="1:5" ht="15.75" thickBot="1" x14ac:dyDescent="0.3">
      <c r="B8" s="7" t="s">
        <v>10</v>
      </c>
      <c r="C8" s="8" t="s">
        <v>11</v>
      </c>
      <c r="D8" s="9">
        <v>0.8</v>
      </c>
      <c r="E8" s="8">
        <v>60</v>
      </c>
    </row>
    <row r="9" spans="1:5" ht="15.75" thickBot="1" x14ac:dyDescent="0.3">
      <c r="B9" s="7" t="s">
        <v>12</v>
      </c>
      <c r="C9" s="8" t="s">
        <v>13</v>
      </c>
      <c r="D9" s="9">
        <v>0.1</v>
      </c>
      <c r="E9" s="8">
        <v>60</v>
      </c>
    </row>
    <row r="10" spans="1:5" ht="15.75" thickBot="1" x14ac:dyDescent="0.3">
      <c r="B10" s="7" t="s">
        <v>14</v>
      </c>
      <c r="C10" s="8" t="s">
        <v>15</v>
      </c>
      <c r="D10" s="9">
        <v>0.05</v>
      </c>
      <c r="E10" s="8">
        <v>40</v>
      </c>
    </row>
    <row r="12" spans="1:5" x14ac:dyDescent="0.25">
      <c r="B12" s="2" t="s">
        <v>0</v>
      </c>
    </row>
    <row r="13" spans="1:5" x14ac:dyDescent="0.25">
      <c r="B13" s="10" t="s">
        <v>16</v>
      </c>
      <c r="C13">
        <v>25</v>
      </c>
    </row>
    <row r="14" spans="1:5" x14ac:dyDescent="0.25">
      <c r="B14" s="10" t="s">
        <v>17</v>
      </c>
      <c r="C14">
        <v>5</v>
      </c>
    </row>
    <row r="15" spans="1:5" x14ac:dyDescent="0.25">
      <c r="B15" s="10" t="s">
        <v>18</v>
      </c>
      <c r="C15" s="11">
        <v>800</v>
      </c>
    </row>
    <row r="17" spans="1:5" x14ac:dyDescent="0.25">
      <c r="B17" s="2" t="s">
        <v>1</v>
      </c>
    </row>
    <row r="18" spans="1:5" x14ac:dyDescent="0.25">
      <c r="B18" s="10" t="s">
        <v>20</v>
      </c>
      <c r="C18">
        <v>25</v>
      </c>
    </row>
    <row r="19" spans="1:5" x14ac:dyDescent="0.25">
      <c r="B19" s="10" t="s">
        <v>21</v>
      </c>
      <c r="C19">
        <v>10</v>
      </c>
    </row>
    <row r="20" spans="1:5" x14ac:dyDescent="0.25">
      <c r="B20" s="10" t="s">
        <v>17</v>
      </c>
      <c r="C20">
        <v>5</v>
      </c>
    </row>
    <row r="22" spans="1:5" x14ac:dyDescent="0.25">
      <c r="B22" s="10" t="s">
        <v>23</v>
      </c>
      <c r="C22">
        <v>3</v>
      </c>
    </row>
    <row r="23" spans="1:5" x14ac:dyDescent="0.25">
      <c r="B23" s="10" t="s">
        <v>24</v>
      </c>
      <c r="C23">
        <v>200</v>
      </c>
    </row>
    <row r="24" spans="1:5" x14ac:dyDescent="0.25">
      <c r="B24" s="10" t="s">
        <v>25</v>
      </c>
      <c r="C24" s="11">
        <v>1800</v>
      </c>
    </row>
    <row r="27" spans="1:5" x14ac:dyDescent="0.25">
      <c r="A27" s="2" t="s">
        <v>26</v>
      </c>
    </row>
    <row r="28" spans="1:5" ht="15.75" thickBot="1" x14ac:dyDescent="0.3">
      <c r="B28" t="s">
        <v>22</v>
      </c>
    </row>
    <row r="29" spans="1:5" ht="39" thickBot="1" x14ac:dyDescent="0.3">
      <c r="B29" s="5" t="s">
        <v>2</v>
      </c>
      <c r="C29" s="6" t="s">
        <v>3</v>
      </c>
      <c r="D29" s="6" t="s">
        <v>4</v>
      </c>
      <c r="E29" s="6" t="s">
        <v>5</v>
      </c>
    </row>
    <row r="30" spans="1:5" ht="15.75" thickBot="1" x14ac:dyDescent="0.3">
      <c r="B30" s="7" t="s">
        <v>6</v>
      </c>
      <c r="C30" s="8" t="s">
        <v>7</v>
      </c>
      <c r="D30" s="9">
        <v>0.1</v>
      </c>
      <c r="E30" s="8">
        <v>10</v>
      </c>
    </row>
    <row r="31" spans="1:5" ht="15.75" thickBot="1" x14ac:dyDescent="0.3">
      <c r="B31" s="7" t="s">
        <v>8</v>
      </c>
      <c r="C31" s="8" t="s">
        <v>9</v>
      </c>
      <c r="D31" s="9">
        <v>0.2</v>
      </c>
      <c r="E31" s="8">
        <v>15</v>
      </c>
    </row>
    <row r="32" spans="1:5" ht="15.75" thickBot="1" x14ac:dyDescent="0.3">
      <c r="B32" s="7" t="s">
        <v>10</v>
      </c>
      <c r="C32" s="8" t="s">
        <v>11</v>
      </c>
      <c r="D32" s="9">
        <v>0.8</v>
      </c>
      <c r="E32" s="8">
        <v>60</v>
      </c>
    </row>
    <row r="33" spans="1:5" ht="15.75" thickBot="1" x14ac:dyDescent="0.3">
      <c r="B33" s="7" t="s">
        <v>27</v>
      </c>
      <c r="C33" s="8" t="s">
        <v>28</v>
      </c>
      <c r="D33" s="9">
        <v>0.01</v>
      </c>
      <c r="E33" s="8">
        <v>40</v>
      </c>
    </row>
    <row r="35" spans="1:5" x14ac:dyDescent="0.25">
      <c r="B35" s="10" t="s">
        <v>20</v>
      </c>
      <c r="C35">
        <v>25</v>
      </c>
    </row>
    <row r="36" spans="1:5" x14ac:dyDescent="0.25">
      <c r="B36" s="10" t="s">
        <v>21</v>
      </c>
      <c r="C36">
        <v>10</v>
      </c>
    </row>
    <row r="37" spans="1:5" x14ac:dyDescent="0.25">
      <c r="B37" s="10" t="s">
        <v>17</v>
      </c>
      <c r="C37">
        <v>5</v>
      </c>
    </row>
    <row r="39" spans="1:5" x14ac:dyDescent="0.25">
      <c r="B39" s="10" t="s">
        <v>23</v>
      </c>
      <c r="C39">
        <v>3</v>
      </c>
    </row>
    <row r="40" spans="1:5" x14ac:dyDescent="0.25">
      <c r="B40" s="10" t="s">
        <v>24</v>
      </c>
      <c r="C40">
        <v>200</v>
      </c>
    </row>
    <row r="41" spans="1:5" x14ac:dyDescent="0.25">
      <c r="B41" s="10" t="s">
        <v>25</v>
      </c>
      <c r="C41" s="11">
        <v>1800</v>
      </c>
    </row>
    <row r="43" spans="1:5" x14ac:dyDescent="0.25">
      <c r="A43" s="2" t="s">
        <v>29</v>
      </c>
    </row>
    <row r="45" spans="1:5" x14ac:dyDescent="0.25">
      <c r="B45" s="1" t="s">
        <v>30</v>
      </c>
    </row>
    <row r="46" spans="1:5" ht="15.75" thickBot="1" x14ac:dyDescent="0.3">
      <c r="B46" t="s">
        <v>22</v>
      </c>
    </row>
    <row r="47" spans="1:5" ht="26.25" thickBot="1" x14ac:dyDescent="0.3">
      <c r="B47" s="5" t="s">
        <v>2</v>
      </c>
      <c r="C47" s="6" t="s">
        <v>3</v>
      </c>
      <c r="D47" s="6" t="s">
        <v>31</v>
      </c>
      <c r="E47" s="6" t="s">
        <v>32</v>
      </c>
    </row>
    <row r="48" spans="1:5" ht="39" thickBot="1" x14ac:dyDescent="0.3">
      <c r="B48" s="7" t="s">
        <v>10</v>
      </c>
      <c r="C48" s="8" t="s">
        <v>11</v>
      </c>
      <c r="D48" s="9">
        <v>0.8</v>
      </c>
      <c r="E48" s="8" t="s">
        <v>33</v>
      </c>
    </row>
    <row r="50" spans="2:3" x14ac:dyDescent="0.25">
      <c r="B50" t="s">
        <v>34</v>
      </c>
      <c r="C50">
        <v>15</v>
      </c>
    </row>
    <row r="51" spans="2:3" x14ac:dyDescent="0.25">
      <c r="B51" t="s">
        <v>35</v>
      </c>
      <c r="C51">
        <v>264</v>
      </c>
    </row>
    <row r="53" spans="2:3" x14ac:dyDescent="0.25">
      <c r="B53" s="2" t="s">
        <v>36</v>
      </c>
    </row>
    <row r="55" spans="2:3" x14ac:dyDescent="0.25">
      <c r="B55" t="s">
        <v>37</v>
      </c>
      <c r="C55">
        <v>90</v>
      </c>
    </row>
    <row r="56" spans="2:3" x14ac:dyDescent="0.25">
      <c r="B56" t="s">
        <v>38</v>
      </c>
      <c r="C56">
        <v>10</v>
      </c>
    </row>
    <row r="57" spans="2:3" x14ac:dyDescent="0.25">
      <c r="B57" t="s">
        <v>39</v>
      </c>
      <c r="C57">
        <v>10</v>
      </c>
    </row>
    <row r="58" spans="2:3" x14ac:dyDescent="0.25">
      <c r="B58" t="s">
        <v>40</v>
      </c>
      <c r="C58">
        <v>10</v>
      </c>
    </row>
    <row r="60" spans="2:3" x14ac:dyDescent="0.25">
      <c r="B60" t="s">
        <v>41</v>
      </c>
      <c r="C60">
        <v>3</v>
      </c>
    </row>
    <row r="61" spans="2:3" x14ac:dyDescent="0.25">
      <c r="B61" t="s">
        <v>42</v>
      </c>
      <c r="C61">
        <v>600</v>
      </c>
    </row>
    <row r="62" spans="2:3" x14ac:dyDescent="0.25">
      <c r="B62" t="s">
        <v>43</v>
      </c>
      <c r="C62" s="11">
        <v>800</v>
      </c>
    </row>
    <row r="64" spans="2:3" x14ac:dyDescent="0.25">
      <c r="B64" s="2" t="s">
        <v>44</v>
      </c>
    </row>
    <row r="66" spans="1:3" x14ac:dyDescent="0.25">
      <c r="B66" t="s">
        <v>45</v>
      </c>
      <c r="C66">
        <v>90</v>
      </c>
    </row>
    <row r="67" spans="1:3" x14ac:dyDescent="0.25">
      <c r="B67" t="s">
        <v>46</v>
      </c>
      <c r="C67">
        <v>10</v>
      </c>
    </row>
    <row r="68" spans="1:3" x14ac:dyDescent="0.25">
      <c r="B68" t="s">
        <v>47</v>
      </c>
      <c r="C68">
        <v>95</v>
      </c>
    </row>
    <row r="70" spans="1:3" x14ac:dyDescent="0.25">
      <c r="B70" t="s">
        <v>41</v>
      </c>
      <c r="C70">
        <v>3</v>
      </c>
    </row>
    <row r="71" spans="1:3" x14ac:dyDescent="0.25">
      <c r="B71" t="s">
        <v>42</v>
      </c>
      <c r="C71">
        <v>600</v>
      </c>
    </row>
    <row r="72" spans="1:3" x14ac:dyDescent="0.25">
      <c r="B72" t="s">
        <v>48</v>
      </c>
      <c r="C72" s="11">
        <v>800</v>
      </c>
    </row>
    <row r="73" spans="1:3" x14ac:dyDescent="0.25">
      <c r="B73" t="s">
        <v>49</v>
      </c>
      <c r="C73" s="11">
        <v>800</v>
      </c>
    </row>
    <row r="74" spans="1:3" x14ac:dyDescent="0.25">
      <c r="B74" s="2"/>
    </row>
    <row r="76" spans="1:3" ht="15.75" x14ac:dyDescent="0.3">
      <c r="A76" s="12" t="s">
        <v>50</v>
      </c>
    </row>
    <row r="77" spans="1:3" ht="15.75" x14ac:dyDescent="0.3">
      <c r="A77" s="12"/>
    </row>
    <row r="78" spans="1:3" x14ac:dyDescent="0.25">
      <c r="B78" s="2" t="s">
        <v>55</v>
      </c>
    </row>
    <row r="79" spans="1:3" x14ac:dyDescent="0.25">
      <c r="B79" t="s">
        <v>51</v>
      </c>
      <c r="C79">
        <v>1</v>
      </c>
    </row>
    <row r="80" spans="1:3" x14ac:dyDescent="0.25">
      <c r="B80" t="s">
        <v>52</v>
      </c>
      <c r="C80">
        <v>2</v>
      </c>
    </row>
    <row r="81" spans="2:3" x14ac:dyDescent="0.25">
      <c r="B81" t="s">
        <v>53</v>
      </c>
      <c r="C81">
        <v>1800</v>
      </c>
    </row>
    <row r="82" spans="2:3" x14ac:dyDescent="0.25">
      <c r="B82" t="s">
        <v>18</v>
      </c>
      <c r="C82" s="11">
        <v>1500</v>
      </c>
    </row>
    <row r="84" spans="2:3" x14ac:dyDescent="0.25">
      <c r="B84" s="4" t="s">
        <v>54</v>
      </c>
    </row>
    <row r="86" spans="2:3" x14ac:dyDescent="0.25">
      <c r="B86" t="s">
        <v>56</v>
      </c>
      <c r="C86">
        <v>25</v>
      </c>
    </row>
    <row r="87" spans="2:3" x14ac:dyDescent="0.25">
      <c r="B87" t="s">
        <v>57</v>
      </c>
    </row>
    <row r="88" spans="2:3" x14ac:dyDescent="0.25">
      <c r="B88" s="13" t="s">
        <v>58</v>
      </c>
      <c r="C88">
        <v>3</v>
      </c>
    </row>
    <row r="89" spans="2:3" x14ac:dyDescent="0.25">
      <c r="B89" s="13" t="s">
        <v>59</v>
      </c>
      <c r="C89">
        <v>50</v>
      </c>
    </row>
    <row r="90" spans="2:3" x14ac:dyDescent="0.25">
      <c r="B90" s="13" t="s">
        <v>61</v>
      </c>
      <c r="C90" s="11">
        <v>50</v>
      </c>
    </row>
    <row r="91" spans="2:3" x14ac:dyDescent="0.25">
      <c r="B91" t="s">
        <v>60</v>
      </c>
    </row>
    <row r="92" spans="2:3" x14ac:dyDescent="0.25">
      <c r="B92" s="13" t="s">
        <v>58</v>
      </c>
      <c r="C92">
        <v>1</v>
      </c>
    </row>
    <row r="93" spans="2:3" x14ac:dyDescent="0.25">
      <c r="B93" s="13" t="s">
        <v>62</v>
      </c>
      <c r="C93">
        <v>180</v>
      </c>
    </row>
    <row r="94" spans="2:3" x14ac:dyDescent="0.25">
      <c r="B94" s="13" t="s">
        <v>63</v>
      </c>
      <c r="C94" s="11">
        <v>1500</v>
      </c>
    </row>
    <row r="96" spans="2:3" x14ac:dyDescent="0.25">
      <c r="B96" s="4" t="s">
        <v>64</v>
      </c>
    </row>
    <row r="97" spans="2:3" x14ac:dyDescent="0.25">
      <c r="B97" s="3" t="s">
        <v>65</v>
      </c>
    </row>
    <row r="98" spans="2:3" x14ac:dyDescent="0.25">
      <c r="B98" s="13" t="s">
        <v>66</v>
      </c>
      <c r="C98">
        <v>1</v>
      </c>
    </row>
    <row r="99" spans="2:3" x14ac:dyDescent="0.25">
      <c r="B99" s="13" t="s">
        <v>67</v>
      </c>
      <c r="C99">
        <v>1</v>
      </c>
    </row>
    <row r="100" spans="2:3" x14ac:dyDescent="0.25">
      <c r="B100" s="13" t="s">
        <v>68</v>
      </c>
      <c r="C100">
        <v>1</v>
      </c>
    </row>
    <row r="101" spans="2:3" x14ac:dyDescent="0.25">
      <c r="B101" s="13" t="s">
        <v>70</v>
      </c>
    </row>
    <row r="102" spans="2:3" x14ac:dyDescent="0.25">
      <c r="B102" s="3" t="s">
        <v>69</v>
      </c>
      <c r="C102">
        <v>50</v>
      </c>
    </row>
    <row r="103" spans="2:3" x14ac:dyDescent="0.25">
      <c r="B103" s="3" t="s">
        <v>71</v>
      </c>
      <c r="C103">
        <v>180</v>
      </c>
    </row>
    <row r="104" spans="2:3" x14ac:dyDescent="0.25">
      <c r="B104" s="3" t="s">
        <v>72</v>
      </c>
      <c r="C104" s="11">
        <v>3000</v>
      </c>
    </row>
    <row r="106" spans="2:3" x14ac:dyDescent="0.25">
      <c r="B106" s="2" t="s">
        <v>73</v>
      </c>
    </row>
    <row r="108" spans="2:3" x14ac:dyDescent="0.25">
      <c r="B108" t="s">
        <v>74</v>
      </c>
      <c r="C108">
        <v>2</v>
      </c>
    </row>
    <row r="109" spans="2:3" x14ac:dyDescent="0.25">
      <c r="B109" t="s">
        <v>75</v>
      </c>
    </row>
    <row r="110" spans="2:3" x14ac:dyDescent="0.25">
      <c r="B110" s="13" t="s">
        <v>76</v>
      </c>
      <c r="C110">
        <v>50</v>
      </c>
    </row>
    <row r="111" spans="2:3" x14ac:dyDescent="0.25">
      <c r="B111" s="13" t="s">
        <v>77</v>
      </c>
      <c r="C111">
        <v>30</v>
      </c>
    </row>
    <row r="112" spans="2:3" x14ac:dyDescent="0.25">
      <c r="B112" s="13" t="s">
        <v>78</v>
      </c>
      <c r="C112">
        <v>20</v>
      </c>
    </row>
    <row r="113" spans="1:3" x14ac:dyDescent="0.25">
      <c r="B113" t="s">
        <v>79</v>
      </c>
    </row>
    <row r="114" spans="1:3" x14ac:dyDescent="0.25">
      <c r="B114" s="13" t="s">
        <v>80</v>
      </c>
      <c r="C114">
        <v>180</v>
      </c>
    </row>
    <row r="115" spans="1:3" x14ac:dyDescent="0.25">
      <c r="B115" s="13" t="s">
        <v>81</v>
      </c>
      <c r="C115" s="11">
        <v>1500</v>
      </c>
    </row>
    <row r="116" spans="1:3" x14ac:dyDescent="0.25">
      <c r="B116" t="s">
        <v>82</v>
      </c>
    </row>
    <row r="117" spans="1:3" x14ac:dyDescent="0.25">
      <c r="B117" s="13" t="s">
        <v>80</v>
      </c>
      <c r="C117">
        <v>150</v>
      </c>
    </row>
    <row r="118" spans="1:3" x14ac:dyDescent="0.25">
      <c r="B118" s="13" t="s">
        <v>81</v>
      </c>
      <c r="C118" s="11">
        <v>1000</v>
      </c>
    </row>
    <row r="119" spans="1:3" x14ac:dyDescent="0.25">
      <c r="B119" t="s">
        <v>83</v>
      </c>
    </row>
    <row r="120" spans="1:3" x14ac:dyDescent="0.25">
      <c r="B120" s="13" t="s">
        <v>80</v>
      </c>
      <c r="C120">
        <v>100</v>
      </c>
    </row>
    <row r="121" spans="1:3" x14ac:dyDescent="0.25">
      <c r="B121" s="13" t="s">
        <v>81</v>
      </c>
      <c r="C121" s="11">
        <v>3000</v>
      </c>
    </row>
    <row r="122" spans="1:3" x14ac:dyDescent="0.25">
      <c r="B122" t="s">
        <v>84</v>
      </c>
    </row>
    <row r="123" spans="1:3" x14ac:dyDescent="0.25">
      <c r="B123" s="13" t="s">
        <v>80</v>
      </c>
      <c r="C123">
        <v>40</v>
      </c>
    </row>
    <row r="124" spans="1:3" x14ac:dyDescent="0.25">
      <c r="B124" s="13" t="s">
        <v>81</v>
      </c>
      <c r="C124" s="11">
        <v>10000</v>
      </c>
    </row>
    <row r="127" spans="1:3" ht="15.75" x14ac:dyDescent="0.3">
      <c r="A127" s="12" t="s">
        <v>85</v>
      </c>
    </row>
    <row r="129" spans="2:7" x14ac:dyDescent="0.25">
      <c r="B129" s="13"/>
    </row>
    <row r="130" spans="2:7" x14ac:dyDescent="0.25">
      <c r="B130" t="s">
        <v>102</v>
      </c>
    </row>
    <row r="131" spans="2:7" x14ac:dyDescent="0.25">
      <c r="B131" s="13" t="s">
        <v>3</v>
      </c>
      <c r="C131" s="13" t="s">
        <v>11</v>
      </c>
      <c r="D131" s="17"/>
      <c r="E131" s="18"/>
      <c r="F131" s="16"/>
      <c r="G131" s="16"/>
    </row>
    <row r="132" spans="2:7" x14ac:dyDescent="0.25">
      <c r="B132" s="13" t="s">
        <v>31</v>
      </c>
      <c r="C132" s="13">
        <v>0.8</v>
      </c>
      <c r="D132" s="17"/>
      <c r="E132" s="18"/>
      <c r="F132" s="16"/>
      <c r="G132" s="16"/>
    </row>
    <row r="133" spans="2:7" x14ac:dyDescent="0.25">
      <c r="B133" s="13" t="s">
        <v>103</v>
      </c>
      <c r="C133" s="13">
        <v>2</v>
      </c>
      <c r="D133" s="17"/>
      <c r="E133" s="18"/>
      <c r="F133" s="16"/>
      <c r="G133" s="16"/>
    </row>
    <row r="134" spans="2:7" x14ac:dyDescent="0.25">
      <c r="B134" s="13" t="s">
        <v>87</v>
      </c>
      <c r="C134" s="13">
        <v>40</v>
      </c>
    </row>
    <row r="135" spans="2:7" x14ac:dyDescent="0.25">
      <c r="B135" s="13" t="s">
        <v>88</v>
      </c>
      <c r="C135" s="13" t="s">
        <v>89</v>
      </c>
    </row>
    <row r="136" spans="2:7" x14ac:dyDescent="0.25">
      <c r="B136" s="13"/>
    </row>
    <row r="137" spans="2:7" x14ac:dyDescent="0.25">
      <c r="B137" t="s">
        <v>90</v>
      </c>
      <c r="C137">
        <v>10</v>
      </c>
    </row>
    <row r="139" spans="2:7" x14ac:dyDescent="0.25">
      <c r="B139" s="2" t="s">
        <v>86</v>
      </c>
    </row>
    <row r="140" spans="2:7" x14ac:dyDescent="0.25">
      <c r="B140" t="s">
        <v>91</v>
      </c>
      <c r="C140" s="11">
        <v>80000</v>
      </c>
    </row>
    <row r="142" spans="2:7" x14ac:dyDescent="0.25">
      <c r="B142" s="2" t="s">
        <v>92</v>
      </c>
    </row>
    <row r="144" spans="2:7" ht="15.75" customHeight="1" x14ac:dyDescent="0.25">
      <c r="B144" t="s">
        <v>93</v>
      </c>
      <c r="C144">
        <v>12250</v>
      </c>
    </row>
    <row r="145" spans="1:3" ht="22.5" customHeight="1" x14ac:dyDescent="0.25">
      <c r="B145" t="s">
        <v>99</v>
      </c>
    </row>
    <row r="146" spans="1:3" x14ac:dyDescent="0.25">
      <c r="B146" s="13" t="s">
        <v>94</v>
      </c>
      <c r="C146" s="14">
        <v>0.5</v>
      </c>
    </row>
    <row r="147" spans="1:3" x14ac:dyDescent="0.25">
      <c r="B147" s="13" t="s">
        <v>95</v>
      </c>
      <c r="C147" s="14">
        <v>0.2</v>
      </c>
    </row>
    <row r="148" spans="1:3" x14ac:dyDescent="0.25">
      <c r="B148" s="13" t="s">
        <v>96</v>
      </c>
      <c r="C148" s="14">
        <v>0.4</v>
      </c>
    </row>
    <row r="149" spans="1:3" x14ac:dyDescent="0.25">
      <c r="B149" s="13" t="s">
        <v>97</v>
      </c>
      <c r="C149" s="14">
        <v>0.3</v>
      </c>
    </row>
    <row r="150" spans="1:3" x14ac:dyDescent="0.25">
      <c r="B150" s="13" t="s">
        <v>98</v>
      </c>
      <c r="C150" s="14">
        <v>0.1</v>
      </c>
    </row>
    <row r="152" spans="1:3" x14ac:dyDescent="0.25">
      <c r="B152" s="15" t="s">
        <v>100</v>
      </c>
      <c r="C152" s="11">
        <v>150000</v>
      </c>
    </row>
    <row r="153" spans="1:3" x14ac:dyDescent="0.25">
      <c r="B153" s="15" t="s">
        <v>101</v>
      </c>
    </row>
    <row r="154" spans="1:3" x14ac:dyDescent="0.25">
      <c r="B154" s="13" t="s">
        <v>96</v>
      </c>
      <c r="C154" s="14">
        <v>0.25</v>
      </c>
    </row>
    <row r="155" spans="1:3" x14ac:dyDescent="0.25">
      <c r="B155" s="13" t="s">
        <v>97</v>
      </c>
      <c r="C155" s="14">
        <v>0.5</v>
      </c>
    </row>
    <row r="156" spans="1:3" x14ac:dyDescent="0.25">
      <c r="B156" s="13" t="s">
        <v>98</v>
      </c>
      <c r="C156" s="14">
        <v>0.75</v>
      </c>
    </row>
    <row r="158" spans="1:3" ht="15.75" x14ac:dyDescent="0.3">
      <c r="A158" s="12" t="s">
        <v>104</v>
      </c>
    </row>
    <row r="160" spans="1:3" x14ac:dyDescent="0.25">
      <c r="B160" s="15" t="s">
        <v>93</v>
      </c>
      <c r="C160">
        <v>12250</v>
      </c>
    </row>
    <row r="161" spans="1:3" x14ac:dyDescent="0.25">
      <c r="B161" s="15" t="s">
        <v>105</v>
      </c>
    </row>
    <row r="162" spans="1:3" x14ac:dyDescent="0.25">
      <c r="B162" s="13" t="s">
        <v>106</v>
      </c>
      <c r="C162" s="14">
        <v>0.3</v>
      </c>
    </row>
    <row r="163" spans="1:3" x14ac:dyDescent="0.25">
      <c r="B163" s="13" t="s">
        <v>107</v>
      </c>
      <c r="C163" s="14">
        <v>0.5</v>
      </c>
    </row>
    <row r="164" spans="1:3" x14ac:dyDescent="0.25">
      <c r="B164" s="13" t="s">
        <v>108</v>
      </c>
      <c r="C164" s="14">
        <v>0.6</v>
      </c>
    </row>
    <row r="166" spans="1:3" x14ac:dyDescent="0.25">
      <c r="B166" s="15" t="s">
        <v>109</v>
      </c>
    </row>
    <row r="167" spans="1:3" x14ac:dyDescent="0.25">
      <c r="B167" s="19" t="s">
        <v>110</v>
      </c>
      <c r="C167" s="11">
        <v>50000</v>
      </c>
    </row>
    <row r="168" spans="1:3" x14ac:dyDescent="0.25">
      <c r="B168" s="19" t="s">
        <v>107</v>
      </c>
      <c r="C168" s="11">
        <v>30000</v>
      </c>
    </row>
    <row r="169" spans="1:3" x14ac:dyDescent="0.25">
      <c r="B169" s="19" t="s">
        <v>111</v>
      </c>
      <c r="C169" s="11">
        <v>150000</v>
      </c>
    </row>
    <row r="171" spans="1:3" ht="15.75" x14ac:dyDescent="0.3">
      <c r="A171" s="12" t="s">
        <v>112</v>
      </c>
    </row>
    <row r="172" spans="1:3" x14ac:dyDescent="0.25">
      <c r="B172" s="19" t="s">
        <v>115</v>
      </c>
      <c r="C172">
        <v>6</v>
      </c>
    </row>
    <row r="173" spans="1:3" x14ac:dyDescent="0.25">
      <c r="B173" t="s">
        <v>113</v>
      </c>
      <c r="C173">
        <v>1</v>
      </c>
    </row>
    <row r="174" spans="1:3" x14ac:dyDescent="0.25">
      <c r="B174" t="s">
        <v>114</v>
      </c>
      <c r="C174">
        <v>20</v>
      </c>
    </row>
    <row r="175" spans="1:3" x14ac:dyDescent="0.25">
      <c r="B175" t="s">
        <v>116</v>
      </c>
      <c r="C175">
        <v>40</v>
      </c>
    </row>
    <row r="176" spans="1:3" x14ac:dyDescent="0.25">
      <c r="B176" t="s">
        <v>117</v>
      </c>
      <c r="C176" s="11">
        <v>120000</v>
      </c>
    </row>
    <row r="177" spans="1:3" x14ac:dyDescent="0.25">
      <c r="B177" t="s">
        <v>118</v>
      </c>
      <c r="C177" s="11">
        <v>30000</v>
      </c>
    </row>
    <row r="179" spans="1:3" ht="15.75" x14ac:dyDescent="0.3">
      <c r="A179" s="12" t="s">
        <v>119</v>
      </c>
    </row>
    <row r="181" spans="1:3" x14ac:dyDescent="0.25">
      <c r="B181" t="s">
        <v>120</v>
      </c>
      <c r="C181">
        <v>20</v>
      </c>
    </row>
    <row r="182" spans="1:3" x14ac:dyDescent="0.25">
      <c r="B182" t="s">
        <v>121</v>
      </c>
      <c r="C182">
        <v>10</v>
      </c>
    </row>
    <row r="183" spans="1:3" x14ac:dyDescent="0.25">
      <c r="B183" t="s">
        <v>122</v>
      </c>
      <c r="C183">
        <v>20</v>
      </c>
    </row>
    <row r="185" spans="1:3" x14ac:dyDescent="0.25">
      <c r="B185" t="s">
        <v>123</v>
      </c>
      <c r="C185">
        <v>200</v>
      </c>
    </row>
    <row r="186" spans="1:3" x14ac:dyDescent="0.25">
      <c r="B186" t="s">
        <v>124</v>
      </c>
      <c r="C186">
        <v>2</v>
      </c>
    </row>
    <row r="187" spans="1:3" x14ac:dyDescent="0.25">
      <c r="B187" t="s">
        <v>125</v>
      </c>
      <c r="C187">
        <v>80</v>
      </c>
    </row>
    <row r="189" spans="1:3" x14ac:dyDescent="0.25">
      <c r="B189" t="s">
        <v>126</v>
      </c>
      <c r="C189" s="11">
        <v>800000</v>
      </c>
    </row>
    <row r="190" spans="1:3" x14ac:dyDescent="0.25">
      <c r="B190" t="s">
        <v>127</v>
      </c>
      <c r="C190" s="11">
        <v>25000</v>
      </c>
    </row>
    <row r="191" spans="1:3" x14ac:dyDescent="0.25">
      <c r="B191" t="s">
        <v>128</v>
      </c>
      <c r="C191" s="11">
        <v>40000</v>
      </c>
    </row>
    <row r="192" spans="1:3" x14ac:dyDescent="0.25">
      <c r="B192" t="s">
        <v>129</v>
      </c>
      <c r="C192" s="11">
        <v>450000</v>
      </c>
    </row>
    <row r="194" spans="1:3" ht="15.75" x14ac:dyDescent="0.3">
      <c r="A194" s="12" t="s">
        <v>130</v>
      </c>
    </row>
    <row r="196" spans="1:3" x14ac:dyDescent="0.25">
      <c r="B196" t="s">
        <v>123</v>
      </c>
      <c r="C196">
        <v>200</v>
      </c>
    </row>
    <row r="197" spans="1:3" x14ac:dyDescent="0.25">
      <c r="B197" t="s">
        <v>124</v>
      </c>
      <c r="C197">
        <v>5</v>
      </c>
    </row>
    <row r="198" spans="1:3" x14ac:dyDescent="0.25">
      <c r="B198" t="s">
        <v>131</v>
      </c>
      <c r="C198">
        <v>200</v>
      </c>
    </row>
    <row r="199" spans="1:3" x14ac:dyDescent="0.25">
      <c r="B199" t="s">
        <v>132</v>
      </c>
      <c r="C199">
        <v>180000</v>
      </c>
    </row>
    <row r="200" spans="1:3" x14ac:dyDescent="0.25">
      <c r="B200" t="s">
        <v>133</v>
      </c>
      <c r="C200">
        <v>60000</v>
      </c>
    </row>
    <row r="201" spans="1:3" x14ac:dyDescent="0.25">
      <c r="B201" t="s">
        <v>134</v>
      </c>
      <c r="C201">
        <v>30000</v>
      </c>
    </row>
    <row r="202" spans="1:3" x14ac:dyDescent="0.25">
      <c r="B202" t="s">
        <v>135</v>
      </c>
    </row>
    <row r="203" spans="1:3" x14ac:dyDescent="0.25">
      <c r="B203" s="13" t="s">
        <v>136</v>
      </c>
      <c r="C203">
        <v>220000</v>
      </c>
    </row>
    <row r="204" spans="1:3" x14ac:dyDescent="0.25">
      <c r="B204" s="13" t="s">
        <v>137</v>
      </c>
      <c r="C204">
        <v>80000</v>
      </c>
    </row>
    <row r="207" spans="1:3" s="12" customFormat="1" x14ac:dyDescent="0.3">
      <c r="A207" s="12" t="s">
        <v>138</v>
      </c>
    </row>
    <row r="208" spans="1:3" x14ac:dyDescent="0.25">
      <c r="B208" t="s">
        <v>139</v>
      </c>
    </row>
    <row r="209" spans="2:3" x14ac:dyDescent="0.25">
      <c r="B209" s="13" t="s">
        <v>140</v>
      </c>
      <c r="C209">
        <v>1</v>
      </c>
    </row>
    <row r="210" spans="2:3" x14ac:dyDescent="0.25">
      <c r="B210" s="13" t="s">
        <v>141</v>
      </c>
      <c r="C210">
        <v>1</v>
      </c>
    </row>
    <row r="211" spans="2:3" x14ac:dyDescent="0.25">
      <c r="B211" s="13" t="s">
        <v>142</v>
      </c>
      <c r="C211">
        <v>1</v>
      </c>
    </row>
    <row r="212" spans="2:3" x14ac:dyDescent="0.25">
      <c r="B212" s="15" t="s">
        <v>143</v>
      </c>
      <c r="C212">
        <v>1</v>
      </c>
    </row>
    <row r="213" spans="2:3" x14ac:dyDescent="0.25">
      <c r="B213" s="15" t="s">
        <v>153</v>
      </c>
      <c r="C213">
        <v>1</v>
      </c>
    </row>
    <row r="215" spans="2:3" x14ac:dyDescent="0.25">
      <c r="B215" s="20" t="s">
        <v>144</v>
      </c>
      <c r="C215" s="11">
        <v>80000</v>
      </c>
    </row>
    <row r="216" spans="2:3" x14ac:dyDescent="0.25">
      <c r="B216" s="20" t="s">
        <v>145</v>
      </c>
      <c r="C216" s="11">
        <v>20000</v>
      </c>
    </row>
    <row r="217" spans="2:3" x14ac:dyDescent="0.25">
      <c r="B217" s="20" t="s">
        <v>146</v>
      </c>
      <c r="C217" s="21">
        <v>5000</v>
      </c>
    </row>
    <row r="218" spans="2:3" x14ac:dyDescent="0.25">
      <c r="B218" s="20" t="s">
        <v>147</v>
      </c>
      <c r="C218" s="11">
        <v>15000</v>
      </c>
    </row>
    <row r="219" spans="2:3" x14ac:dyDescent="0.25">
      <c r="B219" s="20" t="s">
        <v>148</v>
      </c>
      <c r="C219" s="11">
        <v>30000</v>
      </c>
    </row>
    <row r="220" spans="2:3" x14ac:dyDescent="0.25">
      <c r="B220" s="20" t="s">
        <v>149</v>
      </c>
      <c r="C220" s="11">
        <v>100000</v>
      </c>
    </row>
    <row r="221" spans="2:3" x14ac:dyDescent="0.25">
      <c r="B221" s="20" t="s">
        <v>150</v>
      </c>
      <c r="C221" s="11">
        <v>80000</v>
      </c>
    </row>
    <row r="222" spans="2:3" x14ac:dyDescent="0.25">
      <c r="B222" s="3" t="s">
        <v>151</v>
      </c>
      <c r="C222" s="11">
        <v>250000</v>
      </c>
    </row>
    <row r="223" spans="2:3" x14ac:dyDescent="0.25">
      <c r="B223" s="3" t="s">
        <v>152</v>
      </c>
      <c r="C223" s="14">
        <v>0.03</v>
      </c>
    </row>
  </sheetData>
  <pageMargins left="0.7" right="0.7" top="0.75" bottom="0.75" header="0.3" footer="0.3"/>
  <pageSetup paperSize="9"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1"/>
  <sheetViews>
    <sheetView showGridLines="0" workbookViewId="0">
      <selection activeCell="A2" sqref="A2:O21"/>
    </sheetView>
  </sheetViews>
  <sheetFormatPr defaultRowHeight="15" x14ac:dyDescent="0.25"/>
  <cols>
    <col min="1" max="1" width="2.140625" customWidth="1"/>
    <col min="2" max="2" width="27.85546875" customWidth="1"/>
    <col min="3" max="3" width="16.42578125" hidden="1" customWidth="1"/>
    <col min="4" max="4" width="13.28515625" hidden="1" customWidth="1"/>
    <col min="5" max="6" width="13.140625" hidden="1" customWidth="1"/>
    <col min="7" max="7" width="16.85546875" hidden="1" customWidth="1"/>
    <col min="8" max="8" width="15.5703125" hidden="1" customWidth="1"/>
    <col min="9" max="9" width="9.140625" hidden="1" customWidth="1"/>
    <col min="10" max="10" width="16.28515625" customWidth="1"/>
    <col min="11" max="13" width="16.28515625" hidden="1" customWidth="1"/>
    <col min="14" max="15" width="16.28515625" customWidth="1"/>
  </cols>
  <sheetData>
    <row r="2" spans="1:15" ht="38.25" customHeight="1" x14ac:dyDescent="0.25">
      <c r="A2" s="891"/>
      <c r="B2" s="892"/>
      <c r="C2" s="893" t="s">
        <v>804</v>
      </c>
      <c r="D2" s="946" t="s">
        <v>704</v>
      </c>
      <c r="E2" s="946"/>
      <c r="F2" s="946"/>
      <c r="G2" s="894" t="s">
        <v>814</v>
      </c>
      <c r="H2" s="895" t="s">
        <v>810</v>
      </c>
      <c r="I2" s="896"/>
      <c r="J2" s="885" t="s">
        <v>804</v>
      </c>
      <c r="K2" s="947" t="s">
        <v>704</v>
      </c>
      <c r="L2" s="947"/>
      <c r="M2" s="947"/>
      <c r="N2" s="886" t="s">
        <v>814</v>
      </c>
      <c r="O2" s="887" t="s">
        <v>810</v>
      </c>
    </row>
    <row r="3" spans="1:15" x14ac:dyDescent="0.25">
      <c r="A3" s="897"/>
      <c r="B3" s="892"/>
      <c r="C3" s="898" t="s">
        <v>371</v>
      </c>
      <c r="D3" s="899" t="s">
        <v>371</v>
      </c>
      <c r="E3" s="899" t="s">
        <v>372</v>
      </c>
      <c r="F3" s="899" t="s">
        <v>373</v>
      </c>
      <c r="G3" s="900" t="s">
        <v>371</v>
      </c>
      <c r="H3" s="895" t="s">
        <v>371</v>
      </c>
      <c r="I3" s="896"/>
      <c r="J3" s="888" t="s">
        <v>371</v>
      </c>
      <c r="K3" s="889" t="s">
        <v>371</v>
      </c>
      <c r="L3" s="889" t="s">
        <v>372</v>
      </c>
      <c r="M3" s="889" t="s">
        <v>373</v>
      </c>
      <c r="N3" s="890" t="s">
        <v>371</v>
      </c>
      <c r="O3" s="887" t="s">
        <v>371</v>
      </c>
    </row>
    <row r="4" spans="1:15" ht="12.75" customHeight="1" x14ac:dyDescent="0.25">
      <c r="A4" s="901" t="s">
        <v>797</v>
      </c>
      <c r="B4" s="902"/>
      <c r="C4" s="902"/>
      <c r="D4" s="902"/>
      <c r="E4" s="902"/>
      <c r="F4" s="902"/>
      <c r="G4" s="902"/>
      <c r="H4" s="902"/>
      <c r="I4" s="902"/>
      <c r="J4" s="902"/>
      <c r="K4" s="902"/>
      <c r="L4" s="902"/>
      <c r="M4" s="902"/>
      <c r="N4" s="902"/>
      <c r="O4" s="902"/>
    </row>
    <row r="5" spans="1:15" ht="12.75" customHeight="1" x14ac:dyDescent="0.25">
      <c r="A5" s="903"/>
      <c r="B5" s="904" t="s">
        <v>471</v>
      </c>
      <c r="C5" s="905"/>
      <c r="D5" s="905"/>
      <c r="E5" s="903"/>
      <c r="F5" s="903"/>
      <c r="G5" s="903"/>
      <c r="H5" s="903"/>
      <c r="I5" s="896"/>
      <c r="J5" s="896"/>
      <c r="K5" s="896"/>
      <c r="L5" s="896"/>
      <c r="M5" s="896"/>
      <c r="N5" s="896"/>
      <c r="O5" s="896"/>
    </row>
    <row r="6" spans="1:15" ht="12.75" customHeight="1" x14ac:dyDescent="0.25">
      <c r="A6" s="903"/>
      <c r="B6" s="904" t="s">
        <v>414</v>
      </c>
      <c r="C6" s="905">
        <f>DBE!D42</f>
        <v>1</v>
      </c>
      <c r="D6" s="905">
        <f>DBE!E42</f>
        <v>1</v>
      </c>
      <c r="E6" s="905">
        <f>DBE!F42</f>
        <v>1</v>
      </c>
      <c r="F6" s="905">
        <f>DBE!G42</f>
        <v>1</v>
      </c>
      <c r="G6" s="905">
        <f>DBE!H42</f>
        <v>1</v>
      </c>
      <c r="H6" s="905">
        <f>DBE!I42</f>
        <v>1</v>
      </c>
      <c r="I6" s="906"/>
      <c r="J6" s="923">
        <f>C6</f>
        <v>1</v>
      </c>
      <c r="K6" s="923">
        <f t="shared" ref="K6:O6" si="0">D6</f>
        <v>1</v>
      </c>
      <c r="L6" s="923">
        <f t="shared" si="0"/>
        <v>1</v>
      </c>
      <c r="M6" s="923">
        <f t="shared" si="0"/>
        <v>1</v>
      </c>
      <c r="N6" s="923">
        <f t="shared" si="0"/>
        <v>1</v>
      </c>
      <c r="O6" s="923">
        <f t="shared" si="0"/>
        <v>1</v>
      </c>
    </row>
    <row r="7" spans="1:15" ht="12.75" customHeight="1" x14ac:dyDescent="0.25">
      <c r="A7" s="903"/>
      <c r="B7" s="904" t="s">
        <v>472</v>
      </c>
      <c r="C7" s="905">
        <f>DBE!D43+DBE!D49+DBE!D72+DBE!D81</f>
        <v>7</v>
      </c>
      <c r="D7" s="905">
        <f>DBE!E43+DBE!E49+DBE!E72+DBE!E81</f>
        <v>7</v>
      </c>
      <c r="E7" s="905">
        <f>DBE!F43+DBE!F49+DBE!F72+DBE!F81</f>
        <v>7</v>
      </c>
      <c r="F7" s="905">
        <f>DBE!G43+DBE!G49+DBE!G72+DBE!G81</f>
        <v>7</v>
      </c>
      <c r="G7" s="905">
        <f>DBE!H43+DBE!H49+DBE!H72+DBE!H81</f>
        <v>7</v>
      </c>
      <c r="H7" s="905">
        <f>DBE!I43+DBE!I49+DBE!I72+DBE!I81</f>
        <v>7</v>
      </c>
      <c r="I7" s="906"/>
      <c r="J7" s="923">
        <f t="shared" ref="J7:J10" si="1">C7</f>
        <v>7</v>
      </c>
      <c r="K7" s="923">
        <f t="shared" ref="K7:K10" si="2">D7</f>
        <v>7</v>
      </c>
      <c r="L7" s="923">
        <f t="shared" ref="L7:L10" si="3">E7</f>
        <v>7</v>
      </c>
      <c r="M7" s="923">
        <f t="shared" ref="M7:M10" si="4">F7</f>
        <v>7</v>
      </c>
      <c r="N7" s="923">
        <f t="shared" ref="N7:N10" si="5">G7</f>
        <v>7</v>
      </c>
      <c r="O7" s="923">
        <f t="shared" ref="O7:O10" si="6">H7</f>
        <v>7</v>
      </c>
    </row>
    <row r="8" spans="1:15" ht="12.75" customHeight="1" x14ac:dyDescent="0.25">
      <c r="A8" s="903"/>
      <c r="B8" s="904" t="s">
        <v>473</v>
      </c>
      <c r="C8" s="905">
        <f>DBE!D44+DBE!D50+DBE!D73+DBE!D82</f>
        <v>20</v>
      </c>
      <c r="D8" s="905">
        <f>DBE!E44+DBE!E50+DBE!E73+DBE!E82</f>
        <v>20</v>
      </c>
      <c r="E8" s="905">
        <f>DBE!F44+DBE!F50+DBE!F73+DBE!F82</f>
        <v>20</v>
      </c>
      <c r="F8" s="905">
        <f>DBE!G44+DBE!G50+DBE!G73+DBE!G82</f>
        <v>20</v>
      </c>
      <c r="G8" s="905">
        <f>DBE!H44+DBE!H50+DBE!H73+DBE!H82</f>
        <v>20</v>
      </c>
      <c r="H8" s="905">
        <f>DBE!I44+DBE!I50+DBE!I73+DBE!I82</f>
        <v>20</v>
      </c>
      <c r="I8" s="906"/>
      <c r="J8" s="923">
        <f t="shared" si="1"/>
        <v>20</v>
      </c>
      <c r="K8" s="923">
        <f t="shared" si="2"/>
        <v>20</v>
      </c>
      <c r="L8" s="923">
        <f t="shared" si="3"/>
        <v>20</v>
      </c>
      <c r="M8" s="923">
        <f t="shared" si="4"/>
        <v>20</v>
      </c>
      <c r="N8" s="923">
        <f t="shared" si="5"/>
        <v>20</v>
      </c>
      <c r="O8" s="923">
        <f t="shared" si="6"/>
        <v>20</v>
      </c>
    </row>
    <row r="9" spans="1:15" ht="12.75" customHeight="1" x14ac:dyDescent="0.25">
      <c r="A9" s="903"/>
      <c r="B9" s="904" t="s">
        <v>415</v>
      </c>
      <c r="C9" s="905">
        <f>DBE!D45+DBE!D51+DBE!D52+DBE!D74+DBE!D83</f>
        <v>8</v>
      </c>
      <c r="D9" s="905">
        <f>DBE!E45+DBE!E51+DBE!E52+DBE!E74+DBE!E83</f>
        <v>8</v>
      </c>
      <c r="E9" s="905">
        <f>DBE!F45+DBE!F51+DBE!F52+DBE!F74+DBE!F83</f>
        <v>8</v>
      </c>
      <c r="F9" s="905">
        <f>DBE!G45+DBE!G51+DBE!G52+DBE!G74+DBE!G83</f>
        <v>8</v>
      </c>
      <c r="G9" s="905">
        <f>DBE!H45+DBE!H51+DBE!H52+DBE!H74+DBE!H83</f>
        <v>8</v>
      </c>
      <c r="H9" s="905">
        <f>DBE!I45+DBE!I51+DBE!I52+DBE!I74+DBE!I83</f>
        <v>8</v>
      </c>
      <c r="I9" s="906"/>
      <c r="J9" s="923">
        <f t="shared" si="1"/>
        <v>8</v>
      </c>
      <c r="K9" s="923">
        <f t="shared" si="2"/>
        <v>8</v>
      </c>
      <c r="L9" s="923">
        <f t="shared" si="3"/>
        <v>8</v>
      </c>
      <c r="M9" s="923">
        <f t="shared" si="4"/>
        <v>8</v>
      </c>
      <c r="N9" s="923">
        <f t="shared" si="5"/>
        <v>8</v>
      </c>
      <c r="O9" s="923">
        <f t="shared" si="6"/>
        <v>8</v>
      </c>
    </row>
    <row r="10" spans="1:15" ht="12.75" customHeight="1" x14ac:dyDescent="0.25">
      <c r="A10" s="903"/>
      <c r="B10" s="904" t="s">
        <v>474</v>
      </c>
      <c r="C10" s="905">
        <f>DBE!D46+DBE!D75+DBE!D84</f>
        <v>16</v>
      </c>
      <c r="D10" s="905">
        <f>DBE!E46+DBE!E75+DBE!E84</f>
        <v>16</v>
      </c>
      <c r="E10" s="905">
        <f>DBE!F46+DBE!F75+DBE!F84</f>
        <v>16</v>
      </c>
      <c r="F10" s="905">
        <f>DBE!G46+DBE!G75+DBE!G84</f>
        <v>16</v>
      </c>
      <c r="G10" s="905">
        <f>DBE!H46+DBE!H75+DBE!H84</f>
        <v>16</v>
      </c>
      <c r="H10" s="905">
        <f>DBE!I46+DBE!I75+DBE!I84</f>
        <v>16</v>
      </c>
      <c r="I10" s="906"/>
      <c r="J10" s="923">
        <f t="shared" si="1"/>
        <v>16</v>
      </c>
      <c r="K10" s="923">
        <f t="shared" si="2"/>
        <v>16</v>
      </c>
      <c r="L10" s="923">
        <f t="shared" si="3"/>
        <v>16</v>
      </c>
      <c r="M10" s="923">
        <f t="shared" si="4"/>
        <v>16</v>
      </c>
      <c r="N10" s="923">
        <f t="shared" si="5"/>
        <v>16</v>
      </c>
      <c r="O10" s="923">
        <f t="shared" si="6"/>
        <v>16</v>
      </c>
    </row>
    <row r="11" spans="1:15" ht="12.75" customHeight="1" x14ac:dyDescent="0.25">
      <c r="A11" s="907" t="s">
        <v>823</v>
      </c>
      <c r="B11" s="908"/>
      <c r="C11" s="909">
        <f>DBE!D3</f>
        <v>24364260.719999999</v>
      </c>
      <c r="D11" s="909">
        <f>DBE!E3</f>
        <v>24364260.719999999</v>
      </c>
      <c r="E11" s="909">
        <f>DBE!F3</f>
        <v>25972301.927520003</v>
      </c>
      <c r="F11" s="909">
        <f>DBE!G3</f>
        <v>27634529.250881284</v>
      </c>
      <c r="G11" s="909">
        <f>DBE!H3</f>
        <v>24364260.719999999</v>
      </c>
      <c r="H11" s="909">
        <f>DBE!I3</f>
        <v>24364260.719999999</v>
      </c>
      <c r="I11" s="910"/>
      <c r="J11" s="924">
        <f t="shared" ref="J11" si="7">SUM(J6:J10)</f>
        <v>52</v>
      </c>
      <c r="K11" s="924">
        <f t="shared" ref="K11" si="8">SUM(K6:K10)</f>
        <v>52</v>
      </c>
      <c r="L11" s="924">
        <f t="shared" ref="L11" si="9">SUM(L6:L10)</f>
        <v>52</v>
      </c>
      <c r="M11" s="924">
        <f t="shared" ref="M11" si="10">SUM(M6:M10)</f>
        <v>52</v>
      </c>
      <c r="N11" s="924">
        <f t="shared" ref="N11" si="11">SUM(N6:N10)</f>
        <v>52</v>
      </c>
      <c r="O11" s="924">
        <f t="shared" ref="O11" si="12">SUM(O6:O10)</f>
        <v>52</v>
      </c>
    </row>
    <row r="12" spans="1:15" ht="12.75" customHeight="1" x14ac:dyDescent="0.25">
      <c r="A12" s="911" t="s">
        <v>822</v>
      </c>
      <c r="B12" s="912"/>
      <c r="C12" s="912"/>
      <c r="D12" s="912"/>
      <c r="E12" s="912"/>
      <c r="F12" s="912"/>
      <c r="G12" s="912"/>
      <c r="H12" s="912"/>
      <c r="I12" s="913"/>
      <c r="J12" s="925"/>
      <c r="K12" s="925"/>
      <c r="L12" s="925"/>
      <c r="M12" s="925"/>
      <c r="N12" s="925"/>
      <c r="O12" s="925"/>
    </row>
    <row r="13" spans="1:15" ht="12.75" customHeight="1" x14ac:dyDescent="0.25">
      <c r="A13" s="914"/>
      <c r="B13" s="904" t="s">
        <v>414</v>
      </c>
      <c r="C13" s="905">
        <f>(PED!D82*9)</f>
        <v>9</v>
      </c>
      <c r="D13" s="905">
        <f>(PED!E82*9)</f>
        <v>9</v>
      </c>
      <c r="E13" s="905">
        <f>(PED!F82*9)</f>
        <v>9</v>
      </c>
      <c r="F13" s="905">
        <f>(PED!G82*9)</f>
        <v>9</v>
      </c>
      <c r="G13" s="905">
        <f>(PED!H82*9)</f>
        <v>9</v>
      </c>
      <c r="H13" s="905">
        <f>(PED!I82*9)</f>
        <v>9</v>
      </c>
      <c r="I13" s="896"/>
      <c r="J13" s="923">
        <f t="shared" ref="J13:N13" si="13">C13+C23</f>
        <v>9</v>
      </c>
      <c r="K13" s="923">
        <f t="shared" si="13"/>
        <v>9</v>
      </c>
      <c r="L13" s="923">
        <f t="shared" si="13"/>
        <v>9</v>
      </c>
      <c r="M13" s="923">
        <f t="shared" si="13"/>
        <v>9</v>
      </c>
      <c r="N13" s="923">
        <f t="shared" si="13"/>
        <v>9</v>
      </c>
      <c r="O13" s="923">
        <f t="shared" ref="O13:O18" si="14">H13+H23</f>
        <v>9</v>
      </c>
    </row>
    <row r="14" spans="1:15" ht="12.75" customHeight="1" x14ac:dyDescent="0.25">
      <c r="A14" s="914"/>
      <c r="B14" s="904" t="s">
        <v>472</v>
      </c>
      <c r="C14" s="905">
        <f>PED!D83+PED!D98+(PED!D130*9)</f>
        <v>29.390625</v>
      </c>
      <c r="D14" s="905">
        <f>PED!E83+PED!E98+(PED!E130*9)</f>
        <v>29.390625</v>
      </c>
      <c r="E14" s="905">
        <f>PED!F83+PED!F98+(PED!F130*9)</f>
        <v>29.40625</v>
      </c>
      <c r="F14" s="905">
        <f>PED!G83+PED!G98+(PED!G130*9)</f>
        <v>29.4375</v>
      </c>
      <c r="G14" s="905">
        <f>PED!H83+PED!H98+(PED!H130*9)</f>
        <v>29.390625</v>
      </c>
      <c r="H14" s="905">
        <f>PED!I83+PED!I98+(PED!I130*9)</f>
        <v>29.390625</v>
      </c>
      <c r="I14" s="896"/>
      <c r="J14" s="923">
        <f t="shared" ref="J14:N18" si="15">C14+C24</f>
        <v>47.390625</v>
      </c>
      <c r="K14" s="923">
        <f t="shared" si="15"/>
        <v>47.390625</v>
      </c>
      <c r="L14" s="923">
        <f t="shared" si="15"/>
        <v>47.40625</v>
      </c>
      <c r="M14" s="923">
        <f t="shared" si="15"/>
        <v>47.4375</v>
      </c>
      <c r="N14" s="923">
        <f t="shared" si="15"/>
        <v>47.390625</v>
      </c>
      <c r="O14" s="923">
        <f t="shared" si="14"/>
        <v>47.390625</v>
      </c>
    </row>
    <row r="15" spans="1:15" ht="12.75" customHeight="1" x14ac:dyDescent="0.25">
      <c r="A15" s="914"/>
      <c r="B15" s="904" t="s">
        <v>473</v>
      </c>
      <c r="C15" s="905">
        <f>PED!D84+(PED!D90*9)*PED!D99+(PED!D131*9)</f>
        <v>275.125</v>
      </c>
      <c r="D15" s="905">
        <f>PED!E84+(PED!E90*9)*PED!E99+(PED!E131*9)</f>
        <v>275.125</v>
      </c>
      <c r="E15" s="905">
        <f>PED!F84+(PED!F90*9)*PED!F99+(PED!F131*9)</f>
        <v>276.25</v>
      </c>
      <c r="F15" s="905">
        <f>PED!G84+(PED!G90*9)*PED!G99+(PED!G131*9)</f>
        <v>278.5</v>
      </c>
      <c r="G15" s="905">
        <f>PED!H84+(PED!H90*9)*PED!H99+(PED!H131*9)</f>
        <v>275.125</v>
      </c>
      <c r="H15" s="905">
        <f>PED!I84+(PED!I90*9)*PED!I99+(PED!I131*9)</f>
        <v>275.125</v>
      </c>
      <c r="I15" s="896"/>
      <c r="J15" s="923">
        <f t="shared" si="15"/>
        <v>302.56901105999998</v>
      </c>
      <c r="K15" s="923">
        <f t="shared" si="15"/>
        <v>302.56901105999998</v>
      </c>
      <c r="L15" s="923">
        <f t="shared" si="15"/>
        <v>303.78845117060001</v>
      </c>
      <c r="M15" s="923">
        <f t="shared" si="15"/>
        <v>306.13383568230597</v>
      </c>
      <c r="N15" s="923">
        <f t="shared" si="15"/>
        <v>302.56901105999998</v>
      </c>
      <c r="O15" s="923">
        <f t="shared" si="14"/>
        <v>302.56901105999998</v>
      </c>
    </row>
    <row r="16" spans="1:15" ht="12.75" customHeight="1" x14ac:dyDescent="0.25">
      <c r="A16" s="914"/>
      <c r="B16" s="904" t="s">
        <v>415</v>
      </c>
      <c r="C16" s="905">
        <f>PED!D85+PED!D100+(PED!D122*9)+(PED!D132*9)</f>
        <v>245</v>
      </c>
      <c r="D16" s="905">
        <f>PED!E85+PED!E100+(PED!E122*9)+(PED!E132*9)</f>
        <v>245</v>
      </c>
      <c r="E16" s="905">
        <f>PED!F85+PED!F100+(PED!F122*9)+(PED!F132*9)</f>
        <v>246</v>
      </c>
      <c r="F16" s="905">
        <f>PED!G85+PED!G100+(PED!G122*9)+(PED!G132*9)</f>
        <v>248</v>
      </c>
      <c r="G16" s="905">
        <f>PED!H85+PED!H100+(PED!H122*9)+(PED!H132*9)</f>
        <v>245</v>
      </c>
      <c r="H16" s="905">
        <f>PED!I85+PED!I100+(PED!I122*9)+(PED!I132*9)</f>
        <v>245</v>
      </c>
      <c r="I16" s="896"/>
      <c r="J16" s="923">
        <f t="shared" si="15"/>
        <v>805.82531847999996</v>
      </c>
      <c r="K16" s="923">
        <f t="shared" si="15"/>
        <v>805.82531847999996</v>
      </c>
      <c r="L16" s="923">
        <f t="shared" si="15"/>
        <v>811.87357166480001</v>
      </c>
      <c r="M16" s="923">
        <f t="shared" si="15"/>
        <v>818.97230738144799</v>
      </c>
      <c r="N16" s="923">
        <f t="shared" si="15"/>
        <v>805.82531847999996</v>
      </c>
      <c r="O16" s="923">
        <f t="shared" si="14"/>
        <v>805.82531847999996</v>
      </c>
    </row>
    <row r="17" spans="1:15" ht="12.75" customHeight="1" x14ac:dyDescent="0.25">
      <c r="A17" s="914"/>
      <c r="B17" s="904" t="s">
        <v>474</v>
      </c>
      <c r="C17" s="905">
        <f>PED!D86+PED!D101+PED!D123+(PED!D133*9)</f>
        <v>71.979286500000001</v>
      </c>
      <c r="D17" s="905">
        <f>PED!E86+PED!E101+PED!E123+(PED!E133*9)</f>
        <v>71.979286500000001</v>
      </c>
      <c r="E17" s="905">
        <f>PED!F86+PED!F101+PED!F123+(PED!F133*9)</f>
        <v>72.334548115000004</v>
      </c>
      <c r="F17" s="905">
        <f>PED!G86+PED!G101+PED!G123+(PED!G133*9)</f>
        <v>72.832581096149994</v>
      </c>
      <c r="G17" s="905">
        <f>PED!H86+PED!H101+PED!H123+(PED!H133*9)</f>
        <v>71.979286500000001</v>
      </c>
      <c r="H17" s="905">
        <f>PED!I86+PED!I101+PED!I123+(PED!I133*9)</f>
        <v>71.979286500000001</v>
      </c>
      <c r="I17" s="896"/>
      <c r="J17" s="923">
        <f t="shared" si="15"/>
        <v>249.51437422666666</v>
      </c>
      <c r="K17" s="923">
        <f t="shared" si="15"/>
        <v>249.51437422666666</v>
      </c>
      <c r="L17" s="923">
        <f t="shared" si="15"/>
        <v>251.39498671893335</v>
      </c>
      <c r="M17" s="923">
        <f t="shared" si="15"/>
        <v>253.43362408612268</v>
      </c>
      <c r="N17" s="923">
        <f t="shared" si="15"/>
        <v>249.51437422666666</v>
      </c>
      <c r="O17" s="923">
        <f t="shared" si="14"/>
        <v>249.51437422666666</v>
      </c>
    </row>
    <row r="18" spans="1:15" ht="12.75" customHeight="1" x14ac:dyDescent="0.25">
      <c r="A18" s="914"/>
      <c r="B18" s="904" t="s">
        <v>824</v>
      </c>
      <c r="C18" s="905"/>
      <c r="D18" s="905"/>
      <c r="E18" s="905"/>
      <c r="F18" s="905"/>
      <c r="G18" s="905"/>
      <c r="H18" s="905"/>
      <c r="I18" s="896"/>
      <c r="J18" s="923">
        <f t="shared" si="15"/>
        <v>71.54553833333334</v>
      </c>
      <c r="K18" s="923">
        <f t="shared" si="15"/>
        <v>71.54553833333334</v>
      </c>
      <c r="L18" s="923">
        <f t="shared" si="15"/>
        <v>72.260993716666675</v>
      </c>
      <c r="M18" s="923">
        <f t="shared" si="15"/>
        <v>72.983603653833327</v>
      </c>
      <c r="N18" s="923">
        <f t="shared" si="15"/>
        <v>143.09107666666668</v>
      </c>
      <c r="O18" s="923">
        <f t="shared" si="14"/>
        <v>143.09107666666668</v>
      </c>
    </row>
    <row r="19" spans="1:15" ht="12.75" customHeight="1" x14ac:dyDescent="0.25">
      <c r="A19" s="907" t="s">
        <v>831</v>
      </c>
      <c r="B19" s="908"/>
      <c r="C19" s="909">
        <f>PED!D3</f>
        <v>160331064.44083351</v>
      </c>
      <c r="D19" s="909">
        <f>PED!E3</f>
        <v>160331064.44083351</v>
      </c>
      <c r="E19" s="909">
        <f>PED!F3</f>
        <v>171462169.39275718</v>
      </c>
      <c r="F19" s="909">
        <f>PED!G3</f>
        <v>183539096.50939924</v>
      </c>
      <c r="G19" s="909">
        <f>PED!H3</f>
        <v>160331064.44083351</v>
      </c>
      <c r="H19" s="909">
        <f>PED!I3</f>
        <v>160331064.44083351</v>
      </c>
      <c r="I19" s="910"/>
      <c r="J19" s="924">
        <f>SUM(J13:J18)</f>
        <v>1485.8448670999999</v>
      </c>
      <c r="K19" s="924">
        <f t="shared" ref="K19:O19" si="16">SUM(K13:K18)</f>
        <v>1485.8448670999999</v>
      </c>
      <c r="L19" s="924">
        <f t="shared" si="16"/>
        <v>1495.724253271</v>
      </c>
      <c r="M19" s="924">
        <f t="shared" si="16"/>
        <v>1507.9608708037101</v>
      </c>
      <c r="N19" s="924">
        <f t="shared" si="16"/>
        <v>1557.3904054333332</v>
      </c>
      <c r="O19" s="924">
        <f t="shared" si="16"/>
        <v>1557.3904054333332</v>
      </c>
    </row>
    <row r="20" spans="1:15" ht="12.75" customHeight="1" x14ac:dyDescent="0.25">
      <c r="A20" s="915" t="s">
        <v>833</v>
      </c>
      <c r="B20" s="916"/>
      <c r="C20" s="917"/>
      <c r="D20" s="917"/>
      <c r="E20" s="917"/>
      <c r="F20" s="917"/>
      <c r="G20" s="917"/>
      <c r="H20" s="917"/>
      <c r="I20" s="918"/>
      <c r="J20" s="926">
        <f>PED!D65/GenAssumptions!D60+PED!D66/GenAssumptions!D61</f>
        <v>284.29645697416021</v>
      </c>
      <c r="K20" s="926">
        <f>PED!E65/GenAssumptions!E60+PED!E66/GenAssumptions!E61</f>
        <v>284.29645697416021</v>
      </c>
      <c r="L20" s="926">
        <f>PED!F65/GenAssumptions!F60+PED!F66/GenAssumptions!F61</f>
        <v>287.1394215439019</v>
      </c>
      <c r="M20" s="926">
        <f>PED!G65/GenAssumptions!G60+PED!G66/GenAssumptions!G61</f>
        <v>290.01081575934086</v>
      </c>
      <c r="N20" s="926">
        <f>PED!H65/GenAssumptions!H60+PED!H66/GenAssumptions!H61</f>
        <v>284.29645697416021</v>
      </c>
      <c r="O20" s="926">
        <f>PED!I65/GenAssumptions!I60+PED!I66/GenAssumptions!I61</f>
        <v>284.29645697416021</v>
      </c>
    </row>
    <row r="21" spans="1:15" ht="12.75" customHeight="1" x14ac:dyDescent="0.25">
      <c r="A21" s="919" t="s">
        <v>832</v>
      </c>
      <c r="B21" s="920"/>
      <c r="C21" s="921"/>
      <c r="D21" s="921"/>
      <c r="E21" s="921"/>
      <c r="F21" s="921"/>
      <c r="G21" s="921"/>
      <c r="H21" s="921"/>
      <c r="I21" s="922"/>
      <c r="J21" s="927">
        <f>(PED!D58*PED!D76)/GenAssumptions!$E$26</f>
        <v>5856.75104496124</v>
      </c>
      <c r="K21" s="927">
        <f>(PED!E58*PED!E76)/GenAssumptions!$E$26</f>
        <v>5856.75104496124</v>
      </c>
      <c r="L21" s="927">
        <f>(PED!F58*PED!F76)/GenAssumptions!$E$26</f>
        <v>5915.3185554108541</v>
      </c>
      <c r="M21" s="927">
        <f>(PED!G58*PED!G76)/GenAssumptions!$E$26</f>
        <v>5974.4717409649629</v>
      </c>
      <c r="N21" s="927">
        <f>(PED!H58*PED!H76)/GenAssumptions!$E$26</f>
        <v>5856.75104496124</v>
      </c>
      <c r="O21" s="927">
        <f>(PED!I58*PED!I76)/GenAssumptions!$E$26</f>
        <v>5856.75104496124</v>
      </c>
    </row>
    <row r="22" spans="1:15" x14ac:dyDescent="0.25">
      <c r="A22" s="876" t="s">
        <v>798</v>
      </c>
      <c r="B22" s="861"/>
      <c r="C22" s="863"/>
      <c r="D22" s="863"/>
      <c r="E22" s="864"/>
      <c r="F22" s="864"/>
      <c r="G22" s="864"/>
      <c r="H22" s="864"/>
    </row>
    <row r="23" spans="1:15" x14ac:dyDescent="0.25">
      <c r="A23" s="877"/>
      <c r="B23" s="396" t="s">
        <v>414</v>
      </c>
      <c r="C23" s="864"/>
      <c r="D23" s="864"/>
      <c r="E23" s="864"/>
      <c r="F23" s="864"/>
      <c r="G23" s="864"/>
      <c r="H23" s="864"/>
    </row>
    <row r="24" spans="1:15" x14ac:dyDescent="0.25">
      <c r="A24" s="877"/>
      <c r="B24" s="396" t="s">
        <v>472</v>
      </c>
      <c r="C24" s="865">
        <f>(DISTRICT!D62*9)</f>
        <v>18</v>
      </c>
      <c r="D24" s="865">
        <f>(DISTRICT!E62*9)</f>
        <v>18</v>
      </c>
      <c r="E24" s="865">
        <f>(DISTRICT!F62*9)</f>
        <v>18</v>
      </c>
      <c r="F24" s="865">
        <f>(DISTRICT!G62*9)</f>
        <v>18</v>
      </c>
      <c r="G24" s="865">
        <f>(DISTRICT!H62*9)</f>
        <v>18</v>
      </c>
      <c r="H24" s="865">
        <f>(DISTRICT!I62*9)</f>
        <v>18</v>
      </c>
    </row>
    <row r="25" spans="1:15" x14ac:dyDescent="0.25">
      <c r="A25" s="877"/>
      <c r="B25" s="396" t="s">
        <v>473</v>
      </c>
      <c r="C25" s="857">
        <f>(DISTRICT!D63*9)+DISTRICT!D69</f>
        <v>27.444011060000001</v>
      </c>
      <c r="D25" s="857">
        <f>(DISTRICT!E63*9)+DISTRICT!E69</f>
        <v>27.444011060000001</v>
      </c>
      <c r="E25" s="857">
        <f>(DISTRICT!F63*9)+DISTRICT!F69</f>
        <v>27.538451170600002</v>
      </c>
      <c r="F25" s="857">
        <f>(DISTRICT!G63*9)+DISTRICT!G69</f>
        <v>27.633835682306</v>
      </c>
      <c r="G25" s="857">
        <f>(DISTRICT!H63*9)+DISTRICT!H69</f>
        <v>27.444011060000001</v>
      </c>
      <c r="H25" s="857">
        <f>(DISTRICT!I63*9)+DISTRICT!I69</f>
        <v>27.444011060000001</v>
      </c>
    </row>
    <row r="26" spans="1:15" x14ac:dyDescent="0.25">
      <c r="A26" s="877"/>
      <c r="B26" s="396" t="s">
        <v>415</v>
      </c>
      <c r="C26" s="857">
        <f>DISTRICT!D64+DISTRICT!D70+(DISTRICT!D90*DISTRICT!D58)+DISTRICT!D97</f>
        <v>560.82531847999996</v>
      </c>
      <c r="D26" s="857">
        <f>DISTRICT!E64+DISTRICT!E70+(DISTRICT!E90*DISTRICT!E58)+DISTRICT!E97</f>
        <v>560.82531847999996</v>
      </c>
      <c r="E26" s="857">
        <f>DISTRICT!F64+DISTRICT!F70+(DISTRICT!F90*DISTRICT!F58)+DISTRICT!F97</f>
        <v>565.87357166480001</v>
      </c>
      <c r="F26" s="857">
        <f>DISTRICT!G64+DISTRICT!G70+(DISTRICT!G90*DISTRICT!G58)+DISTRICT!G97</f>
        <v>570.97230738144799</v>
      </c>
      <c r="G26" s="857">
        <f>DISTRICT!H64+DISTRICT!H70+(DISTRICT!H90*DISTRICT!H58)+DISTRICT!H97</f>
        <v>560.82531847999996</v>
      </c>
      <c r="H26" s="857">
        <f>DISTRICT!I64+DISTRICT!I70+(DISTRICT!I90*DISTRICT!I58)+DISTRICT!I97</f>
        <v>560.82531847999996</v>
      </c>
    </row>
    <row r="27" spans="1:15" x14ac:dyDescent="0.25">
      <c r="A27" s="877"/>
      <c r="B27" s="396" t="s">
        <v>474</v>
      </c>
      <c r="C27" s="857">
        <f>DISTRICT!D65+DISTRICT!D71+DISTRICT!D91</f>
        <v>177.53508772666666</v>
      </c>
      <c r="D27" s="857">
        <f>DISTRICT!E65+DISTRICT!E71+DISTRICT!E91</f>
        <v>177.53508772666666</v>
      </c>
      <c r="E27" s="857">
        <f>DISTRICT!F65+DISTRICT!F71+DISTRICT!F91</f>
        <v>179.06043860393336</v>
      </c>
      <c r="F27" s="857">
        <f>DISTRICT!G65+DISTRICT!G71+DISTRICT!G91</f>
        <v>180.60104298997268</v>
      </c>
      <c r="G27" s="857">
        <f>DISTRICT!H65+DISTRICT!H71+DISTRICT!H91</f>
        <v>177.53508772666666</v>
      </c>
      <c r="H27" s="857">
        <f>DISTRICT!I65+DISTRICT!I71+DISTRICT!I91</f>
        <v>177.53508772666666</v>
      </c>
    </row>
    <row r="28" spans="1:15" x14ac:dyDescent="0.25">
      <c r="A28" s="877"/>
      <c r="B28" s="396" t="s">
        <v>475</v>
      </c>
      <c r="C28" s="857">
        <f>DISTRICT!D98</f>
        <v>71.54553833333334</v>
      </c>
      <c r="D28" s="857">
        <f>DISTRICT!E98</f>
        <v>71.54553833333334</v>
      </c>
      <c r="E28" s="857">
        <f>DISTRICT!F98</f>
        <v>72.260993716666675</v>
      </c>
      <c r="F28" s="857">
        <f>DISTRICT!G98</f>
        <v>72.983603653833327</v>
      </c>
      <c r="G28" s="857">
        <f>DISTRICT!H98</f>
        <v>143.09107666666668</v>
      </c>
      <c r="H28" s="857">
        <f>DISTRICT!I98</f>
        <v>143.09107666666668</v>
      </c>
    </row>
    <row r="29" spans="1:15" x14ac:dyDescent="0.25">
      <c r="A29" s="878" t="s">
        <v>830</v>
      </c>
      <c r="B29" s="866"/>
      <c r="C29" s="856">
        <f>DISTRICT!D3</f>
        <v>146688539.41479528</v>
      </c>
      <c r="D29" s="856">
        <f>DISTRICT!E3</f>
        <v>146688539.41479528</v>
      </c>
      <c r="E29" s="856">
        <f>DISTRICT!F3</f>
        <v>157397023.62011352</v>
      </c>
      <c r="F29" s="856">
        <f>DISTRICT!G3</f>
        <v>168574132.04642072</v>
      </c>
      <c r="G29" s="856">
        <f>DISTRICT!H3</f>
        <v>287763820.53892028</v>
      </c>
      <c r="H29" s="856">
        <f>DISTRICT!I12+DISTRICT!I16+(0.1*DISTRICT!I21)</f>
        <v>123489926.1147953</v>
      </c>
    </row>
    <row r="30" spans="1:15" x14ac:dyDescent="0.25">
      <c r="A30" s="872" t="s">
        <v>517</v>
      </c>
      <c r="B30" s="858"/>
      <c r="C30" s="375">
        <f>C11+C19+C29</f>
        <v>331383864.57562876</v>
      </c>
      <c r="D30" s="375">
        <f t="shared" ref="D30:H30" si="17">D11+D19+D29</f>
        <v>331383864.57562876</v>
      </c>
      <c r="E30" s="375">
        <f t="shared" si="17"/>
        <v>354831494.94039071</v>
      </c>
      <c r="F30" s="375">
        <f t="shared" si="17"/>
        <v>379747757.80670124</v>
      </c>
      <c r="G30" s="375">
        <f t="shared" si="17"/>
        <v>472459145.69975376</v>
      </c>
      <c r="H30" s="375">
        <f t="shared" si="17"/>
        <v>308185251.27562881</v>
      </c>
    </row>
    <row r="31" spans="1:15" x14ac:dyDescent="0.25">
      <c r="A31" s="871" t="s">
        <v>825</v>
      </c>
      <c r="B31" s="868"/>
      <c r="C31" s="870">
        <f>C30/'Totals and Scenarios'!D11</f>
        <v>0.14625229884781679</v>
      </c>
      <c r="D31" s="870">
        <f>D30/'Totals and Scenarios'!E11</f>
        <v>0.14625229884781679</v>
      </c>
      <c r="E31" s="870">
        <f>E30/'Totals and Scenarios'!F11</f>
        <v>0.14962244464973523</v>
      </c>
      <c r="F31" s="870">
        <f>F30/'Totals and Scenarios'!G11</f>
        <v>0.15195927989038374</v>
      </c>
      <c r="G31" s="870">
        <f>G30/'Totals and Scenarios'!H11</f>
        <v>0.16093333310670271</v>
      </c>
      <c r="H31" s="870">
        <f>H30/'Totals and Scenarios'!I11</f>
        <v>9.7824752352541691E-2</v>
      </c>
    </row>
    <row r="32" spans="1:15" ht="6" customHeight="1" x14ac:dyDescent="0.25">
      <c r="A32" s="871"/>
      <c r="B32" s="868"/>
      <c r="C32" s="880"/>
      <c r="D32" s="880"/>
      <c r="E32" s="880"/>
      <c r="F32" s="880"/>
      <c r="G32" s="880"/>
      <c r="H32" s="880"/>
    </row>
    <row r="33" spans="1:8" x14ac:dyDescent="0.25">
      <c r="A33" s="873" t="s">
        <v>828</v>
      </c>
      <c r="B33" s="325"/>
      <c r="C33" s="881"/>
      <c r="D33" s="881"/>
      <c r="E33" s="881"/>
      <c r="F33" s="881"/>
      <c r="G33" s="881"/>
      <c r="H33" s="881"/>
    </row>
    <row r="34" spans="1:8" x14ac:dyDescent="0.25">
      <c r="A34" s="875" t="s">
        <v>799</v>
      </c>
      <c r="B34" s="869"/>
      <c r="C34" s="860">
        <f>PED!D109+PED!D116</f>
        <v>271987518.528</v>
      </c>
      <c r="D34" s="860">
        <f>PED!E109+PED!E116</f>
        <v>271987518.528</v>
      </c>
      <c r="E34" s="860">
        <f>PED!F109+PED!F116</f>
        <v>274707393.71328008</v>
      </c>
      <c r="F34" s="860">
        <f>PED!G109+PED!G116</f>
        <v>277454467.6504128</v>
      </c>
      <c r="G34" s="860">
        <f>PED!H109+PED!H116</f>
        <v>271987518.528</v>
      </c>
      <c r="H34" s="860">
        <f>PED!I109+PED!I116</f>
        <v>271987518.528</v>
      </c>
    </row>
    <row r="35" spans="1:8" x14ac:dyDescent="0.25">
      <c r="A35" s="879" t="s">
        <v>826</v>
      </c>
      <c r="B35" s="866"/>
      <c r="C35" s="856">
        <f>GenAssumptions!D54*GenAssumptions!D57*(PED!D70+DISTRICT!D42)+GenAssumptions!D54*GenAssumptions!D58*(PED!D66+DISTRICT!D43)</f>
        <v>385079550.97149998</v>
      </c>
      <c r="D35" s="856">
        <f>GenAssumptions!E54*GenAssumptions!E57*(PED!E70+DISTRICT!E42)+GenAssumptions!E54*GenAssumptions!E58*(PED!E66+DISTRICT!E43)</f>
        <v>385079550.97149998</v>
      </c>
      <c r="E35" s="856">
        <f>GenAssumptions!F54*GenAssumptions!F57*(PED!F70+DISTRICT!F42)+GenAssumptions!F54*GenAssumptions!F58*(PED!F66+DISTRICT!F43)</f>
        <v>410710445.88416314</v>
      </c>
      <c r="F35" s="856">
        <f>GenAssumptions!G54*GenAssumptions!G57*(PED!G70+DISTRICT!G42)+GenAssumptions!G54*GenAssumptions!G58*(PED!G66+DISTRICT!G43)</f>
        <v>437217698.06152701</v>
      </c>
      <c r="G35" s="856">
        <f>GenAssumptions!H54*GenAssumptions!H57*(PED!H70+DISTRICT!H42)+GenAssumptions!H54*GenAssumptions!H58*(PED!H66+DISTRICT!H43)</f>
        <v>385079550.97149998</v>
      </c>
      <c r="H35" s="856">
        <f>GenAssumptions!I54*GenAssumptions!I57*(PED!I70+DISTRICT!I42)+GenAssumptions!I54*GenAssumptions!I58*(PED!I66+DISTRICT!I43)</f>
        <v>385079550.97149998</v>
      </c>
    </row>
    <row r="36" spans="1:8" x14ac:dyDescent="0.25">
      <c r="A36" s="874" t="s">
        <v>827</v>
      </c>
      <c r="B36" s="867"/>
      <c r="C36" s="870">
        <f>C34/'Totals and Scenarios'!D11</f>
        <v>0.12003843305278011</v>
      </c>
      <c r="D36" s="870">
        <f>D34/'Totals and Scenarios'!E11</f>
        <v>0.12003843305278011</v>
      </c>
      <c r="E36" s="870">
        <f>E34/'Totals and Scenarios'!F11</f>
        <v>0.11583636852090369</v>
      </c>
      <c r="F36" s="870">
        <f>F34/'Totals and Scenarios'!G11</f>
        <v>0.11102575391106756</v>
      </c>
      <c r="G36" s="870">
        <f>G34/'Totals and Scenarios'!H11</f>
        <v>9.2646863371227808E-2</v>
      </c>
      <c r="H36" s="870">
        <f>H34/'Totals and Scenarios'!I11</f>
        <v>8.6334798738267937E-2</v>
      </c>
    </row>
    <row r="37" spans="1:8" x14ac:dyDescent="0.25">
      <c r="A37" s="882" t="s">
        <v>829</v>
      </c>
      <c r="B37" s="855"/>
      <c r="C37" s="883">
        <f>C35/'Totals and Scenarios'!D11</f>
        <v>0.16995024679608017</v>
      </c>
      <c r="D37" s="883">
        <f>D35/'Totals and Scenarios'!E11</f>
        <v>0.16995024679608017</v>
      </c>
      <c r="E37" s="883">
        <f>E35/'Totals and Scenarios'!F11</f>
        <v>0.17318502396946109</v>
      </c>
      <c r="F37" s="883">
        <f>F35/'Totals and Scenarios'!G11</f>
        <v>0.17495636297233838</v>
      </c>
      <c r="G37" s="883">
        <f>G35/'Totals and Scenarios'!H11</f>
        <v>0.1311693004847852</v>
      </c>
      <c r="H37" s="883">
        <f>H35/'Totals and Scenarios'!I11</f>
        <v>0.12223268814419704</v>
      </c>
    </row>
    <row r="38" spans="1:8" x14ac:dyDescent="0.25">
      <c r="A38" s="868"/>
      <c r="B38" s="867"/>
      <c r="C38" s="862"/>
      <c r="D38" s="862"/>
      <c r="E38" s="862"/>
      <c r="F38" s="862"/>
      <c r="G38" s="862"/>
      <c r="H38" s="862"/>
    </row>
    <row r="39" spans="1:8" x14ac:dyDescent="0.25">
      <c r="B39" t="s">
        <v>815</v>
      </c>
      <c r="C39" s="840">
        <f>'Totals and Scenarios'!D11</f>
        <v>2265836962.470252</v>
      </c>
      <c r="D39" s="841"/>
      <c r="E39" s="841"/>
      <c r="F39" s="841"/>
      <c r="G39" s="840">
        <f>'Totals and Scenarios'!H11-DISTRICT!H25-(DISTRICT!H20*0.9)</f>
        <v>2165961469.8302522</v>
      </c>
      <c r="H39" s="840">
        <f>'Totals and Scenarios'!I11</f>
        <v>3150381103.5982809</v>
      </c>
    </row>
    <row r="40" spans="1:8" x14ac:dyDescent="0.25">
      <c r="B40" t="s">
        <v>816</v>
      </c>
      <c r="C40" s="840">
        <f>'Totals and Scenarios'!D13</f>
        <v>804000000</v>
      </c>
      <c r="D40" s="840"/>
      <c r="E40" s="840"/>
      <c r="F40" s="840"/>
      <c r="G40" s="840">
        <f>'Totals and Scenarios'!H13</f>
        <v>804000000</v>
      </c>
      <c r="H40" s="840">
        <f>'Totals and Scenarios'!I13</f>
        <v>804000000</v>
      </c>
    </row>
    <row r="41" spans="1:8" x14ac:dyDescent="0.25">
      <c r="B41" t="s">
        <v>434</v>
      </c>
      <c r="C41" s="841">
        <f t="shared" ref="C41:F41" si="18">SUM(C39:C40)</f>
        <v>3069836962.470252</v>
      </c>
      <c r="D41" s="841">
        <f t="shared" si="18"/>
        <v>0</v>
      </c>
      <c r="E41" s="841">
        <f t="shared" si="18"/>
        <v>0</v>
      </c>
      <c r="F41" s="841">
        <f t="shared" si="18"/>
        <v>0</v>
      </c>
      <c r="G41" s="841">
        <f>SUM(G39:G40)</f>
        <v>2969961469.8302522</v>
      </c>
      <c r="H41" s="841">
        <f>SUM(H39:H40)</f>
        <v>3954381103.5982809</v>
      </c>
    </row>
  </sheetData>
  <mergeCells count="2">
    <mergeCell ref="D2:F2"/>
    <mergeCell ref="K2:M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showGridLines="0" topLeftCell="A13" workbookViewId="0">
      <selection activeCell="C47" sqref="C47"/>
    </sheetView>
  </sheetViews>
  <sheetFormatPr defaultRowHeight="12.75" x14ac:dyDescent="0.2"/>
  <cols>
    <col min="1" max="1" width="6.28515625" style="249" customWidth="1"/>
    <col min="2" max="2" width="9.5703125" style="28" customWidth="1"/>
    <col min="3" max="3" width="80.42578125" style="28" customWidth="1"/>
    <col min="4" max="16384" width="9.140625" style="28"/>
  </cols>
  <sheetData>
    <row r="1" spans="1:4" ht="25.5" customHeight="1" x14ac:dyDescent="0.3">
      <c r="B1" s="151" t="s">
        <v>358</v>
      </c>
      <c r="C1" s="60"/>
      <c r="D1" s="249"/>
    </row>
    <row r="2" spans="1:4" x14ac:dyDescent="0.2">
      <c r="B2" s="60" t="s">
        <v>359</v>
      </c>
      <c r="C2" s="60" t="s">
        <v>401</v>
      </c>
    </row>
    <row r="3" spans="1:4" x14ac:dyDescent="0.2">
      <c r="B3" s="59" t="s">
        <v>242</v>
      </c>
      <c r="C3" s="61"/>
    </row>
    <row r="4" spans="1:4" x14ac:dyDescent="0.2">
      <c r="B4" s="31" t="s">
        <v>555</v>
      </c>
      <c r="C4" s="58" t="str">
        <f>DBE!B1</f>
        <v>National Management</v>
      </c>
    </row>
    <row r="5" spans="1:4" x14ac:dyDescent="0.2">
      <c r="B5" s="31"/>
      <c r="C5" s="30" t="s">
        <v>486</v>
      </c>
    </row>
    <row r="6" spans="1:4" x14ac:dyDescent="0.2">
      <c r="B6" s="31"/>
      <c r="C6" s="30" t="s">
        <v>556</v>
      </c>
    </row>
    <row r="7" spans="1:4" x14ac:dyDescent="0.2">
      <c r="B7" s="31" t="s">
        <v>557</v>
      </c>
      <c r="C7" s="58" t="str">
        <f>PED!B1</f>
        <v>Provincial Management</v>
      </c>
    </row>
    <row r="8" spans="1:4" x14ac:dyDescent="0.2">
      <c r="B8" s="31"/>
      <c r="C8" s="30" t="s">
        <v>486</v>
      </c>
    </row>
    <row r="9" spans="1:4" x14ac:dyDescent="0.2">
      <c r="B9" s="31"/>
      <c r="C9" s="30" t="s">
        <v>549</v>
      </c>
    </row>
    <row r="10" spans="1:4" x14ac:dyDescent="0.2">
      <c r="B10" s="31" t="s">
        <v>550</v>
      </c>
      <c r="C10" s="58" t="str">
        <f>DISTRICT!B1</f>
        <v>District Management</v>
      </c>
    </row>
    <row r="11" spans="1:4" x14ac:dyDescent="0.2">
      <c r="B11" s="31"/>
      <c r="C11" s="30" t="s">
        <v>486</v>
      </c>
    </row>
    <row r="12" spans="1:4" x14ac:dyDescent="0.2">
      <c r="B12" s="31"/>
      <c r="C12" s="30" t="s">
        <v>489</v>
      </c>
    </row>
    <row r="13" spans="1:4" x14ac:dyDescent="0.2">
      <c r="B13" s="31"/>
      <c r="C13" s="30" t="s">
        <v>559</v>
      </c>
    </row>
    <row r="15" spans="1:4" x14ac:dyDescent="0.2">
      <c r="A15" s="250"/>
      <c r="B15" s="463"/>
      <c r="C15" s="463"/>
    </row>
    <row r="16" spans="1:4" ht="26.25" x14ac:dyDescent="0.4">
      <c r="A16" s="251"/>
      <c r="B16" s="464" t="s">
        <v>357</v>
      </c>
      <c r="C16" s="231"/>
    </row>
    <row r="17" spans="1:8" x14ac:dyDescent="0.2">
      <c r="A17" s="250"/>
      <c r="B17" s="463"/>
      <c r="C17" s="463"/>
    </row>
    <row r="18" spans="1:8" x14ac:dyDescent="0.2">
      <c r="B18" s="465"/>
      <c r="C18" s="465"/>
    </row>
    <row r="19" spans="1:8" ht="14.25" x14ac:dyDescent="0.2">
      <c r="A19" s="466" t="s">
        <v>362</v>
      </c>
      <c r="B19" s="467" t="str">
        <f>C4</f>
        <v>National Management</v>
      </c>
      <c r="D19" s="468" t="s">
        <v>360</v>
      </c>
    </row>
    <row r="20" spans="1:8" ht="14.25" x14ac:dyDescent="0.2">
      <c r="A20" s="466"/>
      <c r="B20" s="469" t="s">
        <v>558</v>
      </c>
      <c r="D20" s="468"/>
    </row>
    <row r="21" spans="1:8" x14ac:dyDescent="0.2">
      <c r="A21" s="28"/>
      <c r="B21" s="470" t="s">
        <v>410</v>
      </c>
      <c r="C21" s="398"/>
    </row>
    <row r="22" spans="1:8" ht="15" customHeight="1" x14ac:dyDescent="0.2">
      <c r="A22" s="28"/>
      <c r="B22" s="471" t="s">
        <v>406</v>
      </c>
      <c r="C22" s="345"/>
    </row>
    <row r="23" spans="1:8" x14ac:dyDescent="0.2">
      <c r="A23" s="28"/>
      <c r="B23" s="471" t="s">
        <v>407</v>
      </c>
      <c r="C23" s="30"/>
    </row>
    <row r="24" spans="1:8" x14ac:dyDescent="0.2">
      <c r="A24" s="28"/>
      <c r="B24" s="471" t="s">
        <v>480</v>
      </c>
      <c r="C24" s="30"/>
    </row>
    <row r="25" spans="1:8" x14ac:dyDescent="0.2">
      <c r="A25" s="28"/>
      <c r="B25" s="471" t="s">
        <v>408</v>
      </c>
      <c r="C25" s="30"/>
    </row>
    <row r="26" spans="1:8" x14ac:dyDescent="0.2">
      <c r="A26" s="28"/>
      <c r="B26" s="472" t="s">
        <v>477</v>
      </c>
      <c r="C26" s="30"/>
    </row>
    <row r="27" spans="1:8" x14ac:dyDescent="0.2">
      <c r="A27" s="28"/>
      <c r="B27" s="472" t="s">
        <v>478</v>
      </c>
      <c r="C27" s="30"/>
    </row>
    <row r="28" spans="1:8" x14ac:dyDescent="0.2">
      <c r="A28" s="28"/>
      <c r="B28" s="471" t="s">
        <v>411</v>
      </c>
      <c r="C28" s="30"/>
    </row>
    <row r="29" spans="1:8" x14ac:dyDescent="0.2">
      <c r="A29" s="28"/>
      <c r="B29" s="469" t="s">
        <v>556</v>
      </c>
      <c r="C29" s="30"/>
    </row>
    <row r="30" spans="1:8" x14ac:dyDescent="0.2">
      <c r="A30" s="28"/>
      <c r="B30" s="471" t="s">
        <v>560</v>
      </c>
      <c r="C30" s="30"/>
      <c r="E30" s="386"/>
      <c r="F30" s="386"/>
      <c r="G30" s="386"/>
      <c r="H30" s="386"/>
    </row>
    <row r="31" spans="1:8" x14ac:dyDescent="0.2">
      <c r="A31" s="28"/>
      <c r="B31" s="472" t="s">
        <v>477</v>
      </c>
      <c r="C31" s="472"/>
      <c r="E31" s="386"/>
      <c r="F31" s="386"/>
      <c r="G31" s="386"/>
      <c r="H31" s="386"/>
    </row>
    <row r="32" spans="1:8" x14ac:dyDescent="0.2">
      <c r="A32" s="28"/>
      <c r="B32" s="472" t="s">
        <v>567</v>
      </c>
      <c r="C32" s="30"/>
      <c r="E32" s="386"/>
      <c r="F32" s="386"/>
      <c r="G32" s="386"/>
      <c r="H32" s="386"/>
    </row>
    <row r="33" spans="1:8" x14ac:dyDescent="0.2">
      <c r="A33" s="28"/>
      <c r="B33" s="472" t="s">
        <v>568</v>
      </c>
      <c r="C33" s="30"/>
      <c r="E33" s="386"/>
      <c r="F33" s="386"/>
      <c r="G33" s="386"/>
      <c r="H33" s="386"/>
    </row>
    <row r="34" spans="1:8" x14ac:dyDescent="0.2">
      <c r="A34" s="28"/>
      <c r="B34" s="472" t="s">
        <v>411</v>
      </c>
      <c r="C34" s="30"/>
      <c r="E34" s="386"/>
      <c r="F34" s="386"/>
      <c r="G34" s="386"/>
      <c r="H34" s="386"/>
    </row>
    <row r="35" spans="1:8" x14ac:dyDescent="0.2">
      <c r="A35" s="28"/>
      <c r="B35" s="471" t="s">
        <v>561</v>
      </c>
      <c r="C35" s="30"/>
    </row>
    <row r="36" spans="1:8" x14ac:dyDescent="0.2">
      <c r="A36" s="28"/>
      <c r="B36" s="472" t="s">
        <v>569</v>
      </c>
      <c r="C36" s="30"/>
    </row>
    <row r="37" spans="1:8" x14ac:dyDescent="0.2">
      <c r="A37" s="28"/>
      <c r="B37" s="471" t="s">
        <v>562</v>
      </c>
      <c r="C37" s="30"/>
    </row>
    <row r="38" spans="1:8" x14ac:dyDescent="0.2">
      <c r="A38" s="28"/>
      <c r="B38" s="472" t="s">
        <v>563</v>
      </c>
    </row>
    <row r="39" spans="1:8" x14ac:dyDescent="0.2">
      <c r="A39" s="28"/>
      <c r="B39" s="472" t="s">
        <v>564</v>
      </c>
    </row>
    <row r="40" spans="1:8" x14ac:dyDescent="0.2">
      <c r="A40" s="28"/>
      <c r="B40" s="472" t="s">
        <v>565</v>
      </c>
    </row>
    <row r="41" spans="1:8" x14ac:dyDescent="0.2">
      <c r="A41" s="28"/>
      <c r="B41" s="472" t="s">
        <v>566</v>
      </c>
    </row>
    <row r="42" spans="1:8" x14ac:dyDescent="0.2">
      <c r="A42" s="28"/>
    </row>
    <row r="43" spans="1:8" s="247" customFormat="1" ht="14.25" x14ac:dyDescent="0.25">
      <c r="A43" s="466" t="s">
        <v>362</v>
      </c>
      <c r="B43" s="473" t="str">
        <f>C7</f>
        <v>Provincial Management</v>
      </c>
      <c r="C43" s="474"/>
      <c r="D43" s="468" t="s">
        <v>360</v>
      </c>
    </row>
    <row r="44" spans="1:8" s="247" customFormat="1" ht="14.25" x14ac:dyDescent="0.25">
      <c r="A44" s="475"/>
      <c r="B44" s="469" t="s">
        <v>558</v>
      </c>
      <c r="C44" s="474"/>
      <c r="D44" s="476"/>
    </row>
    <row r="45" spans="1:8" s="247" customFormat="1" ht="14.25" x14ac:dyDescent="0.2">
      <c r="A45" s="475"/>
      <c r="B45" s="477" t="s">
        <v>413</v>
      </c>
      <c r="C45" s="478"/>
      <c r="D45" s="476"/>
    </row>
    <row r="46" spans="1:8" s="247" customFormat="1" ht="14.25" x14ac:dyDescent="0.2">
      <c r="A46" s="475"/>
      <c r="B46" s="477" t="s">
        <v>480</v>
      </c>
      <c r="C46" s="478"/>
      <c r="D46" s="476"/>
    </row>
    <row r="47" spans="1:8" s="247" customFormat="1" ht="14.25" x14ac:dyDescent="0.2">
      <c r="A47" s="475"/>
      <c r="B47" s="477" t="s">
        <v>417</v>
      </c>
      <c r="C47" s="478"/>
      <c r="D47" s="476"/>
    </row>
    <row r="48" spans="1:8" s="247" customFormat="1" ht="14.25" x14ac:dyDescent="0.2">
      <c r="A48" s="475"/>
      <c r="B48" s="86" t="s">
        <v>477</v>
      </c>
      <c r="C48" s="478"/>
      <c r="D48" s="476"/>
    </row>
    <row r="49" spans="1:4" s="247" customFormat="1" ht="14.25" x14ac:dyDescent="0.2">
      <c r="A49" s="475"/>
      <c r="B49" s="86" t="s">
        <v>570</v>
      </c>
      <c r="C49" s="478"/>
      <c r="D49" s="476"/>
    </row>
    <row r="50" spans="1:4" s="247" customFormat="1" ht="14.25" x14ac:dyDescent="0.2">
      <c r="A50" s="475"/>
      <c r="B50" s="477" t="s">
        <v>411</v>
      </c>
      <c r="C50" s="478"/>
      <c r="D50" s="476"/>
    </row>
    <row r="51" spans="1:4" s="247" customFormat="1" ht="14.25" x14ac:dyDescent="0.25">
      <c r="A51" s="475"/>
      <c r="B51" s="469" t="s">
        <v>549</v>
      </c>
      <c r="C51" s="478"/>
      <c r="D51" s="476"/>
    </row>
    <row r="52" spans="1:4" s="247" customFormat="1" ht="14.25" x14ac:dyDescent="0.2">
      <c r="A52" s="475"/>
      <c r="B52" s="51" t="s">
        <v>418</v>
      </c>
      <c r="C52" s="478"/>
      <c r="D52" s="476"/>
    </row>
    <row r="53" spans="1:4" s="247" customFormat="1" ht="14.25" x14ac:dyDescent="0.2">
      <c r="A53" s="475"/>
      <c r="B53" s="51" t="s">
        <v>419</v>
      </c>
      <c r="C53" s="478"/>
      <c r="D53" s="476"/>
    </row>
    <row r="54" spans="1:4" s="247" customFormat="1" ht="14.25" x14ac:dyDescent="0.2">
      <c r="A54" s="475"/>
      <c r="B54" s="51" t="s">
        <v>420</v>
      </c>
      <c r="C54" s="478"/>
      <c r="D54" s="476"/>
    </row>
    <row r="55" spans="1:4" s="247" customFormat="1" ht="14.25" x14ac:dyDescent="0.2">
      <c r="A55" s="475"/>
      <c r="B55" s="51" t="s">
        <v>421</v>
      </c>
      <c r="C55" s="478"/>
      <c r="D55" s="476"/>
    </row>
    <row r="56" spans="1:4" s="247" customFormat="1" x14ac:dyDescent="0.2">
      <c r="A56" s="252"/>
      <c r="B56" s="51" t="s">
        <v>422</v>
      </c>
      <c r="C56" s="479"/>
    </row>
    <row r="57" spans="1:4" s="247" customFormat="1" x14ac:dyDescent="0.25">
      <c r="A57" s="252"/>
    </row>
    <row r="58" spans="1:4" s="247" customFormat="1" ht="14.25" x14ac:dyDescent="0.25">
      <c r="A58" s="466" t="s">
        <v>362</v>
      </c>
      <c r="B58" s="467" t="str">
        <f>C10</f>
        <v>District Management</v>
      </c>
      <c r="D58" s="468" t="s">
        <v>360</v>
      </c>
    </row>
    <row r="59" spans="1:4" s="247" customFormat="1" x14ac:dyDescent="0.2">
      <c r="A59" s="252"/>
      <c r="B59" s="51" t="s">
        <v>418</v>
      </c>
      <c r="C59" s="480"/>
    </row>
    <row r="60" spans="1:4" s="247" customFormat="1" x14ac:dyDescent="0.2">
      <c r="A60" s="252"/>
      <c r="B60" s="51" t="s">
        <v>419</v>
      </c>
      <c r="C60" s="480"/>
    </row>
    <row r="61" spans="1:4" s="247" customFormat="1" x14ac:dyDescent="0.2">
      <c r="A61" s="252"/>
      <c r="B61" s="51" t="s">
        <v>420</v>
      </c>
      <c r="C61" s="480"/>
    </row>
    <row r="62" spans="1:4" s="247" customFormat="1" x14ac:dyDescent="0.2">
      <c r="A62" s="252"/>
      <c r="B62" s="481" t="s">
        <v>425</v>
      </c>
      <c r="C62" s="480"/>
    </row>
    <row r="63" spans="1:4" s="247" customFormat="1" x14ac:dyDescent="0.2">
      <c r="A63" s="252"/>
      <c r="B63" s="481" t="s">
        <v>426</v>
      </c>
      <c r="C63" s="480"/>
    </row>
    <row r="64" spans="1:4" s="247" customFormat="1" x14ac:dyDescent="0.2">
      <c r="A64" s="252"/>
      <c r="B64" s="481" t="s">
        <v>427</v>
      </c>
      <c r="C64" s="480"/>
    </row>
    <row r="65" spans="1:3" s="247" customFormat="1" x14ac:dyDescent="0.2">
      <c r="A65" s="252"/>
      <c r="B65" s="51" t="s">
        <v>428</v>
      </c>
      <c r="C65" s="480"/>
    </row>
    <row r="66" spans="1:3" s="247" customFormat="1" x14ac:dyDescent="0.2">
      <c r="A66" s="252"/>
      <c r="B66" s="481" t="s">
        <v>429</v>
      </c>
      <c r="C66" s="480"/>
    </row>
    <row r="67" spans="1:3" s="247" customFormat="1" x14ac:dyDescent="0.2">
      <c r="A67" s="252"/>
      <c r="B67" s="481" t="s">
        <v>430</v>
      </c>
      <c r="C67" s="480"/>
    </row>
    <row r="68" spans="1:3" s="247" customFormat="1" x14ac:dyDescent="0.2">
      <c r="A68" s="252"/>
      <c r="B68" s="481" t="s">
        <v>431</v>
      </c>
      <c r="C68" s="480"/>
    </row>
    <row r="69" spans="1:3" s="247" customFormat="1" x14ac:dyDescent="0.2">
      <c r="A69" s="252"/>
      <c r="B69" s="481" t="s">
        <v>432</v>
      </c>
      <c r="C69" s="480"/>
    </row>
    <row r="70" spans="1:3" s="247" customFormat="1" x14ac:dyDescent="0.2">
      <c r="A70" s="252"/>
      <c r="B70" s="481" t="s">
        <v>421</v>
      </c>
      <c r="C70" s="480"/>
    </row>
    <row r="71" spans="1:3" s="247" customFormat="1" x14ac:dyDescent="0.2">
      <c r="A71" s="252"/>
      <c r="B71" s="51" t="s">
        <v>421</v>
      </c>
      <c r="C71" s="480"/>
    </row>
    <row r="72" spans="1:3" s="247" customFormat="1" x14ac:dyDescent="0.2">
      <c r="A72" s="252"/>
      <c r="B72" s="51" t="s">
        <v>422</v>
      </c>
      <c r="C72" s="482"/>
    </row>
    <row r="73" spans="1:3" s="247" customFormat="1" x14ac:dyDescent="0.2">
      <c r="A73" s="252"/>
      <c r="B73" s="51" t="s">
        <v>423</v>
      </c>
      <c r="C73" s="483"/>
    </row>
    <row r="74" spans="1:3" s="247" customFormat="1" x14ac:dyDescent="0.2">
      <c r="A74" s="252"/>
      <c r="B74" s="51" t="s">
        <v>424</v>
      </c>
    </row>
    <row r="75" spans="1:3" s="247" customFormat="1" x14ac:dyDescent="0.25">
      <c r="A75" s="252"/>
    </row>
    <row r="76" spans="1:3" s="247" customFormat="1" x14ac:dyDescent="0.25">
      <c r="A76" s="252"/>
    </row>
    <row r="77" spans="1:3" s="247" customFormat="1" x14ac:dyDescent="0.25">
      <c r="A77" s="252"/>
    </row>
    <row r="78" spans="1:3" s="247" customFormat="1" x14ac:dyDescent="0.25">
      <c r="A78" s="252"/>
    </row>
    <row r="79" spans="1:3" s="247" customFormat="1" x14ac:dyDescent="0.25">
      <c r="A79" s="252"/>
      <c r="B79" s="345"/>
    </row>
    <row r="80" spans="1:3" s="247" customFormat="1" x14ac:dyDescent="0.25">
      <c r="A80" s="252"/>
    </row>
    <row r="81" spans="1:1" s="247" customFormat="1" x14ac:dyDescent="0.25">
      <c r="A81" s="252"/>
    </row>
    <row r="82" spans="1:1" s="247" customFormat="1" x14ac:dyDescent="0.25">
      <c r="A82" s="252"/>
    </row>
    <row r="83" spans="1:1" s="247" customFormat="1" x14ac:dyDescent="0.25">
      <c r="A83" s="252"/>
    </row>
    <row r="84" spans="1:1" s="247" customFormat="1" x14ac:dyDescent="0.25">
      <c r="A84" s="252"/>
    </row>
    <row r="85" spans="1:1" s="247" customFormat="1" x14ac:dyDescent="0.25">
      <c r="A85" s="252"/>
    </row>
    <row r="86" spans="1:1" s="247" customFormat="1" x14ac:dyDescent="0.25">
      <c r="A86" s="252"/>
    </row>
    <row r="87" spans="1:1" s="247" customFormat="1" x14ac:dyDescent="0.25">
      <c r="A87" s="252"/>
    </row>
    <row r="88" spans="1:1" s="247" customFormat="1" x14ac:dyDescent="0.25">
      <c r="A88" s="252"/>
    </row>
    <row r="89" spans="1:1" s="247" customFormat="1" x14ac:dyDescent="0.25">
      <c r="A89" s="252"/>
    </row>
    <row r="90" spans="1:1" s="247" customFormat="1" x14ac:dyDescent="0.25">
      <c r="A90" s="252"/>
    </row>
    <row r="91" spans="1:1" s="247" customFormat="1" x14ac:dyDescent="0.25">
      <c r="A91" s="252"/>
    </row>
    <row r="92" spans="1:1" s="247" customFormat="1" x14ac:dyDescent="0.25">
      <c r="A92" s="252"/>
    </row>
    <row r="93" spans="1:1" s="247" customFormat="1" x14ac:dyDescent="0.25">
      <c r="A93" s="252"/>
    </row>
    <row r="94" spans="1:1" s="247" customFormat="1" x14ac:dyDescent="0.25">
      <c r="A94" s="252"/>
    </row>
    <row r="95" spans="1:1" s="247" customFormat="1" x14ac:dyDescent="0.25">
      <c r="A95" s="252"/>
    </row>
    <row r="96" spans="1:1" s="247" customFormat="1" x14ac:dyDescent="0.25">
      <c r="A96" s="252"/>
    </row>
    <row r="97" spans="1:1" s="247" customFormat="1" x14ac:dyDescent="0.25">
      <c r="A97" s="252"/>
    </row>
    <row r="98" spans="1:1" s="247" customFormat="1" x14ac:dyDescent="0.25">
      <c r="A98" s="252"/>
    </row>
    <row r="99" spans="1:1" s="247" customFormat="1" x14ac:dyDescent="0.25">
      <c r="A99" s="252"/>
    </row>
    <row r="100" spans="1:1" s="247" customFormat="1" x14ac:dyDescent="0.25">
      <c r="A100" s="252"/>
    </row>
    <row r="101" spans="1:1" s="247" customFormat="1" x14ac:dyDescent="0.25">
      <c r="A101" s="252"/>
    </row>
    <row r="102" spans="1:1" s="247" customFormat="1" x14ac:dyDescent="0.25">
      <c r="A102" s="252"/>
    </row>
    <row r="103" spans="1:1" s="247" customFormat="1" x14ac:dyDescent="0.25">
      <c r="A103" s="252"/>
    </row>
    <row r="104" spans="1:1" s="247" customFormat="1" x14ac:dyDescent="0.25">
      <c r="A104" s="252"/>
    </row>
    <row r="105" spans="1:1" s="247" customFormat="1" x14ac:dyDescent="0.25">
      <c r="A105" s="252"/>
    </row>
    <row r="106" spans="1:1" s="247" customFormat="1" x14ac:dyDescent="0.25">
      <c r="A106" s="252"/>
    </row>
    <row r="107" spans="1:1" s="247" customFormat="1" x14ac:dyDescent="0.25">
      <c r="A107" s="252"/>
    </row>
    <row r="108" spans="1:1" s="247" customFormat="1" x14ac:dyDescent="0.25">
      <c r="A108" s="252"/>
    </row>
    <row r="109" spans="1:1" s="247" customFormat="1" x14ac:dyDescent="0.25">
      <c r="A109" s="252"/>
    </row>
  </sheetData>
  <sheetProtection sheet="1" objects="1" scenarios="1"/>
  <hyperlinks>
    <hyperlink ref="C7" location="_SD_Provincial_Management" display="_SD_Provincial_Management"/>
    <hyperlink ref="C10" location="_SD_District_Management" display="_SD_District_Management"/>
    <hyperlink ref="D43" location="'Service Descriptions'!A1" display="TOP"/>
    <hyperlink ref="A43" location="'4.1.1'!A1" display="Go to"/>
    <hyperlink ref="A58" location="'4.1.3'!A1" display="Go to"/>
    <hyperlink ref="D19" location="'Service Descriptions'!A1" display="TOP"/>
    <hyperlink ref="A19" location="DBE!A1" display="Go to"/>
    <hyperlink ref="C4" location="_SD_National_Management" display="_SD_National_Management"/>
    <hyperlink ref="D58" location="'Service Descriptions'!A1" display="TOP"/>
  </hyperlink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81"/>
  <sheetViews>
    <sheetView showGridLines="0" workbookViewId="0">
      <pane xSplit="3" ySplit="1" topLeftCell="D2" activePane="bottomRight" state="frozen"/>
      <selection pane="topRight" activeCell="D1" sqref="D1"/>
      <selection pane="bottomLeft" activeCell="A2" sqref="A2"/>
      <selection pane="bottomRight" activeCell="C9" sqref="C9"/>
    </sheetView>
  </sheetViews>
  <sheetFormatPr defaultRowHeight="15" x14ac:dyDescent="0.25"/>
  <cols>
    <col min="1" max="1" width="2" style="28" customWidth="1"/>
    <col min="2" max="2" width="7.7109375" style="28" customWidth="1"/>
    <col min="3" max="3" width="61.7109375" style="28" customWidth="1"/>
    <col min="4" max="6" width="18.28515625" customWidth="1"/>
    <col min="7" max="7" width="2.28515625" style="28" customWidth="1"/>
    <col min="8" max="10" width="18.28515625" style="28" customWidth="1"/>
    <col min="11" max="16384" width="9.140625" style="28"/>
  </cols>
  <sheetData>
    <row r="1" spans="2:10" ht="20.25" x14ac:dyDescent="0.3">
      <c r="B1" s="151" t="s">
        <v>355</v>
      </c>
      <c r="C1" s="235"/>
      <c r="D1" s="151" t="s">
        <v>336</v>
      </c>
      <c r="E1" s="60"/>
      <c r="F1" s="241"/>
      <c r="H1" s="151" t="s">
        <v>353</v>
      </c>
      <c r="I1" s="235"/>
      <c r="J1" s="235"/>
    </row>
    <row r="2" spans="2:10" ht="15.75" x14ac:dyDescent="0.25">
      <c r="D2" s="267" t="s">
        <v>371</v>
      </c>
      <c r="E2" s="267" t="s">
        <v>372</v>
      </c>
      <c r="F2" s="267" t="s">
        <v>373</v>
      </c>
      <c r="H2" s="123" t="s">
        <v>277</v>
      </c>
      <c r="I2" s="124" t="s">
        <v>278</v>
      </c>
      <c r="J2" s="125" t="s">
        <v>279</v>
      </c>
    </row>
    <row r="3" spans="2:10" ht="13.5" thickBot="1" x14ac:dyDescent="0.25">
      <c r="B3" s="59" t="s">
        <v>242</v>
      </c>
      <c r="C3" s="61"/>
      <c r="D3" s="126" t="e">
        <f>SUM(D4,D8,D10,D15,D20,D26,D31,D35,D41,D48)</f>
        <v>#REF!</v>
      </c>
      <c r="E3" s="126" t="e">
        <f t="shared" ref="E3:F3" si="0">SUM(E4,E8,E10,E15,E20,E26,E31,E35,E41,E48)</f>
        <v>#REF!</v>
      </c>
      <c r="F3" s="126" t="e">
        <f t="shared" si="0"/>
        <v>#REF!</v>
      </c>
      <c r="H3" s="126" t="e">
        <f>SUM(H4,H8,H10,H15,H20,H26,H31,H35,H41,H48)</f>
        <v>#REF!</v>
      </c>
      <c r="I3" s="126" t="e">
        <f t="shared" ref="I3:J3" si="1">SUM(I4,I8,I10,I15,I20,I26,I31,I35,I41,I48)</f>
        <v>#REF!</v>
      </c>
      <c r="J3" s="126" t="e">
        <f t="shared" si="1"/>
        <v>#REF!</v>
      </c>
    </row>
    <row r="4" spans="2:10" ht="13.5" thickTop="1" x14ac:dyDescent="0.2">
      <c r="B4" s="31" t="s">
        <v>231</v>
      </c>
      <c r="C4" s="58" t="s">
        <v>19</v>
      </c>
      <c r="D4" s="127" t="e">
        <f>SUM(D5:D6)</f>
        <v>#REF!</v>
      </c>
      <c r="E4" s="128" t="e">
        <f t="shared" ref="E4:F4" si="2">SUM(E5:E6)</f>
        <v>#REF!</v>
      </c>
      <c r="F4" s="129" t="e">
        <f t="shared" si="2"/>
        <v>#REF!</v>
      </c>
      <c r="H4" s="127" t="e">
        <f>SUM(H5:H6)</f>
        <v>#REF!</v>
      </c>
      <c r="I4" s="236" t="e">
        <f t="shared" ref="I4:J4" si="3">SUM(I5:I6)</f>
        <v>#REF!</v>
      </c>
      <c r="J4" s="129" t="e">
        <f t="shared" si="3"/>
        <v>#REF!</v>
      </c>
    </row>
    <row r="5" spans="2:10" ht="12.75" x14ac:dyDescent="0.2">
      <c r="B5" s="31"/>
      <c r="C5" s="30" t="e">
        <f>#REF!</f>
        <v>#REF!</v>
      </c>
      <c r="D5" s="130" t="e">
        <f>#REF!+#REF!+#REF!</f>
        <v>#REF!</v>
      </c>
      <c r="E5" s="237" t="e">
        <f>#REF!+#REF!+#REF!</f>
        <v>#REF!</v>
      </c>
      <c r="F5" s="132" t="e">
        <f>#REF!+#REF!+#REF!</f>
        <v>#REF!</v>
      </c>
      <c r="H5" s="130" t="e">
        <f>#REF!</f>
        <v>#REF!</v>
      </c>
      <c r="I5" s="237" t="e">
        <f>#REF!</f>
        <v>#REF!</v>
      </c>
      <c r="J5" s="132" t="e">
        <f>#REF!</f>
        <v>#REF!</v>
      </c>
    </row>
    <row r="6" spans="2:10" ht="12.75" x14ac:dyDescent="0.2">
      <c r="B6" s="31"/>
      <c r="C6" s="30" t="e">
        <f>#REF!</f>
        <v>#REF!</v>
      </c>
      <c r="D6" s="130" t="e">
        <f>#REF!+#REF!+#REF!</f>
        <v>#REF!</v>
      </c>
      <c r="E6" s="237" t="e">
        <f>#REF!+#REF!+#REF!</f>
        <v>#REF!</v>
      </c>
      <c r="F6" s="132" t="e">
        <f>#REF!+#REF!+#REF!</f>
        <v>#REF!</v>
      </c>
      <c r="H6" s="130" t="e">
        <f>#REF!</f>
        <v>#REF!</v>
      </c>
      <c r="I6" s="237" t="e">
        <f>#REF!</f>
        <v>#REF!</v>
      </c>
      <c r="J6" s="132" t="e">
        <f>#REF!</f>
        <v>#REF!</v>
      </c>
    </row>
    <row r="7" spans="2:10" ht="12.75" x14ac:dyDescent="0.2">
      <c r="B7" s="31"/>
      <c r="C7" s="30"/>
      <c r="D7" s="130"/>
      <c r="E7" s="237"/>
      <c r="F7" s="132"/>
      <c r="H7" s="130"/>
      <c r="I7" s="237"/>
      <c r="J7" s="132"/>
    </row>
    <row r="8" spans="2:10" ht="12.75" x14ac:dyDescent="0.2">
      <c r="B8" s="31" t="s">
        <v>233</v>
      </c>
      <c r="C8" s="58" t="s">
        <v>26</v>
      </c>
      <c r="D8" s="133" t="e">
        <f>#REF!+#REF!+#REF!</f>
        <v>#REF!</v>
      </c>
      <c r="E8" s="238" t="e">
        <f>#REF!+#REF!+#REF!</f>
        <v>#REF!</v>
      </c>
      <c r="F8" s="135" t="e">
        <f>#REF!+#REF!+#REF!</f>
        <v>#REF!</v>
      </c>
      <c r="H8" s="133" t="e">
        <f>#REF!</f>
        <v>#REF!</v>
      </c>
      <c r="I8" s="238" t="e">
        <f>#REF!</f>
        <v>#REF!</v>
      </c>
      <c r="J8" s="135" t="e">
        <f>#REF!</f>
        <v>#REF!</v>
      </c>
    </row>
    <row r="9" spans="2:10" ht="12.75" x14ac:dyDescent="0.2">
      <c r="B9" s="31"/>
      <c r="C9" s="58"/>
      <c r="D9" s="133"/>
      <c r="E9" s="238"/>
      <c r="F9" s="135"/>
      <c r="H9" s="133"/>
      <c r="I9" s="238"/>
      <c r="J9" s="135"/>
    </row>
    <row r="10" spans="2:10" ht="12.75" x14ac:dyDescent="0.2">
      <c r="B10" s="31" t="s">
        <v>234</v>
      </c>
      <c r="C10" s="58" t="s">
        <v>29</v>
      </c>
      <c r="D10" s="133" t="e">
        <f>SUM(D11:D13)</f>
        <v>#REF!</v>
      </c>
      <c r="E10" s="134" t="e">
        <f t="shared" ref="E10:F10" si="4">SUM(E11:E13)</f>
        <v>#REF!</v>
      </c>
      <c r="F10" s="135" t="e">
        <f t="shared" si="4"/>
        <v>#REF!</v>
      </c>
      <c r="H10" s="133" t="e">
        <f>SUM(H11:H13)</f>
        <v>#REF!</v>
      </c>
      <c r="I10" s="238" t="e">
        <f t="shared" ref="I10:J10" si="5">SUM(I11:I13)</f>
        <v>#REF!</v>
      </c>
      <c r="J10" s="135" t="e">
        <f t="shared" si="5"/>
        <v>#REF!</v>
      </c>
    </row>
    <row r="11" spans="2:10" ht="12.75" x14ac:dyDescent="0.2">
      <c r="B11" s="31"/>
      <c r="C11" s="30" t="e">
        <f>#REF!</f>
        <v>#REF!</v>
      </c>
      <c r="D11" s="130" t="e">
        <f>#REF!+#REF!+#REF!</f>
        <v>#REF!</v>
      </c>
      <c r="E11" s="237" t="e">
        <f>#REF!+#REF!+#REF!</f>
        <v>#REF!</v>
      </c>
      <c r="F11" s="132" t="e">
        <f>#REF!+#REF!+#REF!</f>
        <v>#REF!</v>
      </c>
      <c r="H11" s="130" t="e">
        <f>#REF!</f>
        <v>#REF!</v>
      </c>
      <c r="I11" s="237" t="e">
        <f>#REF!</f>
        <v>#REF!</v>
      </c>
      <c r="J11" s="132" t="e">
        <f>#REF!</f>
        <v>#REF!</v>
      </c>
    </row>
    <row r="12" spans="2:10" ht="12.75" x14ac:dyDescent="0.2">
      <c r="B12" s="31"/>
      <c r="C12" s="30" t="e">
        <f>#REF!</f>
        <v>#REF!</v>
      </c>
      <c r="D12" s="130" t="e">
        <f>#REF!+#REF!+#REF!</f>
        <v>#REF!</v>
      </c>
      <c r="E12" s="237" t="e">
        <f>#REF!+#REF!+#REF!</f>
        <v>#REF!</v>
      </c>
      <c r="F12" s="132" t="e">
        <f>#REF!+#REF!+#REF!</f>
        <v>#REF!</v>
      </c>
      <c r="H12" s="130" t="e">
        <f>#REF!</f>
        <v>#REF!</v>
      </c>
      <c r="I12" s="237" t="e">
        <f>#REF!</f>
        <v>#REF!</v>
      </c>
      <c r="J12" s="132" t="e">
        <f>#REF!</f>
        <v>#REF!</v>
      </c>
    </row>
    <row r="13" spans="2:10" ht="12.75" x14ac:dyDescent="0.2">
      <c r="B13" s="31"/>
      <c r="C13" s="30" t="e">
        <f>#REF!</f>
        <v>#REF!</v>
      </c>
      <c r="D13" s="130" t="e">
        <f>#REF!+#REF!+#REF!</f>
        <v>#REF!</v>
      </c>
      <c r="E13" s="237" t="e">
        <f>#REF!+#REF!+#REF!</f>
        <v>#REF!</v>
      </c>
      <c r="F13" s="132" t="e">
        <f>#REF!+#REF!+#REF!</f>
        <v>#REF!</v>
      </c>
      <c r="H13" s="130" t="e">
        <f>#REF!</f>
        <v>#REF!</v>
      </c>
      <c r="I13" s="237" t="e">
        <f>#REF!</f>
        <v>#REF!</v>
      </c>
      <c r="J13" s="132" t="e">
        <f>#REF!</f>
        <v>#REF!</v>
      </c>
    </row>
    <row r="14" spans="2:10" ht="12.75" x14ac:dyDescent="0.2">
      <c r="B14" s="31"/>
      <c r="D14" s="130"/>
      <c r="E14" s="237"/>
      <c r="F14" s="132"/>
      <c r="H14" s="130"/>
      <c r="I14" s="237"/>
      <c r="J14" s="132"/>
    </row>
    <row r="15" spans="2:10" ht="12.75" x14ac:dyDescent="0.2">
      <c r="B15" s="31" t="s">
        <v>235</v>
      </c>
      <c r="C15" s="58" t="s">
        <v>50</v>
      </c>
      <c r="D15" s="133" t="e">
        <f>SUM(D16:D19)</f>
        <v>#REF!</v>
      </c>
      <c r="E15" s="238" t="e">
        <f t="shared" ref="E15:F15" si="6">SUM(E16:E19)</f>
        <v>#REF!</v>
      </c>
      <c r="F15" s="135" t="e">
        <f t="shared" si="6"/>
        <v>#REF!</v>
      </c>
      <c r="H15" s="133" t="e">
        <f>SUM(H16:H19)</f>
        <v>#REF!</v>
      </c>
      <c r="I15" s="238" t="e">
        <f t="shared" ref="I15:J15" si="7">SUM(I16:I19)</f>
        <v>#REF!</v>
      </c>
      <c r="J15" s="135" t="e">
        <f t="shared" si="7"/>
        <v>#REF!</v>
      </c>
    </row>
    <row r="16" spans="2:10" ht="12.75" x14ac:dyDescent="0.2">
      <c r="B16" s="31"/>
      <c r="C16" s="30" t="e">
        <f>#REF!</f>
        <v>#REF!</v>
      </c>
      <c r="D16" s="130" t="e">
        <f>#REF!+#REF!+#REF!</f>
        <v>#REF!</v>
      </c>
      <c r="E16" s="237" t="e">
        <f>#REF!+#REF!+#REF!</f>
        <v>#REF!</v>
      </c>
      <c r="F16" s="132" t="e">
        <f>#REF!+#REF!+#REF!</f>
        <v>#REF!</v>
      </c>
      <c r="H16" s="130" t="e">
        <f>#REF!</f>
        <v>#REF!</v>
      </c>
      <c r="I16" s="237" t="e">
        <f>#REF!</f>
        <v>#REF!</v>
      </c>
      <c r="J16" s="132" t="e">
        <f>#REF!</f>
        <v>#REF!</v>
      </c>
    </row>
    <row r="17" spans="2:10" ht="12.75" x14ac:dyDescent="0.2">
      <c r="B17" s="31"/>
      <c r="C17" s="30" t="e">
        <f>#REF!</f>
        <v>#REF!</v>
      </c>
      <c r="D17" s="130" t="e">
        <f>#REF!+#REF!+#REF!</f>
        <v>#REF!</v>
      </c>
      <c r="E17" s="237" t="e">
        <f>#REF!+#REF!+#REF!</f>
        <v>#REF!</v>
      </c>
      <c r="F17" s="132" t="e">
        <f>#REF!+#REF!+#REF!</f>
        <v>#REF!</v>
      </c>
      <c r="H17" s="130" t="e">
        <f>#REF!</f>
        <v>#REF!</v>
      </c>
      <c r="I17" s="237" t="e">
        <f>#REF!</f>
        <v>#REF!</v>
      </c>
      <c r="J17" s="132" t="e">
        <f>#REF!</f>
        <v>#REF!</v>
      </c>
    </row>
    <row r="18" spans="2:10" ht="12.75" x14ac:dyDescent="0.2">
      <c r="B18" s="31"/>
      <c r="C18" s="30" t="e">
        <f>#REF!</f>
        <v>#REF!</v>
      </c>
      <c r="D18" s="130" t="e">
        <f>#REF!+#REF!+#REF!</f>
        <v>#REF!</v>
      </c>
      <c r="E18" s="237" t="e">
        <f>#REF!+#REF!+#REF!</f>
        <v>#REF!</v>
      </c>
      <c r="F18" s="132" t="e">
        <f>#REF!+#REF!+#REF!</f>
        <v>#REF!</v>
      </c>
      <c r="H18" s="130" t="e">
        <f>#REF!</f>
        <v>#REF!</v>
      </c>
      <c r="I18" s="237" t="e">
        <f>#REF!</f>
        <v>#REF!</v>
      </c>
      <c r="J18" s="132" t="e">
        <f>#REF!</f>
        <v>#REF!</v>
      </c>
    </row>
    <row r="19" spans="2:10" ht="12.75" x14ac:dyDescent="0.2">
      <c r="B19" s="31"/>
      <c r="C19" s="30"/>
      <c r="D19" s="130"/>
      <c r="E19" s="131"/>
      <c r="F19" s="132"/>
      <c r="H19" s="130"/>
      <c r="I19" s="237"/>
      <c r="J19" s="132"/>
    </row>
    <row r="20" spans="2:10" ht="12.75" x14ac:dyDescent="0.2">
      <c r="B20" s="31" t="s">
        <v>236</v>
      </c>
      <c r="C20" s="58" t="s">
        <v>85</v>
      </c>
      <c r="D20" s="133" t="e">
        <f>SUM(D21:D23)</f>
        <v>#REF!</v>
      </c>
      <c r="E20" s="238" t="e">
        <f t="shared" ref="E20:F20" si="8">SUM(E21:E23)</f>
        <v>#REF!</v>
      </c>
      <c r="F20" s="135" t="e">
        <f t="shared" si="8"/>
        <v>#REF!</v>
      </c>
      <c r="H20" s="133" t="e">
        <f>SUM(H24:H25)</f>
        <v>#REF!</v>
      </c>
      <c r="I20" s="238" t="e">
        <f t="shared" ref="I20:J20" si="9">SUM(I24:I25)</f>
        <v>#REF!</v>
      </c>
      <c r="J20" s="135" t="e">
        <f t="shared" si="9"/>
        <v>#REF!</v>
      </c>
    </row>
    <row r="21" spans="2:10" ht="12.75" x14ac:dyDescent="0.2">
      <c r="B21" s="31"/>
      <c r="C21" s="30" t="e">
        <f>#REF!</f>
        <v>#REF!</v>
      </c>
      <c r="D21" s="330" t="e">
        <f>#REF!+#REF!+#REF!</f>
        <v>#REF!</v>
      </c>
      <c r="E21" s="237" t="e">
        <f>#REF!+#REF!+#REF!</f>
        <v>#REF!</v>
      </c>
      <c r="F21" s="132" t="e">
        <f>#REF!+#REF!+#REF!</f>
        <v>#REF!</v>
      </c>
      <c r="H21" s="326"/>
      <c r="I21" s="329"/>
      <c r="J21" s="328"/>
    </row>
    <row r="22" spans="2:10" ht="12.75" x14ac:dyDescent="0.2">
      <c r="B22" s="31"/>
      <c r="C22" s="30" t="e">
        <f>#REF!</f>
        <v>#REF!</v>
      </c>
      <c r="D22" s="330" t="e">
        <f>#REF!+#REF!+#REF!</f>
        <v>#REF!</v>
      </c>
      <c r="E22" s="237" t="e">
        <f>#REF!+#REF!+#REF!</f>
        <v>#REF!</v>
      </c>
      <c r="F22" s="132" t="e">
        <f>#REF!+#REF!+#REF!</f>
        <v>#REF!</v>
      </c>
      <c r="H22" s="326"/>
      <c r="I22" s="329"/>
      <c r="J22" s="328"/>
    </row>
    <row r="23" spans="2:10" ht="12.75" x14ac:dyDescent="0.2">
      <c r="B23" s="31"/>
      <c r="C23" s="30" t="e">
        <f>#REF!</f>
        <v>#REF!</v>
      </c>
      <c r="D23" s="330" t="e">
        <f>#REF!+#REF!+#REF!</f>
        <v>#REF!</v>
      </c>
      <c r="E23" s="237" t="e">
        <f>#REF!+#REF!+#REF!</f>
        <v>#REF!</v>
      </c>
      <c r="F23" s="132" t="e">
        <f>#REF!+#REF!+#REF!</f>
        <v>#REF!</v>
      </c>
      <c r="H23" s="326"/>
      <c r="I23" s="329"/>
      <c r="J23" s="328"/>
    </row>
    <row r="24" spans="2:10" ht="12.75" x14ac:dyDescent="0.2">
      <c r="B24" s="31"/>
      <c r="C24" s="30" t="e">
        <f>#REF!</f>
        <v>#REF!</v>
      </c>
      <c r="D24" s="130"/>
      <c r="E24" s="131"/>
      <c r="F24" s="132"/>
      <c r="H24" s="130" t="e">
        <f>#REF!</f>
        <v>#REF!</v>
      </c>
      <c r="I24" s="237" t="e">
        <f>#REF!</f>
        <v>#REF!</v>
      </c>
      <c r="J24" s="132" t="e">
        <f>#REF!</f>
        <v>#REF!</v>
      </c>
    </row>
    <row r="25" spans="2:10" ht="12.75" x14ac:dyDescent="0.2">
      <c r="B25" s="31"/>
      <c r="C25" s="30"/>
      <c r="D25" s="130"/>
      <c r="E25" s="131"/>
      <c r="F25" s="132"/>
      <c r="H25" s="130" t="e">
        <f>#REF!</f>
        <v>#REF!</v>
      </c>
      <c r="I25" s="237" t="e">
        <f>#REF!</f>
        <v>#REF!</v>
      </c>
      <c r="J25" s="132" t="e">
        <f>#REF!</f>
        <v>#REF!</v>
      </c>
    </row>
    <row r="26" spans="2:10" ht="12.75" x14ac:dyDescent="0.2">
      <c r="B26" s="31" t="s">
        <v>237</v>
      </c>
      <c r="C26" s="58" t="s">
        <v>104</v>
      </c>
      <c r="D26" s="133" t="e">
        <f>SUM(D27:D29)</f>
        <v>#REF!</v>
      </c>
      <c r="E26" s="133" t="e">
        <f t="shared" ref="E26:F26" si="10">SUM(E27:E29)</f>
        <v>#REF!</v>
      </c>
      <c r="F26" s="133" t="e">
        <f t="shared" si="10"/>
        <v>#REF!</v>
      </c>
      <c r="H26" s="133" t="e">
        <f>#REF!</f>
        <v>#REF!</v>
      </c>
      <c r="I26" s="238" t="e">
        <f>#REF!</f>
        <v>#REF!</v>
      </c>
      <c r="J26" s="135" t="e">
        <f>#REF!</f>
        <v>#REF!</v>
      </c>
    </row>
    <row r="27" spans="2:10" ht="12.75" x14ac:dyDescent="0.2">
      <c r="B27" s="31"/>
      <c r="C27" s="30" t="e">
        <f>#REF!</f>
        <v>#REF!</v>
      </c>
      <c r="D27" s="330" t="e">
        <f>#REF!+#REF!+#REF!</f>
        <v>#REF!</v>
      </c>
      <c r="E27" s="237" t="e">
        <f>#REF!+#REF!+#REF!</f>
        <v>#REF!</v>
      </c>
      <c r="F27" s="132" t="e">
        <f>#REF!+#REF!+#REF!</f>
        <v>#REF!</v>
      </c>
      <c r="H27" s="133"/>
      <c r="I27" s="238"/>
      <c r="J27" s="135"/>
    </row>
    <row r="28" spans="2:10" ht="12.75" x14ac:dyDescent="0.2">
      <c r="B28" s="31"/>
      <c r="C28" s="30" t="e">
        <f>#REF!</f>
        <v>#REF!</v>
      </c>
      <c r="D28" s="330" t="e">
        <f>#REF!+#REF!+#REF!</f>
        <v>#REF!</v>
      </c>
      <c r="E28" s="237" t="e">
        <f>#REF!+#REF!+#REF!</f>
        <v>#REF!</v>
      </c>
      <c r="F28" s="132" t="e">
        <f>#REF!+#REF!+#REF!</f>
        <v>#REF!</v>
      </c>
      <c r="H28" s="133"/>
      <c r="I28" s="238"/>
      <c r="J28" s="135"/>
    </row>
    <row r="29" spans="2:10" ht="12.75" x14ac:dyDescent="0.2">
      <c r="B29" s="31"/>
      <c r="C29" s="30" t="e">
        <f>#REF!</f>
        <v>#REF!</v>
      </c>
      <c r="D29" s="330" t="e">
        <f>#REF!+#REF!+#REF!</f>
        <v>#REF!</v>
      </c>
      <c r="E29" s="331" t="e">
        <f>#REF!+#REF!+#REF!</f>
        <v>#REF!</v>
      </c>
      <c r="F29" s="332" t="e">
        <f>#REF!+#REF!+#REF!</f>
        <v>#REF!</v>
      </c>
      <c r="H29" s="133"/>
      <c r="I29" s="238"/>
      <c r="J29" s="135"/>
    </row>
    <row r="30" spans="2:10" ht="12.75" x14ac:dyDescent="0.2">
      <c r="B30" s="31"/>
      <c r="C30" s="30"/>
      <c r="D30" s="136"/>
      <c r="E30" s="137"/>
      <c r="F30" s="138"/>
      <c r="H30" s="133"/>
      <c r="I30" s="238"/>
      <c r="J30" s="135"/>
    </row>
    <row r="31" spans="2:10" ht="12.75" x14ac:dyDescent="0.2">
      <c r="B31" s="31" t="s">
        <v>238</v>
      </c>
      <c r="C31" s="58" t="s">
        <v>112</v>
      </c>
      <c r="D31" s="133" t="e">
        <f>SUM(D32:D33)</f>
        <v>#REF!</v>
      </c>
      <c r="E31" s="133" t="e">
        <f t="shared" ref="E31:F31" si="11">SUM(E32:E33)</f>
        <v>#REF!</v>
      </c>
      <c r="F31" s="133" t="e">
        <f t="shared" si="11"/>
        <v>#REF!</v>
      </c>
      <c r="H31" s="133" t="e">
        <f>#REF!</f>
        <v>#REF!</v>
      </c>
      <c r="I31" s="238" t="e">
        <f>#REF!</f>
        <v>#REF!</v>
      </c>
      <c r="J31" s="135" t="e">
        <f>#REF!</f>
        <v>#REF!</v>
      </c>
    </row>
    <row r="32" spans="2:10" ht="12.75" x14ac:dyDescent="0.2">
      <c r="B32" s="31"/>
      <c r="C32" s="30" t="e">
        <f>#REF!</f>
        <v>#REF!</v>
      </c>
      <c r="D32" s="330" t="e">
        <f>#REF!+#REF!+#REF!</f>
        <v>#REF!</v>
      </c>
      <c r="E32" s="237" t="e">
        <f>#REF!+#REF!+#REF!</f>
        <v>#REF!</v>
      </c>
      <c r="F32" s="132" t="e">
        <f>#REF!+#REF!+#REF!</f>
        <v>#REF!</v>
      </c>
      <c r="H32" s="133"/>
      <c r="I32" s="238"/>
      <c r="J32" s="135"/>
    </row>
    <row r="33" spans="2:10" ht="12.75" x14ac:dyDescent="0.2">
      <c r="B33" s="31"/>
      <c r="C33" s="30" t="e">
        <f>#REF!</f>
        <v>#REF!</v>
      </c>
      <c r="D33" s="330" t="e">
        <f>#REF!+#REF!+#REF!</f>
        <v>#REF!</v>
      </c>
      <c r="E33" s="237" t="e">
        <f>#REF!+#REF!+#REF!</f>
        <v>#REF!</v>
      </c>
      <c r="F33" s="132" t="e">
        <f>#REF!+#REF!+#REF!</f>
        <v>#REF!</v>
      </c>
      <c r="H33" s="133"/>
      <c r="I33" s="238"/>
      <c r="J33" s="135"/>
    </row>
    <row r="34" spans="2:10" ht="12.75" x14ac:dyDescent="0.2">
      <c r="B34" s="31"/>
      <c r="C34" s="30"/>
      <c r="D34" s="136"/>
      <c r="E34" s="137"/>
      <c r="F34" s="138"/>
      <c r="H34" s="133"/>
      <c r="I34" s="238"/>
      <c r="J34" s="135"/>
    </row>
    <row r="35" spans="2:10" ht="12.75" x14ac:dyDescent="0.2">
      <c r="B35" s="31" t="s">
        <v>239</v>
      </c>
      <c r="C35" s="58" t="s">
        <v>119</v>
      </c>
      <c r="D35" s="133" t="e">
        <f>SUM(D36:D39)</f>
        <v>#REF!</v>
      </c>
      <c r="E35" s="133" t="e">
        <f t="shared" ref="E35:F35" si="12">SUM(E36:E39)</f>
        <v>#REF!</v>
      </c>
      <c r="F35" s="133" t="e">
        <f t="shared" si="12"/>
        <v>#REF!</v>
      </c>
      <c r="H35" s="133" t="e">
        <f>#REF!</f>
        <v>#REF!</v>
      </c>
      <c r="I35" s="238" t="e">
        <f>#REF!</f>
        <v>#REF!</v>
      </c>
      <c r="J35" s="135" t="e">
        <f>#REF!</f>
        <v>#REF!</v>
      </c>
    </row>
    <row r="36" spans="2:10" ht="12.75" x14ac:dyDescent="0.2">
      <c r="B36" s="31"/>
      <c r="C36" s="30" t="e">
        <f>#REF!</f>
        <v>#REF!</v>
      </c>
      <c r="D36" s="330" t="e">
        <f>#REF!+#REF!+#REF!</f>
        <v>#REF!</v>
      </c>
      <c r="E36" s="237" t="e">
        <f>#REF!+#REF!+#REF!</f>
        <v>#REF!</v>
      </c>
      <c r="F36" s="132" t="e">
        <f>#REF!+#REF!+#REF!</f>
        <v>#REF!</v>
      </c>
      <c r="H36" s="133"/>
      <c r="I36" s="238"/>
      <c r="J36" s="135"/>
    </row>
    <row r="37" spans="2:10" ht="12.75" x14ac:dyDescent="0.2">
      <c r="B37" s="31"/>
      <c r="C37" s="30" t="e">
        <f>#REF!</f>
        <v>#REF!</v>
      </c>
      <c r="D37" s="330" t="e">
        <f>#REF!+#REF!+#REF!</f>
        <v>#REF!</v>
      </c>
      <c r="E37" s="237" t="e">
        <f>#REF!+#REF!+#REF!</f>
        <v>#REF!</v>
      </c>
      <c r="F37" s="132" t="e">
        <f>#REF!+#REF!+#REF!</f>
        <v>#REF!</v>
      </c>
      <c r="H37" s="133"/>
      <c r="I37" s="238"/>
      <c r="J37" s="135"/>
    </row>
    <row r="38" spans="2:10" ht="12.75" x14ac:dyDescent="0.2">
      <c r="B38" s="31"/>
      <c r="C38" s="30" t="e">
        <f>#REF!</f>
        <v>#REF!</v>
      </c>
      <c r="D38" s="330" t="e">
        <f>#REF!+#REF!+#REF!</f>
        <v>#REF!</v>
      </c>
      <c r="E38" s="237" t="e">
        <f>#REF!+#REF!+#REF!</f>
        <v>#REF!</v>
      </c>
      <c r="F38" s="132" t="e">
        <f>#REF!+#REF!+#REF!</f>
        <v>#REF!</v>
      </c>
      <c r="H38" s="133"/>
      <c r="I38" s="238"/>
      <c r="J38" s="135"/>
    </row>
    <row r="39" spans="2:10" ht="12.75" x14ac:dyDescent="0.2">
      <c r="B39" s="31"/>
      <c r="C39" s="30" t="e">
        <f>#REF!</f>
        <v>#REF!</v>
      </c>
      <c r="D39" s="330" t="e">
        <f>#REF!+#REF!+#REF!</f>
        <v>#REF!</v>
      </c>
      <c r="E39" s="331" t="e">
        <f>#REF!+#REF!+#REF!</f>
        <v>#REF!</v>
      </c>
      <c r="F39" s="332" t="e">
        <f>#REF!+#REF!+#REF!</f>
        <v>#REF!</v>
      </c>
      <c r="H39" s="133"/>
      <c r="I39" s="238"/>
      <c r="J39" s="135"/>
    </row>
    <row r="40" spans="2:10" ht="12.75" x14ac:dyDescent="0.2">
      <c r="B40" s="31"/>
      <c r="C40" s="58"/>
      <c r="D40" s="136"/>
      <c r="E40" s="137"/>
      <c r="F40" s="138"/>
      <c r="H40" s="133"/>
      <c r="I40" s="238"/>
      <c r="J40" s="135"/>
    </row>
    <row r="41" spans="2:10" ht="12.75" x14ac:dyDescent="0.2">
      <c r="B41" s="31" t="s">
        <v>240</v>
      </c>
      <c r="C41" s="58" t="s">
        <v>130</v>
      </c>
      <c r="D41" s="133" t="e">
        <f>SUM(D42:D46)</f>
        <v>#REF!</v>
      </c>
      <c r="E41" s="133" t="e">
        <f t="shared" ref="E41:F41" si="13">SUM(E42:E46)</f>
        <v>#REF!</v>
      </c>
      <c r="F41" s="133" t="e">
        <f t="shared" si="13"/>
        <v>#REF!</v>
      </c>
      <c r="H41" s="133" t="e">
        <f>#REF!</f>
        <v>#REF!</v>
      </c>
      <c r="I41" s="238" t="e">
        <f>#REF!</f>
        <v>#REF!</v>
      </c>
      <c r="J41" s="135" t="e">
        <f>#REF!</f>
        <v>#REF!</v>
      </c>
    </row>
    <row r="42" spans="2:10" ht="12.75" x14ac:dyDescent="0.2">
      <c r="B42" s="31"/>
      <c r="C42" s="30" t="e">
        <f>#REF!</f>
        <v>#REF!</v>
      </c>
      <c r="D42" s="330" t="e">
        <f>#REF!+#REF!+#REF!</f>
        <v>#REF!</v>
      </c>
      <c r="E42" s="237" t="e">
        <f>#REF!+#REF!+#REF!</f>
        <v>#REF!</v>
      </c>
      <c r="F42" s="132" t="e">
        <f>#REF!+#REF!+#REF!</f>
        <v>#REF!</v>
      </c>
      <c r="H42" s="133"/>
      <c r="I42" s="238"/>
      <c r="J42" s="135"/>
    </row>
    <row r="43" spans="2:10" ht="12.75" x14ac:dyDescent="0.2">
      <c r="B43" s="31"/>
      <c r="C43" s="30" t="e">
        <f>#REF!</f>
        <v>#REF!</v>
      </c>
      <c r="D43" s="330" t="e">
        <f>#REF!+#REF!+#REF!</f>
        <v>#REF!</v>
      </c>
      <c r="E43" s="237" t="e">
        <f>#REF!+#REF!+#REF!</f>
        <v>#REF!</v>
      </c>
      <c r="F43" s="132" t="e">
        <f>#REF!+#REF!+#REF!</f>
        <v>#REF!</v>
      </c>
      <c r="H43" s="133"/>
      <c r="I43" s="238"/>
      <c r="J43" s="135"/>
    </row>
    <row r="44" spans="2:10" ht="12.75" x14ac:dyDescent="0.2">
      <c r="B44" s="31"/>
      <c r="C44" s="30" t="e">
        <f>#REF!</f>
        <v>#REF!</v>
      </c>
      <c r="D44" s="330" t="e">
        <f>#REF!+#REF!+#REF!</f>
        <v>#REF!</v>
      </c>
      <c r="E44" s="237" t="e">
        <f>#REF!+#REF!+#REF!</f>
        <v>#REF!</v>
      </c>
      <c r="F44" s="132" t="e">
        <f>#REF!+#REF!+#REF!</f>
        <v>#REF!</v>
      </c>
      <c r="H44" s="133"/>
      <c r="I44" s="238"/>
      <c r="J44" s="135"/>
    </row>
    <row r="45" spans="2:10" ht="12.75" x14ac:dyDescent="0.2">
      <c r="B45" s="31"/>
      <c r="C45" s="30" t="e">
        <f>#REF!</f>
        <v>#REF!</v>
      </c>
      <c r="D45" s="330" t="e">
        <f>#REF!+#REF!+#REF!</f>
        <v>#REF!</v>
      </c>
      <c r="E45" s="237" t="e">
        <f>#REF!+#REF!+#REF!</f>
        <v>#REF!</v>
      </c>
      <c r="F45" s="132" t="e">
        <f>#REF!+#REF!+#REF!</f>
        <v>#REF!</v>
      </c>
      <c r="H45" s="133"/>
      <c r="I45" s="238"/>
      <c r="J45" s="135"/>
    </row>
    <row r="46" spans="2:10" ht="12.75" x14ac:dyDescent="0.2">
      <c r="B46" s="31"/>
      <c r="C46" s="30" t="e">
        <f>#REF!</f>
        <v>#REF!</v>
      </c>
      <c r="D46" s="330" t="e">
        <f>#REF!+#REF!+#REF!</f>
        <v>#REF!</v>
      </c>
      <c r="E46" s="331" t="e">
        <f>#REF!+#REF!+#REF!</f>
        <v>#REF!</v>
      </c>
      <c r="F46" s="332" t="e">
        <f>#REF!+#REF!+#REF!</f>
        <v>#REF!</v>
      </c>
      <c r="H46" s="133"/>
      <c r="I46" s="238"/>
      <c r="J46" s="135"/>
    </row>
    <row r="47" spans="2:10" ht="12.75" x14ac:dyDescent="0.2">
      <c r="B47" s="31"/>
      <c r="C47" s="58"/>
      <c r="D47" s="136"/>
      <c r="E47" s="137"/>
      <c r="F47" s="138"/>
      <c r="H47" s="133"/>
      <c r="I47" s="238"/>
      <c r="J47" s="135"/>
    </row>
    <row r="48" spans="2:10" ht="12.75" x14ac:dyDescent="0.2">
      <c r="B48" s="31" t="s">
        <v>241</v>
      </c>
      <c r="C48" s="58" t="s">
        <v>138</v>
      </c>
      <c r="D48" s="133" t="e">
        <f>SUM(D49:D52)</f>
        <v>#REF!</v>
      </c>
      <c r="E48" s="133" t="e">
        <f t="shared" ref="E48:F48" si="14">SUM(E49:E52)</f>
        <v>#REF!</v>
      </c>
      <c r="F48" s="133" t="e">
        <f t="shared" si="14"/>
        <v>#REF!</v>
      </c>
      <c r="H48" s="133" t="e">
        <f>#REF!</f>
        <v>#REF!</v>
      </c>
      <c r="I48" s="238" t="e">
        <f>#REF!</f>
        <v>#REF!</v>
      </c>
      <c r="J48" s="135" t="e">
        <f>#REF!</f>
        <v>#REF!</v>
      </c>
    </row>
    <row r="49" spans="2:10" ht="12.75" x14ac:dyDescent="0.2">
      <c r="B49" s="31"/>
      <c r="C49" s="30" t="e">
        <f>#REF!</f>
        <v>#REF!</v>
      </c>
      <c r="D49" s="330" t="e">
        <f>#REF!+#REF!+#REF!</f>
        <v>#REF!</v>
      </c>
      <c r="E49" s="237" t="e">
        <f>#REF!+#REF!+#REF!</f>
        <v>#REF!</v>
      </c>
      <c r="F49" s="132" t="e">
        <f>#REF!+#REF!+#REF!</f>
        <v>#REF!</v>
      </c>
      <c r="H49" s="333"/>
      <c r="I49" s="335"/>
      <c r="J49" s="334"/>
    </row>
    <row r="50" spans="2:10" ht="12.75" x14ac:dyDescent="0.2">
      <c r="B50" s="31"/>
      <c r="C50" s="30" t="e">
        <f>#REF!</f>
        <v>#REF!</v>
      </c>
      <c r="D50" s="330" t="e">
        <f>#REF!+#REF!+#REF!</f>
        <v>#REF!</v>
      </c>
      <c r="E50" s="237" t="e">
        <f>#REF!+#REF!+#REF!</f>
        <v>#REF!</v>
      </c>
      <c r="F50" s="132" t="e">
        <f>#REF!+#REF!+#REF!</f>
        <v>#REF!</v>
      </c>
      <c r="H50" s="333"/>
      <c r="I50" s="335"/>
      <c r="J50" s="334"/>
    </row>
    <row r="51" spans="2:10" ht="12.75" x14ac:dyDescent="0.2">
      <c r="B51" s="31"/>
      <c r="C51" s="30" t="e">
        <f>#REF!</f>
        <v>#REF!</v>
      </c>
      <c r="D51" s="330" t="e">
        <f>#REF!+#REF!+#REF!</f>
        <v>#REF!</v>
      </c>
      <c r="E51" s="237" t="e">
        <f>#REF!+#REF!+#REF!</f>
        <v>#REF!</v>
      </c>
      <c r="F51" s="132" t="e">
        <f>#REF!+#REF!+#REF!</f>
        <v>#REF!</v>
      </c>
      <c r="H51" s="333"/>
      <c r="I51" s="335"/>
      <c r="J51" s="334"/>
    </row>
    <row r="52" spans="2:10" ht="12.75" x14ac:dyDescent="0.2">
      <c r="B52" s="31"/>
      <c r="C52" s="30" t="e">
        <f>#REF!</f>
        <v>#REF!</v>
      </c>
      <c r="D52" s="330" t="e">
        <f>#REF!+#REF!+#REF!</f>
        <v>#REF!</v>
      </c>
      <c r="E52" s="237" t="e">
        <f>#REF!+#REF!+#REF!</f>
        <v>#REF!</v>
      </c>
      <c r="F52" s="132" t="e">
        <f>#REF!+#REF!+#REF!</f>
        <v>#REF!</v>
      </c>
      <c r="H52" s="333"/>
      <c r="I52" s="335"/>
      <c r="J52" s="334"/>
    </row>
    <row r="53" spans="2:10" ht="12.75" x14ac:dyDescent="0.2">
      <c r="B53" s="31"/>
      <c r="C53" s="30"/>
      <c r="D53" s="330"/>
      <c r="E53" s="331"/>
      <c r="F53" s="332"/>
      <c r="H53" s="333"/>
      <c r="I53" s="335"/>
      <c r="J53" s="334"/>
    </row>
    <row r="54" spans="2:10" ht="12.75" x14ac:dyDescent="0.2">
      <c r="B54" s="31"/>
      <c r="C54" s="58"/>
      <c r="D54" s="326"/>
      <c r="E54" s="327"/>
      <c r="F54" s="328"/>
      <c r="H54" s="333"/>
      <c r="I54" s="335"/>
      <c r="J54" s="334"/>
    </row>
    <row r="55" spans="2:10" ht="13.5" thickBot="1" x14ac:dyDescent="0.25">
      <c r="B55" s="59" t="s">
        <v>243</v>
      </c>
      <c r="C55" s="61"/>
      <c r="D55" s="126" t="e">
        <f>SUM(D56,D57,D58)</f>
        <v>#REF!</v>
      </c>
      <c r="E55" s="126" t="e">
        <f t="shared" ref="E55:F55" si="15">SUM(E56,E57,E58)</f>
        <v>#REF!</v>
      </c>
      <c r="F55" s="126" t="e">
        <f t="shared" si="15"/>
        <v>#REF!</v>
      </c>
      <c r="H55" s="126" t="e">
        <f>SUM(H56,H57,H58)</f>
        <v>#REF!</v>
      </c>
      <c r="I55" s="126" t="e">
        <f t="shared" ref="I55:J55" si="16">SUM(I56,I57,I58)</f>
        <v>#REF!</v>
      </c>
      <c r="J55" s="242" t="e">
        <f t="shared" si="16"/>
        <v>#REF!</v>
      </c>
    </row>
    <row r="56" spans="2:10" ht="13.5" thickTop="1" x14ac:dyDescent="0.2">
      <c r="B56" s="32" t="s">
        <v>244</v>
      </c>
      <c r="C56" s="58" t="s">
        <v>154</v>
      </c>
      <c r="D56" s="133" t="e">
        <f>'4.2.1'!#REF!</f>
        <v>#REF!</v>
      </c>
      <c r="E56" s="134" t="e">
        <f>'4.2.1'!#REF!</f>
        <v>#REF!</v>
      </c>
      <c r="F56" s="135" t="e">
        <f>'4.2.1'!#REF!</f>
        <v>#REF!</v>
      </c>
      <c r="H56" s="133" t="e">
        <f>'4.2.1'!#REF!</f>
        <v>#REF!</v>
      </c>
      <c r="I56" s="238" t="e">
        <f>'4.2.1'!#REF!</f>
        <v>#REF!</v>
      </c>
      <c r="J56" s="135" t="e">
        <f>'4.2.1'!#REF!</f>
        <v>#REF!</v>
      </c>
    </row>
    <row r="57" spans="2:10" ht="12.75" x14ac:dyDescent="0.2">
      <c r="B57" s="32" t="s">
        <v>245</v>
      </c>
      <c r="C57" s="58" t="s">
        <v>158</v>
      </c>
      <c r="D57" s="133" t="e">
        <f>'4.2.2'!#REF!</f>
        <v>#REF!</v>
      </c>
      <c r="E57" s="134" t="e">
        <f>'4.2.2'!#REF!</f>
        <v>#REF!</v>
      </c>
      <c r="F57" s="135" t="e">
        <f>'4.2.2'!#REF!</f>
        <v>#REF!</v>
      </c>
      <c r="H57" s="133" t="e">
        <f>'4.2.2'!#REF!</f>
        <v>#REF!</v>
      </c>
      <c r="I57" s="238" t="e">
        <f>'4.2.2'!#REF!</f>
        <v>#REF!</v>
      </c>
      <c r="J57" s="135" t="e">
        <f>'4.2.2'!#REF!</f>
        <v>#REF!</v>
      </c>
    </row>
    <row r="58" spans="2:10" ht="12.75" x14ac:dyDescent="0.2">
      <c r="B58" s="32" t="s">
        <v>246</v>
      </c>
      <c r="C58" s="58" t="s">
        <v>161</v>
      </c>
      <c r="D58" s="133" t="e">
        <f>SUM(D59:D62)</f>
        <v>#REF!</v>
      </c>
      <c r="E58" s="134" t="e">
        <f t="shared" ref="E58:F58" si="17">SUM(E59:E62)</f>
        <v>#REF!</v>
      </c>
      <c r="F58" s="135" t="e">
        <f t="shared" si="17"/>
        <v>#REF!</v>
      </c>
      <c r="H58" s="133" t="e">
        <f>SUM(H59:H62)</f>
        <v>#REF!</v>
      </c>
      <c r="I58" s="238" t="e">
        <f t="shared" ref="I58:J58" si="18">SUM(I59:I62)</f>
        <v>#REF!</v>
      </c>
      <c r="J58" s="135" t="e">
        <f t="shared" si="18"/>
        <v>#REF!</v>
      </c>
    </row>
    <row r="59" spans="2:10" ht="12.75" x14ac:dyDescent="0.2">
      <c r="B59" s="32"/>
      <c r="C59" s="30" t="s">
        <v>162</v>
      </c>
      <c r="D59" s="130" t="e">
        <f>'4.2.3'!#REF!</f>
        <v>#REF!</v>
      </c>
      <c r="E59" s="131" t="e">
        <f>'4.2.3'!#REF!</f>
        <v>#REF!</v>
      </c>
      <c r="F59" s="132" t="e">
        <f>'4.2.3'!#REF!</f>
        <v>#REF!</v>
      </c>
      <c r="H59" s="130" t="e">
        <f>'4.2.3'!#REF!</f>
        <v>#REF!</v>
      </c>
      <c r="I59" s="237" t="e">
        <f>'4.2.3'!#REF!</f>
        <v>#REF!</v>
      </c>
      <c r="J59" s="132" t="e">
        <f>'4.2.3'!#REF!</f>
        <v>#REF!</v>
      </c>
    </row>
    <row r="60" spans="2:10" ht="12.75" x14ac:dyDescent="0.2">
      <c r="B60" s="32"/>
      <c r="C60" s="30" t="s">
        <v>168</v>
      </c>
      <c r="D60" s="130" t="e">
        <f>'4.2.3'!#REF!</f>
        <v>#REF!</v>
      </c>
      <c r="E60" s="131" t="e">
        <f>'4.2.3'!#REF!</f>
        <v>#REF!</v>
      </c>
      <c r="F60" s="132" t="e">
        <f>'4.2.3'!#REF!</f>
        <v>#REF!</v>
      </c>
      <c r="H60" s="130" t="e">
        <f>'4.2.3'!#REF!</f>
        <v>#REF!</v>
      </c>
      <c r="I60" s="237" t="e">
        <f>'4.2.3'!#REF!</f>
        <v>#REF!</v>
      </c>
      <c r="J60" s="132" t="e">
        <f>'4.2.3'!#REF!</f>
        <v>#REF!</v>
      </c>
    </row>
    <row r="61" spans="2:10" ht="12.75" x14ac:dyDescent="0.2">
      <c r="B61" s="32"/>
      <c r="C61" s="30" t="s">
        <v>171</v>
      </c>
      <c r="D61" s="130" t="e">
        <f>'4.2.3'!#REF!</f>
        <v>#REF!</v>
      </c>
      <c r="E61" s="131" t="e">
        <f>'4.2.3'!#REF!</f>
        <v>#REF!</v>
      </c>
      <c r="F61" s="132" t="e">
        <f>'4.2.3'!#REF!</f>
        <v>#REF!</v>
      </c>
      <c r="H61" s="130" t="e">
        <f>'4.2.3'!#REF!</f>
        <v>#REF!</v>
      </c>
      <c r="I61" s="237" t="e">
        <f>'4.2.3'!#REF!</f>
        <v>#REF!</v>
      </c>
      <c r="J61" s="132" t="e">
        <f>'4.2.3'!#REF!</f>
        <v>#REF!</v>
      </c>
    </row>
    <row r="62" spans="2:10" ht="12.75" x14ac:dyDescent="0.2">
      <c r="B62" s="32"/>
      <c r="C62" s="30" t="s">
        <v>179</v>
      </c>
      <c r="D62" s="130" t="e">
        <f>'4.2.3'!#REF!</f>
        <v>#REF!</v>
      </c>
      <c r="E62" s="131" t="e">
        <f>'4.2.3'!#REF!</f>
        <v>#REF!</v>
      </c>
      <c r="F62" s="132" t="e">
        <f>'4.2.3'!#REF!</f>
        <v>#REF!</v>
      </c>
      <c r="H62" s="130" t="e">
        <f>'4.2.3'!#REF!</f>
        <v>#REF!</v>
      </c>
      <c r="I62" s="237" t="e">
        <f>'4.2.3'!#REF!</f>
        <v>#REF!</v>
      </c>
      <c r="J62" s="132" t="e">
        <f>'4.2.3'!#REF!</f>
        <v>#REF!</v>
      </c>
    </row>
    <row r="63" spans="2:10" ht="13.5" thickBot="1" x14ac:dyDescent="0.25">
      <c r="B63" s="59" t="s">
        <v>247</v>
      </c>
      <c r="C63" s="59"/>
      <c r="D63" s="126" t="e">
        <f>SUM(D64,D65,D70,D71)</f>
        <v>#REF!</v>
      </c>
      <c r="E63" s="126" t="e">
        <f t="shared" ref="E63:F63" si="19">SUM(E64,E65,E70,E71)</f>
        <v>#REF!</v>
      </c>
      <c r="F63" s="126" t="e">
        <f t="shared" si="19"/>
        <v>#REF!</v>
      </c>
      <c r="H63" s="126" t="e">
        <f>SUM(H64,H65,H70,H71)</f>
        <v>#REF!</v>
      </c>
      <c r="I63" s="126" t="e">
        <f t="shared" ref="I63:J63" si="20">SUM(I64,I65,I70,I71)</f>
        <v>#REF!</v>
      </c>
      <c r="J63" s="242" t="e">
        <f t="shared" si="20"/>
        <v>#REF!</v>
      </c>
    </row>
    <row r="64" spans="2:10" ht="13.5" thickTop="1" x14ac:dyDescent="0.2">
      <c r="B64" s="33" t="s">
        <v>248</v>
      </c>
      <c r="C64" s="58" t="s">
        <v>184</v>
      </c>
      <c r="D64" s="136" t="e">
        <f>'4.3.1'!#REF!</f>
        <v>#REF!</v>
      </c>
      <c r="E64" s="137" t="e">
        <f>'4.3.1'!#REF!</f>
        <v>#REF!</v>
      </c>
      <c r="F64" s="138" t="e">
        <f>'4.3.1'!#REF!</f>
        <v>#REF!</v>
      </c>
      <c r="H64" s="136" t="e">
        <f>'4.3.1'!#REF!</f>
        <v>#REF!</v>
      </c>
      <c r="I64" s="239" t="e">
        <f>'4.3.1'!#REF!</f>
        <v>#REF!</v>
      </c>
      <c r="J64" s="138" t="e">
        <f>'4.3.1'!#REF!</f>
        <v>#REF!</v>
      </c>
    </row>
    <row r="65" spans="2:10" ht="12.75" x14ac:dyDescent="0.2">
      <c r="B65" s="33" t="s">
        <v>249</v>
      </c>
      <c r="C65" s="58" t="s">
        <v>186</v>
      </c>
      <c r="D65" s="133" t="e">
        <f>SUM(D66:D70)</f>
        <v>#REF!</v>
      </c>
      <c r="E65" s="134" t="e">
        <f t="shared" ref="E65:F65" si="21">SUM(E66:E70)</f>
        <v>#REF!</v>
      </c>
      <c r="F65" s="135" t="e">
        <f t="shared" si="21"/>
        <v>#REF!</v>
      </c>
      <c r="H65" s="133" t="e">
        <f>SUM(H66:H70)</f>
        <v>#REF!</v>
      </c>
      <c r="I65" s="238" t="e">
        <f t="shared" ref="I65:J65" si="22">SUM(I66:I70)</f>
        <v>#REF!</v>
      </c>
      <c r="J65" s="135" t="e">
        <f t="shared" si="22"/>
        <v>#REF!</v>
      </c>
    </row>
    <row r="66" spans="2:10" ht="12.75" x14ac:dyDescent="0.2">
      <c r="B66" s="33"/>
      <c r="C66" s="30" t="s">
        <v>187</v>
      </c>
      <c r="D66" s="130" t="e">
        <f>'4.3.2'!#REF!</f>
        <v>#REF!</v>
      </c>
      <c r="E66" s="131" t="e">
        <f>'4.3.2'!#REF!</f>
        <v>#REF!</v>
      </c>
      <c r="F66" s="132" t="e">
        <f>'4.3.2'!#REF!</f>
        <v>#REF!</v>
      </c>
      <c r="H66" s="130" t="e">
        <f>'4.3.2'!#REF!</f>
        <v>#REF!</v>
      </c>
      <c r="I66" s="237" t="e">
        <f>'4.3.2'!#REF!</f>
        <v>#REF!</v>
      </c>
      <c r="J66" s="132" t="e">
        <f>'4.3.2'!#REF!</f>
        <v>#REF!</v>
      </c>
    </row>
    <row r="67" spans="2:10" ht="12.75" x14ac:dyDescent="0.2">
      <c r="B67" s="33"/>
      <c r="C67" s="30" t="s">
        <v>199</v>
      </c>
      <c r="D67" s="130" t="e">
        <f>'4.3.2'!#REF!</f>
        <v>#REF!</v>
      </c>
      <c r="E67" s="131" t="e">
        <f>'4.3.2'!#REF!</f>
        <v>#REF!</v>
      </c>
      <c r="F67" s="132" t="e">
        <f>'4.3.2'!#REF!</f>
        <v>#REF!</v>
      </c>
      <c r="H67" s="130" t="e">
        <f>'4.3.2'!#REF!</f>
        <v>#REF!</v>
      </c>
      <c r="I67" s="237" t="e">
        <f>'4.3.2'!#REF!</f>
        <v>#REF!</v>
      </c>
      <c r="J67" s="132" t="e">
        <f>'4.3.2'!#REF!</f>
        <v>#REF!</v>
      </c>
    </row>
    <row r="68" spans="2:10" ht="12.75" x14ac:dyDescent="0.2">
      <c r="B68" s="33"/>
      <c r="C68" s="30" t="s">
        <v>206</v>
      </c>
      <c r="D68" s="130" t="e">
        <f>'4.3.2'!#REF!</f>
        <v>#REF!</v>
      </c>
      <c r="E68" s="131" t="e">
        <f>'4.3.2'!#REF!</f>
        <v>#REF!</v>
      </c>
      <c r="F68" s="132" t="e">
        <f>'4.3.2'!#REF!</f>
        <v>#REF!</v>
      </c>
      <c r="H68" s="130" t="e">
        <f>'4.3.2'!#REF!</f>
        <v>#REF!</v>
      </c>
      <c r="I68" s="237" t="e">
        <f>'4.3.2'!#REF!</f>
        <v>#REF!</v>
      </c>
      <c r="J68" s="132" t="e">
        <f>'4.3.2'!#REF!</f>
        <v>#REF!</v>
      </c>
    </row>
    <row r="69" spans="2:10" ht="12.75" x14ac:dyDescent="0.2">
      <c r="B69" s="33"/>
      <c r="C69" s="30" t="s">
        <v>209</v>
      </c>
      <c r="D69" s="130" t="e">
        <f>'4.3.2'!#REF!</f>
        <v>#REF!</v>
      </c>
      <c r="E69" s="131" t="e">
        <f>'4.3.2'!#REF!</f>
        <v>#REF!</v>
      </c>
      <c r="F69" s="132" t="e">
        <f>'4.3.2'!#REF!</f>
        <v>#REF!</v>
      </c>
      <c r="H69" s="130" t="e">
        <f>'4.3.2'!#REF!</f>
        <v>#REF!</v>
      </c>
      <c r="I69" s="237" t="e">
        <f>'4.3.2'!#REF!</f>
        <v>#REF!</v>
      </c>
      <c r="J69" s="132" t="e">
        <f>'4.3.2'!#REF!</f>
        <v>#REF!</v>
      </c>
    </row>
    <row r="70" spans="2:10" ht="12.75" x14ac:dyDescent="0.2">
      <c r="B70" s="33" t="s">
        <v>250</v>
      </c>
      <c r="C70" s="58" t="s">
        <v>214</v>
      </c>
      <c r="D70" s="133" t="e">
        <f>'4.3.3'!#REF!</f>
        <v>#REF!</v>
      </c>
      <c r="E70" s="134" t="e">
        <f>'4.3.3'!#REF!</f>
        <v>#REF!</v>
      </c>
      <c r="F70" s="135" t="e">
        <f>'4.3.3'!#REF!</f>
        <v>#REF!</v>
      </c>
      <c r="H70" s="133" t="e">
        <f>'4.3.3'!#REF!</f>
        <v>#REF!</v>
      </c>
      <c r="I70" s="238" t="e">
        <f>'4.3.3'!#REF!</f>
        <v>#REF!</v>
      </c>
      <c r="J70" s="135" t="e">
        <f>'4.3.3'!#REF!</f>
        <v>#REF!</v>
      </c>
    </row>
    <row r="71" spans="2:10" ht="12.75" x14ac:dyDescent="0.2">
      <c r="B71" s="33" t="s">
        <v>251</v>
      </c>
      <c r="C71" s="58" t="s">
        <v>215</v>
      </c>
      <c r="D71" s="133" t="e">
        <f>SUM(D72:D73)</f>
        <v>#REF!</v>
      </c>
      <c r="E71" s="134" t="e">
        <f t="shared" ref="E71:F71" si="23">SUM(E72:E73)</f>
        <v>#REF!</v>
      </c>
      <c r="F71" s="135" t="e">
        <f t="shared" si="23"/>
        <v>#REF!</v>
      </c>
      <c r="H71" s="133" t="e">
        <f>SUM(H72:H73)</f>
        <v>#REF!</v>
      </c>
      <c r="I71" s="238" t="e">
        <f t="shared" ref="I71:J71" si="24">SUM(I72:I73)</f>
        <v>#REF!</v>
      </c>
      <c r="J71" s="135" t="e">
        <f t="shared" si="24"/>
        <v>#REF!</v>
      </c>
    </row>
    <row r="72" spans="2:10" ht="12.75" x14ac:dyDescent="0.2">
      <c r="B72" s="33"/>
      <c r="C72" s="30" t="s">
        <v>226</v>
      </c>
      <c r="D72" s="130" t="e">
        <f>'4.3.4'!#REF!</f>
        <v>#REF!</v>
      </c>
      <c r="E72" s="131" t="e">
        <f>'4.3.4'!#REF!</f>
        <v>#REF!</v>
      </c>
      <c r="F72" s="132" t="e">
        <f>'4.3.4'!#REF!</f>
        <v>#REF!</v>
      </c>
      <c r="H72" s="130" t="e">
        <f>'4.3.4'!#REF!</f>
        <v>#REF!</v>
      </c>
      <c r="I72" s="237" t="e">
        <f>'4.3.4'!#REF!</f>
        <v>#REF!</v>
      </c>
      <c r="J72" s="132" t="e">
        <f>'4.3.4'!#REF!</f>
        <v>#REF!</v>
      </c>
    </row>
    <row r="73" spans="2:10" ht="12.75" x14ac:dyDescent="0.2">
      <c r="B73" s="33"/>
      <c r="C73" s="30" t="s">
        <v>225</v>
      </c>
      <c r="D73" s="130" t="e">
        <f>'4.3.4'!#REF!</f>
        <v>#REF!</v>
      </c>
      <c r="E73" s="131" t="e">
        <f>'4.3.4'!#REF!</f>
        <v>#REF!</v>
      </c>
      <c r="F73" s="132" t="e">
        <f>'4.3.4'!#REF!</f>
        <v>#REF!</v>
      </c>
      <c r="H73" s="130" t="e">
        <f>'4.3.4'!#REF!</f>
        <v>#REF!</v>
      </c>
      <c r="I73" s="237" t="e">
        <f>'4.3.4'!#REF!</f>
        <v>#REF!</v>
      </c>
      <c r="J73" s="132" t="e">
        <f>'4.3.4'!#REF!</f>
        <v>#REF!</v>
      </c>
    </row>
    <row r="74" spans="2:10" ht="12.75" x14ac:dyDescent="0.2">
      <c r="D74" s="139"/>
      <c r="E74" s="140"/>
      <c r="F74" s="141"/>
      <c r="H74" s="139"/>
      <c r="I74" s="240"/>
      <c r="J74" s="141"/>
    </row>
    <row r="75" spans="2:10" ht="12.75" x14ac:dyDescent="0.2">
      <c r="C75" s="38" t="s">
        <v>340</v>
      </c>
      <c r="D75" s="142" t="e">
        <f>SUM(D3,D55,D63)</f>
        <v>#REF!</v>
      </c>
      <c r="E75" s="143" t="e">
        <f t="shared" ref="E75:F75" si="25">SUM(E3,E55,E63)</f>
        <v>#REF!</v>
      </c>
      <c r="F75" s="144" t="e">
        <f t="shared" si="25"/>
        <v>#REF!</v>
      </c>
      <c r="H75" s="139"/>
      <c r="I75" s="240"/>
      <c r="J75" s="141"/>
    </row>
    <row r="76" spans="2:10" ht="12.75" x14ac:dyDescent="0.2">
      <c r="C76" s="38" t="s">
        <v>341</v>
      </c>
      <c r="D76" s="142" t="e">
        <f>'Summary Capex'!D45</f>
        <v>#REF!</v>
      </c>
      <c r="E76" s="143" t="e">
        <f>'Summary Capex'!E45</f>
        <v>#REF!</v>
      </c>
      <c r="F76" s="144" t="e">
        <f>'Summary Capex'!F45</f>
        <v>#REF!</v>
      </c>
      <c r="H76" s="139"/>
      <c r="I76" s="240"/>
      <c r="J76" s="141"/>
    </row>
    <row r="77" spans="2:10" ht="13.5" thickBot="1" x14ac:dyDescent="0.25">
      <c r="C77" s="115" t="s">
        <v>343</v>
      </c>
      <c r="D77" s="145" t="e">
        <f>SUM(D75:D76)</f>
        <v>#REF!</v>
      </c>
      <c r="E77" s="146" t="e">
        <f t="shared" ref="E77:F77" si="26">SUM(E75:E76)</f>
        <v>#REF!</v>
      </c>
      <c r="F77" s="147" t="e">
        <f t="shared" si="26"/>
        <v>#REF!</v>
      </c>
      <c r="H77" s="145"/>
      <c r="I77" s="146"/>
      <c r="J77" s="147"/>
    </row>
    <row r="78" spans="2:10" ht="12.75" x14ac:dyDescent="0.2">
      <c r="C78" s="35"/>
      <c r="D78" s="148"/>
      <c r="E78" s="149"/>
      <c r="F78" s="150"/>
      <c r="H78" s="148"/>
      <c r="I78" s="149"/>
      <c r="J78" s="150"/>
    </row>
    <row r="79" spans="2:10" ht="13.5" thickBot="1" x14ac:dyDescent="0.25">
      <c r="C79" s="115" t="s">
        <v>342</v>
      </c>
      <c r="D79" s="145" t="e">
        <f>'Summary Capex'!H45</f>
        <v>#REF!</v>
      </c>
      <c r="E79" s="146" t="e">
        <f>'Summary Capex'!I45</f>
        <v>#REF!</v>
      </c>
      <c r="F79" s="147" t="e">
        <f>'Summary Capex'!J45</f>
        <v>#REF!</v>
      </c>
      <c r="H79" s="145"/>
      <c r="I79" s="146"/>
      <c r="J79" s="147"/>
    </row>
    <row r="80" spans="2:10" ht="12.75" x14ac:dyDescent="0.2">
      <c r="D80" s="148"/>
      <c r="E80" s="149"/>
      <c r="F80" s="150"/>
      <c r="H80" s="148"/>
      <c r="I80" s="240"/>
      <c r="J80" s="141"/>
    </row>
    <row r="81" spans="3:10" ht="13.5" thickBot="1" x14ac:dyDescent="0.25">
      <c r="C81" s="115" t="s">
        <v>354</v>
      </c>
      <c r="D81" s="145"/>
      <c r="E81" s="146"/>
      <c r="F81" s="147"/>
      <c r="H81" s="145" t="e">
        <f>SUM(H3,H55,H63)</f>
        <v>#REF!</v>
      </c>
      <c r="I81" s="146" t="e">
        <f t="shared" ref="I81:J81" si="27">SUM(I3,I55,I63)</f>
        <v>#REF!</v>
      </c>
      <c r="J81" s="147" t="e">
        <f t="shared" si="27"/>
        <v>#REF!</v>
      </c>
    </row>
  </sheetData>
  <hyperlinks>
    <hyperlink ref="C4" location="'4.1.1'!A1" display="Registration of Partial Care facilities"/>
    <hyperlink ref="C8" location="'4.1.2'!A1" display="Registration of ECD programmes"/>
    <hyperlink ref="C10" location="'4.1.3'!A1" display="Subsidies to ECD centres"/>
    <hyperlink ref="C15" location="'4.1.4'!A1" display="Inspection, Monitoring and Assessment of Partial Care and ECD services"/>
    <hyperlink ref="C20" location="'4.1.5'!A1" display="Funding to establish ECD centres and improve infrastructure"/>
    <hyperlink ref="C26" location="'4.1.6'!A1" display="Equipment and LSM materials for ECD centres"/>
    <hyperlink ref="C31" location="'4.1.7'!A1" display="Caregiver capacity building courses"/>
    <hyperlink ref="C35" location="'4.1.8'!A1" display="Home-based visiting programme"/>
    <hyperlink ref="C41" location="'4.1.9'!A1" display="Community based playgroups"/>
    <hyperlink ref="C48" location="'4.1.10'!A1" display="Toy libraries"/>
    <hyperlink ref="C56" location="'4.2.1'!A1" display="Training of ECD practitioners"/>
    <hyperlink ref="C57" location="'4.2.2'!A1" display="The payment of stipends to those in training"/>
    <hyperlink ref="C58" location="'4.2.3'!A1" display="Services for children in Grade R"/>
    <hyperlink ref="C64" location="'4.3.1'!A1" display="Access to qualified nurses"/>
    <hyperlink ref="C65" location="'4.3.2'!A1" display="Early antenatal care and maternal and child nutrition in the first 1,000 days"/>
    <hyperlink ref="C70" location="'4.3.3'!A1" display="Emergency obstetric care"/>
    <hyperlink ref="C71" location="'4.3.4'!A1" display="Immunisation, deworming and growth monitoring (Road to Health booklet)"/>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workbookViewId="0">
      <pane xSplit="3" ySplit="3" topLeftCell="D4" activePane="bottomRight" state="frozen"/>
      <selection pane="topRight" activeCell="D1" sqref="D1"/>
      <selection pane="bottomLeft" activeCell="A4" sqref="A4"/>
      <selection pane="bottomRight" activeCell="D13" sqref="D13"/>
    </sheetView>
  </sheetViews>
  <sheetFormatPr defaultRowHeight="15" x14ac:dyDescent="0.25"/>
  <cols>
    <col min="1" max="1" width="1.42578125" style="28" customWidth="1"/>
    <col min="2" max="2" width="11.85546875" style="28" bestFit="1" customWidth="1"/>
    <col min="3" max="3" width="62.5703125" style="28" customWidth="1"/>
    <col min="4" max="6" width="17.7109375" customWidth="1"/>
    <col min="7" max="7" width="2.7109375" customWidth="1"/>
    <col min="8" max="10" width="17.7109375" customWidth="1"/>
    <col min="11" max="16384" width="9.140625" style="28"/>
  </cols>
  <sheetData>
    <row r="1" spans="2:10" ht="20.25" x14ac:dyDescent="0.3">
      <c r="B1" s="151" t="s">
        <v>347</v>
      </c>
      <c r="C1" s="60"/>
      <c r="D1" s="152" t="s">
        <v>338</v>
      </c>
      <c r="E1" s="153"/>
      <c r="F1" s="153"/>
      <c r="G1" s="3"/>
      <c r="H1" s="152" t="s">
        <v>339</v>
      </c>
    </row>
    <row r="2" spans="2:10" ht="15.75" x14ac:dyDescent="0.25">
      <c r="D2" s="123" t="s">
        <v>277</v>
      </c>
      <c r="E2" s="124" t="s">
        <v>278</v>
      </c>
      <c r="F2" s="125" t="s">
        <v>279</v>
      </c>
      <c r="G2" s="38"/>
      <c r="H2" s="123" t="s">
        <v>277</v>
      </c>
      <c r="I2" s="124" t="s">
        <v>278</v>
      </c>
      <c r="J2" s="125" t="s">
        <v>279</v>
      </c>
    </row>
    <row r="3" spans="2:10" ht="13.5" thickBot="1" x14ac:dyDescent="0.25">
      <c r="B3" s="59" t="s">
        <v>242</v>
      </c>
      <c r="C3" s="61"/>
      <c r="D3" s="126" t="e">
        <f>SUM(D4,D7,D8,D12,D17,D20,D21,D22,D23,D24)</f>
        <v>#REF!</v>
      </c>
      <c r="E3" s="126" t="e">
        <f t="shared" ref="E3:F3" si="0">SUM(E4,E7,E8,E12,E17,E20,E21,E22,E23,E24)</f>
        <v>#REF!</v>
      </c>
      <c r="F3" s="126" t="e">
        <f t="shared" si="0"/>
        <v>#REF!</v>
      </c>
      <c r="G3" s="38"/>
      <c r="H3" s="126" t="e">
        <f>SUM(H4,H7,H8,H12,H17,H20,H21,H22,H23,H24)</f>
        <v>#REF!</v>
      </c>
      <c r="I3" s="126" t="e">
        <f t="shared" ref="I3" si="1">SUM(I4,I7,I8,I12,I17,I20,I21,I22,I23,I24)</f>
        <v>#REF!</v>
      </c>
      <c r="J3" s="126" t="e">
        <f t="shared" ref="J3" si="2">SUM(J4,J7,J8,J12,J17,J20,J21,J22,J23,J24)</f>
        <v>#REF!</v>
      </c>
    </row>
    <row r="4" spans="2:10" ht="13.5" thickTop="1" x14ac:dyDescent="0.2">
      <c r="B4" s="31" t="s">
        <v>231</v>
      </c>
      <c r="C4" s="58" t="s">
        <v>19</v>
      </c>
      <c r="D4" s="127">
        <f>SUM(D5:D6)</f>
        <v>0</v>
      </c>
      <c r="E4" s="128">
        <f t="shared" ref="E4:F4" si="3">SUM(E5:E6)</f>
        <v>0</v>
      </c>
      <c r="F4" s="129">
        <f t="shared" si="3"/>
        <v>0</v>
      </c>
      <c r="G4" s="38"/>
      <c r="H4" s="127"/>
      <c r="I4" s="128"/>
      <c r="J4" s="129"/>
    </row>
    <row r="5" spans="2:10" ht="12.75" x14ac:dyDescent="0.2">
      <c r="B5" s="31"/>
      <c r="C5" s="30" t="s">
        <v>0</v>
      </c>
      <c r="D5" s="130"/>
      <c r="E5" s="131"/>
      <c r="F5" s="132"/>
      <c r="G5" s="38"/>
      <c r="H5" s="130"/>
      <c r="I5" s="131"/>
      <c r="J5" s="132"/>
    </row>
    <row r="6" spans="2:10" ht="12.75" x14ac:dyDescent="0.2">
      <c r="B6" s="31"/>
      <c r="C6" s="30" t="s">
        <v>1</v>
      </c>
      <c r="D6" s="130"/>
      <c r="E6" s="131"/>
      <c r="F6" s="132"/>
      <c r="G6" s="38"/>
      <c r="H6" s="130"/>
      <c r="I6" s="131"/>
      <c r="J6" s="132"/>
    </row>
    <row r="7" spans="2:10" ht="12.75" x14ac:dyDescent="0.2">
      <c r="B7" s="31" t="s">
        <v>233</v>
      </c>
      <c r="C7" s="58" t="s">
        <v>26</v>
      </c>
      <c r="D7" s="133"/>
      <c r="E7" s="134"/>
      <c r="F7" s="135"/>
      <c r="G7" s="38"/>
      <c r="H7" s="133"/>
      <c r="I7" s="134"/>
      <c r="J7" s="135"/>
    </row>
    <row r="8" spans="2:10" ht="12.75" x14ac:dyDescent="0.2">
      <c r="B8" s="31" t="s">
        <v>234</v>
      </c>
      <c r="C8" s="58" t="s">
        <v>29</v>
      </c>
      <c r="D8" s="133">
        <f>SUM(D9:D11)</f>
        <v>0</v>
      </c>
      <c r="E8" s="134">
        <f t="shared" ref="E8:F8" si="4">SUM(E9:E11)</f>
        <v>0</v>
      </c>
      <c r="F8" s="135">
        <f t="shared" si="4"/>
        <v>0</v>
      </c>
      <c r="G8" s="38"/>
      <c r="H8" s="133"/>
      <c r="I8" s="134"/>
      <c r="J8" s="135"/>
    </row>
    <row r="9" spans="2:10" ht="12.75" x14ac:dyDescent="0.2">
      <c r="B9" s="31"/>
      <c r="C9" s="30" t="s">
        <v>30</v>
      </c>
      <c r="D9" s="130"/>
      <c r="E9" s="131"/>
      <c r="F9" s="132"/>
      <c r="G9" s="38"/>
      <c r="H9" s="130"/>
      <c r="I9" s="131"/>
      <c r="J9" s="132"/>
    </row>
    <row r="10" spans="2:10" ht="12.75" x14ac:dyDescent="0.2">
      <c r="B10" s="31"/>
      <c r="C10" s="30" t="s">
        <v>36</v>
      </c>
      <c r="D10" s="130"/>
      <c r="E10" s="131"/>
      <c r="F10" s="132"/>
      <c r="G10" s="38"/>
      <c r="H10" s="130"/>
      <c r="I10" s="131"/>
      <c r="J10" s="132"/>
    </row>
    <row r="11" spans="2:10" ht="12.75" x14ac:dyDescent="0.2">
      <c r="B11" s="31"/>
      <c r="C11" s="30" t="s">
        <v>44</v>
      </c>
      <c r="D11" s="130"/>
      <c r="E11" s="131"/>
      <c r="F11" s="132"/>
      <c r="G11" s="38"/>
      <c r="H11" s="130"/>
      <c r="I11" s="131"/>
      <c r="J11" s="132"/>
    </row>
    <row r="12" spans="2:10" ht="12.75" x14ac:dyDescent="0.2">
      <c r="B12" s="31" t="s">
        <v>235</v>
      </c>
      <c r="C12" s="58" t="s">
        <v>50</v>
      </c>
      <c r="D12" s="133">
        <f>SUM(D13:D16)</f>
        <v>0</v>
      </c>
      <c r="E12" s="134">
        <f t="shared" ref="E12:F12" si="5">SUM(E13:E16)</f>
        <v>0</v>
      </c>
      <c r="F12" s="135">
        <f t="shared" si="5"/>
        <v>0</v>
      </c>
      <c r="G12" s="38"/>
      <c r="H12" s="133"/>
      <c r="I12" s="134"/>
      <c r="J12" s="135"/>
    </row>
    <row r="13" spans="2:10" ht="12.75" x14ac:dyDescent="0.2">
      <c r="B13" s="31"/>
      <c r="C13" s="30" t="s">
        <v>55</v>
      </c>
      <c r="D13" s="130"/>
      <c r="E13" s="131"/>
      <c r="F13" s="132"/>
      <c r="G13" s="38"/>
      <c r="H13" s="130"/>
      <c r="I13" s="131"/>
      <c r="J13" s="132"/>
    </row>
    <row r="14" spans="2:10" ht="12.75" x14ac:dyDescent="0.2">
      <c r="B14" s="31"/>
      <c r="C14" s="30" t="s">
        <v>54</v>
      </c>
      <c r="D14" s="130"/>
      <c r="E14" s="131"/>
      <c r="F14" s="132"/>
      <c r="G14" s="38"/>
      <c r="H14" s="130"/>
      <c r="I14" s="131"/>
      <c r="J14" s="132"/>
    </row>
    <row r="15" spans="2:10" ht="12.75" x14ac:dyDescent="0.2">
      <c r="B15" s="31"/>
      <c r="C15" s="30" t="s">
        <v>64</v>
      </c>
      <c r="D15" s="130"/>
      <c r="E15" s="131"/>
      <c r="F15" s="132"/>
      <c r="G15" s="38"/>
      <c r="H15" s="130"/>
      <c r="I15" s="131"/>
      <c r="J15" s="132"/>
    </row>
    <row r="16" spans="2:10" ht="12.75" x14ac:dyDescent="0.2">
      <c r="B16" s="31"/>
      <c r="C16" s="30" t="s">
        <v>73</v>
      </c>
      <c r="D16" s="130"/>
      <c r="E16" s="131"/>
      <c r="F16" s="132"/>
      <c r="G16" s="38"/>
      <c r="H16" s="130"/>
      <c r="I16" s="131"/>
      <c r="J16" s="132"/>
    </row>
    <row r="17" spans="2:10" ht="12.75" x14ac:dyDescent="0.2">
      <c r="B17" s="31" t="s">
        <v>236</v>
      </c>
      <c r="C17" s="58" t="s">
        <v>85</v>
      </c>
      <c r="D17" s="133" t="e">
        <f>SUM(D18:D19)</f>
        <v>#REF!</v>
      </c>
      <c r="E17" s="134" t="e">
        <f t="shared" ref="E17:F17" si="6">SUM(E18:E19)</f>
        <v>#REF!</v>
      </c>
      <c r="F17" s="135" t="e">
        <f t="shared" si="6"/>
        <v>#REF!</v>
      </c>
      <c r="G17" s="38"/>
      <c r="H17" s="133" t="e">
        <f t="shared" ref="H17" si="7">SUM(H18:H19)</f>
        <v>#REF!</v>
      </c>
      <c r="I17" s="134" t="e">
        <f t="shared" ref="I17" si="8">SUM(I18:I19)</f>
        <v>#REF!</v>
      </c>
      <c r="J17" s="135" t="e">
        <f t="shared" ref="J17" si="9">SUM(J18:J19)</f>
        <v>#REF!</v>
      </c>
    </row>
    <row r="18" spans="2:10" ht="12.75" x14ac:dyDescent="0.2">
      <c r="B18" s="31"/>
      <c r="C18" s="30" t="s">
        <v>86</v>
      </c>
      <c r="D18" s="130" t="e">
        <f>#REF!</f>
        <v>#REF!</v>
      </c>
      <c r="E18" s="131" t="e">
        <f>#REF!</f>
        <v>#REF!</v>
      </c>
      <c r="F18" s="132" t="e">
        <f>#REF!</f>
        <v>#REF!</v>
      </c>
      <c r="G18" s="38"/>
      <c r="H18" s="130" t="e">
        <f>#REF!</f>
        <v>#REF!</v>
      </c>
      <c r="I18" s="131" t="e">
        <f>#REF!</f>
        <v>#REF!</v>
      </c>
      <c r="J18" s="132" t="e">
        <f>#REF!</f>
        <v>#REF!</v>
      </c>
    </row>
    <row r="19" spans="2:10" ht="12.75" x14ac:dyDescent="0.2">
      <c r="B19" s="31"/>
      <c r="C19" s="30" t="s">
        <v>92</v>
      </c>
      <c r="D19" s="130" t="e">
        <f>#REF!</f>
        <v>#REF!</v>
      </c>
      <c r="E19" s="131" t="e">
        <f>#REF!</f>
        <v>#REF!</v>
      </c>
      <c r="F19" s="132" t="e">
        <f>#REF!</f>
        <v>#REF!</v>
      </c>
      <c r="G19" s="38"/>
      <c r="H19" s="130" t="e">
        <f>#REF!</f>
        <v>#REF!</v>
      </c>
      <c r="I19" s="131" t="e">
        <f>#REF!</f>
        <v>#REF!</v>
      </c>
      <c r="J19" s="132" t="e">
        <f>#REF!</f>
        <v>#REF!</v>
      </c>
    </row>
    <row r="20" spans="2:10" ht="12.75" x14ac:dyDescent="0.2">
      <c r="B20" s="31" t="s">
        <v>237</v>
      </c>
      <c r="C20" s="58" t="s">
        <v>104</v>
      </c>
      <c r="D20" s="133" t="e">
        <f>#REF!</f>
        <v>#REF!</v>
      </c>
      <c r="E20" s="134" t="e">
        <f>#REF!</f>
        <v>#REF!</v>
      </c>
      <c r="F20" s="135" t="e">
        <f>#REF!</f>
        <v>#REF!</v>
      </c>
      <c r="G20" s="38"/>
      <c r="H20" s="133" t="e">
        <f>#REF!</f>
        <v>#REF!</v>
      </c>
      <c r="I20" s="134" t="e">
        <f>#REF!</f>
        <v>#REF!</v>
      </c>
      <c r="J20" s="135" t="e">
        <f>#REF!</f>
        <v>#REF!</v>
      </c>
    </row>
    <row r="21" spans="2:10" ht="12.75" x14ac:dyDescent="0.2">
      <c r="B21" s="31" t="s">
        <v>238</v>
      </c>
      <c r="C21" s="58" t="s">
        <v>112</v>
      </c>
      <c r="D21" s="133"/>
      <c r="E21" s="134"/>
      <c r="F21" s="135"/>
      <c r="G21" s="38"/>
      <c r="H21" s="133"/>
      <c r="I21" s="134"/>
      <c r="J21" s="135"/>
    </row>
    <row r="22" spans="2:10" ht="12.75" x14ac:dyDescent="0.2">
      <c r="B22" s="31" t="s">
        <v>239</v>
      </c>
      <c r="C22" s="58" t="s">
        <v>119</v>
      </c>
      <c r="D22" s="133"/>
      <c r="E22" s="134"/>
      <c r="F22" s="135"/>
      <c r="G22" s="38"/>
      <c r="H22" s="133"/>
      <c r="I22" s="134"/>
      <c r="J22" s="135"/>
    </row>
    <row r="23" spans="2:10" ht="12.75" x14ac:dyDescent="0.2">
      <c r="B23" s="31" t="s">
        <v>240</v>
      </c>
      <c r="C23" s="58" t="s">
        <v>130</v>
      </c>
      <c r="D23" s="133" t="e">
        <f>#REF!</f>
        <v>#REF!</v>
      </c>
      <c r="E23" s="134" t="e">
        <f>#REF!</f>
        <v>#REF!</v>
      </c>
      <c r="F23" s="135" t="e">
        <f>#REF!</f>
        <v>#REF!</v>
      </c>
      <c r="G23" s="38"/>
      <c r="H23" s="133" t="e">
        <f>#REF!</f>
        <v>#REF!</v>
      </c>
      <c r="I23" s="134" t="e">
        <f>#REF!</f>
        <v>#REF!</v>
      </c>
      <c r="J23" s="135" t="e">
        <f>#REF!</f>
        <v>#REF!</v>
      </c>
    </row>
    <row r="24" spans="2:10" ht="12.75" x14ac:dyDescent="0.2">
      <c r="B24" s="31" t="s">
        <v>241</v>
      </c>
      <c r="C24" s="58" t="s">
        <v>138</v>
      </c>
      <c r="D24" s="133" t="e">
        <f>#REF!</f>
        <v>#REF!</v>
      </c>
      <c r="E24" s="134" t="e">
        <f>#REF!</f>
        <v>#REF!</v>
      </c>
      <c r="F24" s="135" t="e">
        <f>#REF!</f>
        <v>#REF!</v>
      </c>
      <c r="G24" s="38"/>
      <c r="H24" s="133" t="e">
        <f>#REF!</f>
        <v>#REF!</v>
      </c>
      <c r="I24" s="134" t="e">
        <f>#REF!</f>
        <v>#REF!</v>
      </c>
      <c r="J24" s="135" t="e">
        <f>#REF!</f>
        <v>#REF!</v>
      </c>
    </row>
    <row r="25" spans="2:10" ht="13.5" thickBot="1" x14ac:dyDescent="0.25">
      <c r="B25" s="59" t="s">
        <v>243</v>
      </c>
      <c r="C25" s="61"/>
      <c r="D25" s="126" t="e">
        <f>SUM(D26,D27,D28)</f>
        <v>#REF!</v>
      </c>
      <c r="E25" s="126" t="e">
        <f t="shared" ref="E25:F25" si="10">SUM(E26,E27,E28)</f>
        <v>#REF!</v>
      </c>
      <c r="F25" s="126" t="e">
        <f t="shared" si="10"/>
        <v>#REF!</v>
      </c>
      <c r="G25" s="38"/>
      <c r="H25" s="126" t="e">
        <f>SUM(H26,H27,H28)</f>
        <v>#REF!</v>
      </c>
      <c r="I25" s="126" t="e">
        <f t="shared" ref="I25" si="11">SUM(I26,I27,I28)</f>
        <v>#REF!</v>
      </c>
      <c r="J25" s="126" t="e">
        <f t="shared" ref="J25" si="12">SUM(J26,J27,J28)</f>
        <v>#REF!</v>
      </c>
    </row>
    <row r="26" spans="2:10" ht="13.5" thickTop="1" x14ac:dyDescent="0.2">
      <c r="B26" s="32" t="s">
        <v>244</v>
      </c>
      <c r="C26" s="58" t="s">
        <v>154</v>
      </c>
      <c r="D26" s="133"/>
      <c r="E26" s="134"/>
      <c r="F26" s="135"/>
      <c r="G26" s="38"/>
      <c r="H26" s="133"/>
      <c r="I26" s="134"/>
      <c r="J26" s="135"/>
    </row>
    <row r="27" spans="2:10" ht="12.75" x14ac:dyDescent="0.2">
      <c r="B27" s="32" t="s">
        <v>245</v>
      </c>
      <c r="C27" s="58" t="s">
        <v>158</v>
      </c>
      <c r="D27" s="133"/>
      <c r="E27" s="134"/>
      <c r="F27" s="135"/>
      <c r="G27" s="38"/>
      <c r="H27" s="133"/>
      <c r="I27" s="134"/>
      <c r="J27" s="135"/>
    </row>
    <row r="28" spans="2:10" ht="12.75" x14ac:dyDescent="0.2">
      <c r="B28" s="32" t="s">
        <v>246</v>
      </c>
      <c r="C28" s="58" t="s">
        <v>161</v>
      </c>
      <c r="D28" s="133" t="e">
        <f>SUM(D29:D32)</f>
        <v>#REF!</v>
      </c>
      <c r="E28" s="134" t="e">
        <f t="shared" ref="E28:F28" si="13">SUM(E29:E32)</f>
        <v>#REF!</v>
      </c>
      <c r="F28" s="135" t="e">
        <f t="shared" si="13"/>
        <v>#REF!</v>
      </c>
      <c r="G28" s="38"/>
      <c r="H28" s="133" t="e">
        <f t="shared" ref="H28" si="14">SUM(H29:H32)</f>
        <v>#REF!</v>
      </c>
      <c r="I28" s="134" t="e">
        <f t="shared" ref="I28" si="15">SUM(I29:I32)</f>
        <v>#REF!</v>
      </c>
      <c r="J28" s="135" t="e">
        <f t="shared" ref="J28" si="16">SUM(J29:J32)</f>
        <v>#REF!</v>
      </c>
    </row>
    <row r="29" spans="2:10" ht="12.75" x14ac:dyDescent="0.2">
      <c r="B29" s="32"/>
      <c r="C29" s="30" t="s">
        <v>162</v>
      </c>
      <c r="D29" s="130" t="e">
        <f>'4.2.3'!#REF!</f>
        <v>#REF!</v>
      </c>
      <c r="E29" s="131" t="e">
        <f>'4.2.3'!#REF!</f>
        <v>#REF!</v>
      </c>
      <c r="F29" s="132" t="e">
        <f>'4.2.3'!#REF!</f>
        <v>#REF!</v>
      </c>
      <c r="G29" s="38"/>
      <c r="H29" s="130" t="e">
        <f>'4.2.3'!#REF!</f>
        <v>#REF!</v>
      </c>
      <c r="I29" s="131" t="e">
        <f>'4.2.3'!#REF!</f>
        <v>#REF!</v>
      </c>
      <c r="J29" s="132" t="e">
        <f>'4.2.3'!#REF!</f>
        <v>#REF!</v>
      </c>
    </row>
    <row r="30" spans="2:10" ht="12.75" x14ac:dyDescent="0.2">
      <c r="B30" s="32"/>
      <c r="C30" s="30" t="s">
        <v>168</v>
      </c>
      <c r="D30" s="130" t="e">
        <f>'4.2.3'!#REF!</f>
        <v>#REF!</v>
      </c>
      <c r="E30" s="131" t="e">
        <f>'4.2.3'!#REF!</f>
        <v>#REF!</v>
      </c>
      <c r="F30" s="132" t="e">
        <f>'4.2.3'!#REF!</f>
        <v>#REF!</v>
      </c>
      <c r="G30" s="38"/>
      <c r="H30" s="130"/>
      <c r="I30" s="131"/>
      <c r="J30" s="132"/>
    </row>
    <row r="31" spans="2:10" ht="12.75" x14ac:dyDescent="0.2">
      <c r="B31" s="32"/>
      <c r="C31" s="30" t="s">
        <v>171</v>
      </c>
      <c r="D31" s="130" t="e">
        <f>'4.2.3'!#REF!</f>
        <v>#REF!</v>
      </c>
      <c r="E31" s="131" t="e">
        <f>'4.2.3'!#REF!</f>
        <v>#REF!</v>
      </c>
      <c r="F31" s="132" t="e">
        <f>'4.2.3'!#REF!</f>
        <v>#REF!</v>
      </c>
      <c r="G31" s="38"/>
      <c r="H31" s="130" t="e">
        <f>'4.2.3'!#REF!</f>
        <v>#REF!</v>
      </c>
      <c r="I31" s="131" t="e">
        <f>'4.2.3'!#REF!</f>
        <v>#REF!</v>
      </c>
      <c r="J31" s="132" t="e">
        <f>'4.2.3'!#REF!</f>
        <v>#REF!</v>
      </c>
    </row>
    <row r="32" spans="2:10" ht="12.75" x14ac:dyDescent="0.2">
      <c r="B32" s="32"/>
      <c r="C32" s="30" t="s">
        <v>179</v>
      </c>
      <c r="D32" s="130" t="e">
        <f>'4.2.3'!#REF!</f>
        <v>#REF!</v>
      </c>
      <c r="E32" s="131" t="e">
        <f>'4.2.3'!#REF!</f>
        <v>#REF!</v>
      </c>
      <c r="F32" s="132" t="e">
        <f>'4.2.3'!#REF!</f>
        <v>#REF!</v>
      </c>
      <c r="G32" s="38"/>
      <c r="H32" s="130" t="e">
        <f>'4.2.3'!#REF!</f>
        <v>#REF!</v>
      </c>
      <c r="I32" s="131" t="e">
        <f>'4.2.3'!#REF!</f>
        <v>#REF!</v>
      </c>
      <c r="J32" s="132" t="e">
        <f>'4.2.3'!#REF!</f>
        <v>#REF!</v>
      </c>
    </row>
    <row r="33" spans="2:10" ht="13.5" thickBot="1" x14ac:dyDescent="0.25">
      <c r="B33" s="59" t="s">
        <v>247</v>
      </c>
      <c r="C33" s="59"/>
      <c r="D33" s="126">
        <f>SUM(D34,D35,D40,D41)</f>
        <v>0</v>
      </c>
      <c r="E33" s="126">
        <f t="shared" ref="E33:F33" si="17">SUM(E34,E35,E40,E41)</f>
        <v>0</v>
      </c>
      <c r="F33" s="126">
        <f t="shared" si="17"/>
        <v>0</v>
      </c>
      <c r="G33" s="38"/>
      <c r="H33" s="126"/>
      <c r="I33" s="126"/>
      <c r="J33" s="126"/>
    </row>
    <row r="34" spans="2:10" ht="13.5" thickTop="1" x14ac:dyDescent="0.2">
      <c r="B34" s="33" t="s">
        <v>248</v>
      </c>
      <c r="C34" s="58" t="s">
        <v>184</v>
      </c>
      <c r="D34" s="136"/>
      <c r="E34" s="137"/>
      <c r="F34" s="138"/>
      <c r="G34" s="38"/>
      <c r="H34" s="136"/>
      <c r="I34" s="137"/>
      <c r="J34" s="138"/>
    </row>
    <row r="35" spans="2:10" ht="12.75" x14ac:dyDescent="0.2">
      <c r="B35" s="33" t="s">
        <v>249</v>
      </c>
      <c r="C35" s="58" t="s">
        <v>186</v>
      </c>
      <c r="D35" s="133">
        <f>SUM(D36:D40)</f>
        <v>0</v>
      </c>
      <c r="E35" s="134">
        <f t="shared" ref="E35:F35" si="18">SUM(E36:E40)</f>
        <v>0</v>
      </c>
      <c r="F35" s="135">
        <f t="shared" si="18"/>
        <v>0</v>
      </c>
      <c r="G35" s="38"/>
      <c r="H35" s="133"/>
      <c r="I35" s="134"/>
      <c r="J35" s="135"/>
    </row>
    <row r="36" spans="2:10" ht="12.75" x14ac:dyDescent="0.2">
      <c r="B36" s="33"/>
      <c r="C36" s="30" t="s">
        <v>187</v>
      </c>
      <c r="D36" s="130"/>
      <c r="E36" s="131"/>
      <c r="F36" s="132"/>
      <c r="G36" s="38"/>
      <c r="H36" s="130"/>
      <c r="I36" s="131"/>
      <c r="J36" s="132"/>
    </row>
    <row r="37" spans="2:10" ht="12.75" x14ac:dyDescent="0.2">
      <c r="B37" s="33"/>
      <c r="C37" s="30" t="s">
        <v>199</v>
      </c>
      <c r="D37" s="130"/>
      <c r="E37" s="131"/>
      <c r="F37" s="132"/>
      <c r="G37" s="38"/>
      <c r="H37" s="130"/>
      <c r="I37" s="131"/>
      <c r="J37" s="132"/>
    </row>
    <row r="38" spans="2:10" ht="12.75" x14ac:dyDescent="0.2">
      <c r="B38" s="33"/>
      <c r="C38" s="30" t="s">
        <v>206</v>
      </c>
      <c r="D38" s="130"/>
      <c r="E38" s="131"/>
      <c r="F38" s="132"/>
      <c r="G38" s="38"/>
      <c r="H38" s="130"/>
      <c r="I38" s="131"/>
      <c r="J38" s="132"/>
    </row>
    <row r="39" spans="2:10" ht="12.75" x14ac:dyDescent="0.2">
      <c r="B39" s="33"/>
      <c r="C39" s="30" t="s">
        <v>209</v>
      </c>
      <c r="D39" s="130"/>
      <c r="E39" s="131"/>
      <c r="F39" s="132"/>
      <c r="G39" s="38"/>
      <c r="H39" s="130"/>
      <c r="I39" s="131"/>
      <c r="J39" s="132"/>
    </row>
    <row r="40" spans="2:10" ht="12.75" x14ac:dyDescent="0.2">
      <c r="B40" s="33" t="s">
        <v>250</v>
      </c>
      <c r="C40" s="58" t="s">
        <v>214</v>
      </c>
      <c r="D40" s="133"/>
      <c r="E40" s="134"/>
      <c r="F40" s="135"/>
      <c r="G40" s="38"/>
      <c r="H40" s="133"/>
      <c r="I40" s="134"/>
      <c r="J40" s="135"/>
    </row>
    <row r="41" spans="2:10" ht="12.75" x14ac:dyDescent="0.2">
      <c r="B41" s="33" t="s">
        <v>251</v>
      </c>
      <c r="C41" s="58" t="s">
        <v>215</v>
      </c>
      <c r="D41" s="133">
        <f>SUM(D42:D43)</f>
        <v>0</v>
      </c>
      <c r="E41" s="134">
        <f t="shared" ref="E41:F41" si="19">SUM(E42:E43)</f>
        <v>0</v>
      </c>
      <c r="F41" s="135">
        <f t="shared" si="19"/>
        <v>0</v>
      </c>
      <c r="G41" s="38"/>
      <c r="H41" s="133"/>
      <c r="I41" s="134"/>
      <c r="J41" s="135"/>
    </row>
    <row r="42" spans="2:10" ht="12.75" x14ac:dyDescent="0.2">
      <c r="B42" s="33"/>
      <c r="C42" s="30" t="s">
        <v>226</v>
      </c>
      <c r="D42" s="130"/>
      <c r="E42" s="131"/>
      <c r="F42" s="132"/>
      <c r="G42" s="38"/>
      <c r="H42" s="130"/>
      <c r="I42" s="131"/>
      <c r="J42" s="132"/>
    </row>
    <row r="43" spans="2:10" ht="12.75" x14ac:dyDescent="0.2">
      <c r="B43" s="33"/>
      <c r="C43" s="30" t="s">
        <v>225</v>
      </c>
      <c r="D43" s="130"/>
      <c r="E43" s="131"/>
      <c r="F43" s="132"/>
      <c r="G43" s="38"/>
      <c r="H43" s="130"/>
      <c r="I43" s="131"/>
      <c r="J43" s="132"/>
    </row>
    <row r="44" spans="2:10" ht="13.5" thickBot="1" x14ac:dyDescent="0.25">
      <c r="D44" s="139"/>
      <c r="E44" s="140"/>
      <c r="F44" s="141"/>
      <c r="G44" s="154"/>
      <c r="H44" s="139"/>
      <c r="I44" s="140"/>
      <c r="J44" s="141"/>
    </row>
    <row r="45" spans="2:10" ht="14.25" thickTop="1" thickBot="1" x14ac:dyDescent="0.25">
      <c r="C45" s="114" t="s">
        <v>337</v>
      </c>
      <c r="D45" s="145" t="e">
        <f>SUM(D3,D25,D33)</f>
        <v>#REF!</v>
      </c>
      <c r="E45" s="146" t="e">
        <f t="shared" ref="E45:J45" si="20">SUM(E3,E25,E33)</f>
        <v>#REF!</v>
      </c>
      <c r="F45" s="147" t="e">
        <f t="shared" si="20"/>
        <v>#REF!</v>
      </c>
      <c r="G45" s="154"/>
      <c r="H45" s="145" t="e">
        <f>SUM(H3,H25,H33)</f>
        <v>#REF!</v>
      </c>
      <c r="I45" s="146" t="e">
        <f t="shared" si="20"/>
        <v>#REF!</v>
      </c>
      <c r="J45" s="147" t="e">
        <f t="shared" si="20"/>
        <v>#REF!</v>
      </c>
    </row>
    <row r="46" spans="2:10" ht="15.75" thickTop="1" x14ac:dyDescent="0.25">
      <c r="G46" s="154"/>
    </row>
    <row r="47" spans="2:10" x14ac:dyDescent="0.25">
      <c r="G47" s="154"/>
    </row>
    <row r="48" spans="2:10" x14ac:dyDescent="0.25">
      <c r="G48" s="154"/>
    </row>
    <row r="49" spans="7:7" x14ac:dyDescent="0.25">
      <c r="G49" s="154"/>
    </row>
    <row r="50" spans="7:7" x14ac:dyDescent="0.25">
      <c r="G50" s="154"/>
    </row>
    <row r="51" spans="7:7" x14ac:dyDescent="0.25">
      <c r="G51" s="154"/>
    </row>
  </sheetData>
  <sheetProtection sheet="1" objects="1" scenarios="1"/>
  <hyperlinks>
    <hyperlink ref="C4" location="'4.1.1'!A1" display="Registration of Partial Care facilities"/>
    <hyperlink ref="C7" location="'4.1.2'!A1" display="Registration of ECD programmes"/>
    <hyperlink ref="C8" location="'4.1.3'!A1" display="Subsidies to ECD centres"/>
    <hyperlink ref="C12" location="'4.1.4'!A1" display="Inspection, Monitoring and Assessment of Partial Care and ECD services"/>
    <hyperlink ref="C17" location="'4.1.5'!A1" display="Funding to establish ECD centres and improve infrastructure"/>
    <hyperlink ref="C20" location="'4.1.6'!A1" display="Equipment and LSM materials for ECD centres"/>
    <hyperlink ref="C21" location="'4.1.7'!A1" display="Caregiver capacity building courses"/>
    <hyperlink ref="C22" location="'4.1.8'!A1" display="Home-based visiting programme"/>
    <hyperlink ref="C23" location="'4.1.9'!A1" display="Community based playgroups"/>
    <hyperlink ref="C24" location="'4.1.10'!A1" display="Toy libraries"/>
    <hyperlink ref="C26" location="'4.2.1'!A1" display="Training of ECD practitioners"/>
    <hyperlink ref="C27" location="'4.2.2'!A1" display="The payment of stipends to those in training"/>
    <hyperlink ref="C28" location="'4.2.3'!A1" display="Services for children in Grade R"/>
    <hyperlink ref="C34" location="'4.3.1'!A1" display="Access to qualified nurses"/>
    <hyperlink ref="C35" location="'4.3.2'!A1" display="Early antenatal care and maternal and child nutrition in the first 1,000 days"/>
    <hyperlink ref="C40" location="'4.3.3'!A1" display="Emergency obstetric care"/>
    <hyperlink ref="C41" location="'4.3.4'!A1" display="Immunisation, deworming and growth monitoring (Road to Health booklet)"/>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8"/>
  <sheetViews>
    <sheetView showGridLines="0" workbookViewId="0">
      <pane xSplit="3" ySplit="3" topLeftCell="D4" activePane="bottomRight" state="frozen"/>
      <selection pane="topRight" activeCell="D1" sqref="D1"/>
      <selection pane="bottomLeft" activeCell="A4" sqref="A4"/>
      <selection pane="bottomRight" activeCell="D6" sqref="D6"/>
    </sheetView>
  </sheetViews>
  <sheetFormatPr defaultRowHeight="15" x14ac:dyDescent="0.25"/>
  <cols>
    <col min="1" max="1" width="1.140625" style="28" customWidth="1"/>
    <col min="3" max="3" width="65.140625" customWidth="1"/>
    <col min="4" max="6" width="21.85546875" customWidth="1"/>
    <col min="7" max="16384" width="9.140625" style="28"/>
  </cols>
  <sheetData>
    <row r="1" spans="2:6" ht="20.25" x14ac:dyDescent="0.3">
      <c r="B1" s="151" t="s">
        <v>344</v>
      </c>
      <c r="C1" s="60"/>
      <c r="D1" s="155"/>
    </row>
    <row r="2" spans="2:6" ht="15.75" x14ac:dyDescent="0.25">
      <c r="D2" s="156" t="s">
        <v>277</v>
      </c>
      <c r="E2" s="157" t="s">
        <v>278</v>
      </c>
      <c r="F2" s="158" t="s">
        <v>279</v>
      </c>
    </row>
    <row r="3" spans="2:6" ht="15.75" x14ac:dyDescent="0.25">
      <c r="B3" s="59" t="s">
        <v>242</v>
      </c>
      <c r="C3" s="116"/>
      <c r="D3" s="159"/>
      <c r="E3" s="159"/>
      <c r="F3" s="159"/>
    </row>
    <row r="4" spans="2:6" ht="12.75" x14ac:dyDescent="0.2">
      <c r="B4" s="31" t="s">
        <v>231</v>
      </c>
      <c r="C4" s="117" t="s">
        <v>19</v>
      </c>
      <c r="D4" s="160"/>
      <c r="E4" s="161"/>
      <c r="F4" s="162"/>
    </row>
    <row r="5" spans="2:6" ht="12.75" x14ac:dyDescent="0.2">
      <c r="B5" s="31"/>
      <c r="C5" s="30" t="e">
        <f>#REF!</f>
        <v>#REF!</v>
      </c>
      <c r="D5" s="163" t="e">
        <f>#REF!</f>
        <v>#REF!</v>
      </c>
      <c r="E5" s="164" t="e">
        <f>#REF!</f>
        <v>#REF!</v>
      </c>
      <c r="F5" s="165" t="e">
        <f>#REF!</f>
        <v>#REF!</v>
      </c>
    </row>
    <row r="6" spans="2:6" ht="12.75" x14ac:dyDescent="0.2">
      <c r="B6" s="31"/>
      <c r="C6" s="30" t="e">
        <f>#REF!</f>
        <v>#REF!</v>
      </c>
      <c r="D6" s="166" t="e">
        <f>#REF!</f>
        <v>#REF!</v>
      </c>
      <c r="E6" s="167" t="e">
        <f>#REF!</f>
        <v>#REF!</v>
      </c>
      <c r="F6" s="168" t="e">
        <f>#REF!</f>
        <v>#REF!</v>
      </c>
    </row>
    <row r="7" spans="2:6" ht="12.75" x14ac:dyDescent="0.2">
      <c r="B7" s="31" t="s">
        <v>233</v>
      </c>
      <c r="C7" s="118" t="s">
        <v>26</v>
      </c>
      <c r="D7" s="169"/>
      <c r="E7" s="170"/>
      <c r="F7" s="171"/>
    </row>
    <row r="8" spans="2:6" ht="12.75" x14ac:dyDescent="0.2">
      <c r="B8" s="31"/>
      <c r="C8" s="111" t="e">
        <f>#REF!</f>
        <v>#REF!</v>
      </c>
      <c r="D8" s="172" t="e">
        <f>#REF!</f>
        <v>#REF!</v>
      </c>
      <c r="E8" s="173" t="e">
        <f>#REF!</f>
        <v>#REF!</v>
      </c>
      <c r="F8" s="174" t="e">
        <f>#REF!</f>
        <v>#REF!</v>
      </c>
    </row>
    <row r="9" spans="2:6" ht="12.75" x14ac:dyDescent="0.2">
      <c r="B9" s="31" t="s">
        <v>234</v>
      </c>
      <c r="C9" s="119" t="s">
        <v>29</v>
      </c>
      <c r="D9" s="166"/>
      <c r="E9" s="167"/>
      <c r="F9" s="168"/>
    </row>
    <row r="10" spans="2:6" ht="12.75" x14ac:dyDescent="0.2">
      <c r="B10" s="31"/>
      <c r="C10" s="111" t="e">
        <f>#REF!</f>
        <v>#REF!</v>
      </c>
      <c r="D10" s="172" t="e">
        <f>#REF!</f>
        <v>#REF!</v>
      </c>
      <c r="E10" s="173" t="e">
        <f>#REF!</f>
        <v>#REF!</v>
      </c>
      <c r="F10" s="174" t="e">
        <f>#REF!</f>
        <v>#REF!</v>
      </c>
    </row>
    <row r="11" spans="2:6" ht="12.75" x14ac:dyDescent="0.2">
      <c r="B11" s="31"/>
      <c r="C11" s="51" t="e">
        <f>#REF!</f>
        <v>#REF!</v>
      </c>
      <c r="D11" s="175" t="e">
        <f>#REF!</f>
        <v>#REF!</v>
      </c>
      <c r="E11" s="176" t="e">
        <f>#REF!</f>
        <v>#REF!</v>
      </c>
      <c r="F11" s="177" t="e">
        <f>#REF!</f>
        <v>#REF!</v>
      </c>
    </row>
    <row r="12" spans="2:6" ht="12.75" x14ac:dyDescent="0.2">
      <c r="B12" s="31"/>
      <c r="C12" s="69" t="e">
        <f>#REF!</f>
        <v>#REF!</v>
      </c>
      <c r="D12" s="166" t="e">
        <f>#REF!</f>
        <v>#REF!</v>
      </c>
      <c r="E12" s="167" t="e">
        <f>#REF!</f>
        <v>#REF!</v>
      </c>
      <c r="F12" s="168" t="e">
        <f>#REF!</f>
        <v>#REF!</v>
      </c>
    </row>
    <row r="13" spans="2:6" ht="12.75" x14ac:dyDescent="0.2">
      <c r="B13" s="31" t="s">
        <v>235</v>
      </c>
      <c r="C13" s="58" t="s">
        <v>50</v>
      </c>
      <c r="D13" s="169"/>
      <c r="E13" s="170"/>
      <c r="F13" s="171"/>
    </row>
    <row r="14" spans="2:6" ht="12.75" x14ac:dyDescent="0.2">
      <c r="B14" s="31"/>
      <c r="C14" s="111" t="e">
        <f>#REF!</f>
        <v>#REF!</v>
      </c>
      <c r="D14" s="172" t="e">
        <f>#REF!</f>
        <v>#REF!</v>
      </c>
      <c r="E14" s="173" t="e">
        <f>#REF!</f>
        <v>#REF!</v>
      </c>
      <c r="F14" s="174" t="e">
        <f>#REF!</f>
        <v>#REF!</v>
      </c>
    </row>
    <row r="15" spans="2:6" ht="12.75" x14ac:dyDescent="0.2">
      <c r="B15" s="31"/>
      <c r="C15" s="51" t="e">
        <f>#REF!</f>
        <v>#REF!</v>
      </c>
      <c r="D15" s="175" t="e">
        <f>#REF!</f>
        <v>#REF!</v>
      </c>
      <c r="E15" s="176" t="e">
        <f>#REF!</f>
        <v>#REF!</v>
      </c>
      <c r="F15" s="177" t="e">
        <f>#REF!</f>
        <v>#REF!</v>
      </c>
    </row>
    <row r="16" spans="2:6" ht="12.75" x14ac:dyDescent="0.2">
      <c r="B16" s="31"/>
      <c r="C16" s="69" t="e">
        <f>#REF!</f>
        <v>#REF!</v>
      </c>
      <c r="D16" s="166" t="e">
        <f>#REF!</f>
        <v>#REF!</v>
      </c>
      <c r="E16" s="167" t="e">
        <f>#REF!</f>
        <v>#REF!</v>
      </c>
      <c r="F16" s="168" t="e">
        <f>#REF!</f>
        <v>#REF!</v>
      </c>
    </row>
    <row r="17" spans="2:6" ht="12.75" x14ac:dyDescent="0.2">
      <c r="B17" s="31" t="s">
        <v>236</v>
      </c>
      <c r="C17" s="58" t="s">
        <v>85</v>
      </c>
      <c r="D17" s="169"/>
      <c r="E17" s="170"/>
      <c r="F17" s="171"/>
    </row>
    <row r="18" spans="2:6" ht="12.75" x14ac:dyDescent="0.2">
      <c r="B18" s="31"/>
      <c r="C18" s="111" t="e">
        <f>#REF!</f>
        <v>#REF!</v>
      </c>
      <c r="D18" s="172" t="e">
        <f>#REF!</f>
        <v>#REF!</v>
      </c>
      <c r="E18" s="173" t="e">
        <f>#REF!</f>
        <v>#REF!</v>
      </c>
      <c r="F18" s="174" t="e">
        <f>#REF!</f>
        <v>#REF!</v>
      </c>
    </row>
    <row r="19" spans="2:6" ht="12.75" x14ac:dyDescent="0.2">
      <c r="B19" s="31"/>
      <c r="C19" s="51" t="e">
        <f>#REF!</f>
        <v>#REF!</v>
      </c>
      <c r="D19" s="175" t="e">
        <f>#REF!</f>
        <v>#REF!</v>
      </c>
      <c r="E19" s="176" t="e">
        <f>#REF!</f>
        <v>#REF!</v>
      </c>
      <c r="F19" s="177" t="e">
        <f>#REF!</f>
        <v>#REF!</v>
      </c>
    </row>
    <row r="20" spans="2:6" ht="12.75" x14ac:dyDescent="0.2">
      <c r="B20" s="31"/>
      <c r="C20" s="69" t="e">
        <f>#REF!</f>
        <v>#REF!</v>
      </c>
      <c r="D20" s="166" t="e">
        <f>#REF!</f>
        <v>#REF!</v>
      </c>
      <c r="E20" s="167" t="e">
        <f>#REF!</f>
        <v>#REF!</v>
      </c>
      <c r="F20" s="168" t="e">
        <f>#REF!</f>
        <v>#REF!</v>
      </c>
    </row>
    <row r="21" spans="2:6" ht="12.75" x14ac:dyDescent="0.2">
      <c r="B21" s="31" t="s">
        <v>237</v>
      </c>
      <c r="C21" s="58" t="s">
        <v>104</v>
      </c>
      <c r="D21" s="169"/>
      <c r="E21" s="170"/>
      <c r="F21" s="171"/>
    </row>
    <row r="22" spans="2:6" ht="12.75" x14ac:dyDescent="0.2">
      <c r="B22" s="31"/>
      <c r="C22" s="109" t="e">
        <f>#REF!</f>
        <v>#REF!</v>
      </c>
      <c r="D22" s="172"/>
      <c r="E22" s="173"/>
      <c r="F22" s="174"/>
    </row>
    <row r="23" spans="2:6" ht="12.75" x14ac:dyDescent="0.2">
      <c r="B23" s="31"/>
      <c r="C23" s="51" t="e">
        <f>#REF!</f>
        <v>#REF!</v>
      </c>
      <c r="D23" s="175" t="e">
        <f>#REF!</f>
        <v>#REF!</v>
      </c>
      <c r="E23" s="176" t="e">
        <f>#REF!</f>
        <v>#REF!</v>
      </c>
      <c r="F23" s="177" t="e">
        <f>#REF!</f>
        <v>#REF!</v>
      </c>
    </row>
    <row r="24" spans="2:6" ht="12.75" x14ac:dyDescent="0.2">
      <c r="B24" s="31"/>
      <c r="C24" s="51" t="e">
        <f>#REF!</f>
        <v>#REF!</v>
      </c>
      <c r="D24" s="175" t="e">
        <f>#REF!</f>
        <v>#REF!</v>
      </c>
      <c r="E24" s="176" t="e">
        <f>#REF!</f>
        <v>#REF!</v>
      </c>
      <c r="F24" s="177" t="e">
        <f>#REF!</f>
        <v>#REF!</v>
      </c>
    </row>
    <row r="25" spans="2:6" ht="12.75" x14ac:dyDescent="0.2">
      <c r="B25" s="31"/>
      <c r="C25" s="69" t="e">
        <f>#REF!</f>
        <v>#REF!</v>
      </c>
      <c r="D25" s="166" t="e">
        <f>#REF!</f>
        <v>#REF!</v>
      </c>
      <c r="E25" s="167" t="e">
        <f>#REF!</f>
        <v>#REF!</v>
      </c>
      <c r="F25" s="168" t="e">
        <f>#REF!</f>
        <v>#REF!</v>
      </c>
    </row>
    <row r="26" spans="2:6" ht="12.75" x14ac:dyDescent="0.2">
      <c r="B26" s="31" t="s">
        <v>238</v>
      </c>
      <c r="C26" s="58" t="s">
        <v>112</v>
      </c>
      <c r="D26" s="178"/>
      <c r="E26" s="179"/>
      <c r="F26" s="180"/>
    </row>
    <row r="27" spans="2:6" ht="12.75" x14ac:dyDescent="0.2">
      <c r="B27" s="31"/>
      <c r="C27" s="120" t="e">
        <f>#REF!</f>
        <v>#REF!</v>
      </c>
      <c r="D27" s="169" t="e">
        <f>#REF!</f>
        <v>#REF!</v>
      </c>
      <c r="E27" s="170" t="e">
        <f>#REF!</f>
        <v>#REF!</v>
      </c>
      <c r="F27" s="171" t="e">
        <f>#REF!</f>
        <v>#REF!</v>
      </c>
    </row>
    <row r="28" spans="2:6" ht="12.75" x14ac:dyDescent="0.2">
      <c r="B28" s="31" t="s">
        <v>239</v>
      </c>
      <c r="C28" s="58" t="s">
        <v>119</v>
      </c>
      <c r="D28" s="169"/>
      <c r="E28" s="170"/>
      <c r="F28" s="171"/>
    </row>
    <row r="29" spans="2:6" ht="12.75" x14ac:dyDescent="0.2">
      <c r="B29" s="31"/>
      <c r="C29" s="111" t="e">
        <f>#REF!</f>
        <v>#REF!</v>
      </c>
      <c r="D29" s="172" t="e">
        <f>#REF!</f>
        <v>#REF!</v>
      </c>
      <c r="E29" s="173" t="e">
        <f>#REF!</f>
        <v>#REF!</v>
      </c>
      <c r="F29" s="174" t="e">
        <f>#REF!</f>
        <v>#REF!</v>
      </c>
    </row>
    <row r="30" spans="2:6" ht="12.75" x14ac:dyDescent="0.2">
      <c r="B30" s="31"/>
      <c r="C30" s="69" t="e">
        <f>#REF!</f>
        <v>#REF!</v>
      </c>
      <c r="D30" s="166" t="e">
        <f>#REF!</f>
        <v>#REF!</v>
      </c>
      <c r="E30" s="167" t="e">
        <f>#REF!</f>
        <v>#REF!</v>
      </c>
      <c r="F30" s="168" t="e">
        <f>#REF!</f>
        <v>#REF!</v>
      </c>
    </row>
    <row r="31" spans="2:6" ht="12.75" x14ac:dyDescent="0.2">
      <c r="B31" s="31" t="s">
        <v>240</v>
      </c>
      <c r="C31" s="58" t="s">
        <v>130</v>
      </c>
      <c r="D31" s="169"/>
      <c r="E31" s="170"/>
      <c r="F31" s="171"/>
    </row>
    <row r="32" spans="2:6" ht="12.75" x14ac:dyDescent="0.2">
      <c r="B32" s="31"/>
      <c r="C32" s="120" t="e">
        <f>#REF!</f>
        <v>#REF!</v>
      </c>
      <c r="D32" s="169" t="e">
        <f>#REF!</f>
        <v>#REF!</v>
      </c>
      <c r="E32" s="170" t="e">
        <f>#REF!</f>
        <v>#REF!</v>
      </c>
      <c r="F32" s="171" t="e">
        <f>#REF!</f>
        <v>#REF!</v>
      </c>
    </row>
    <row r="33" spans="2:6" ht="12.75" x14ac:dyDescent="0.2">
      <c r="B33" s="31" t="s">
        <v>241</v>
      </c>
      <c r="C33" s="58" t="s">
        <v>138</v>
      </c>
      <c r="D33" s="169"/>
      <c r="E33" s="170"/>
      <c r="F33" s="171"/>
    </row>
    <row r="34" spans="2:6" ht="12.75" x14ac:dyDescent="0.2">
      <c r="B34" s="31"/>
      <c r="C34" s="111" t="e">
        <f>#REF!</f>
        <v>#REF!</v>
      </c>
      <c r="D34" s="172" t="e">
        <f>#REF!</f>
        <v>#REF!</v>
      </c>
      <c r="E34" s="173" t="e">
        <f>#REF!</f>
        <v>#REF!</v>
      </c>
      <c r="F34" s="174" t="e">
        <f>#REF!</f>
        <v>#REF!</v>
      </c>
    </row>
    <row r="35" spans="2:6" ht="12.75" x14ac:dyDescent="0.2">
      <c r="B35" s="31"/>
      <c r="C35" s="51" t="e">
        <f>#REF!</f>
        <v>#REF!</v>
      </c>
      <c r="D35" s="181" t="e">
        <f>#REF!</f>
        <v>#REF!</v>
      </c>
      <c r="E35" s="182" t="e">
        <f>#REF!</f>
        <v>#REF!</v>
      </c>
      <c r="F35" s="183" t="e">
        <f>#REF!</f>
        <v>#REF!</v>
      </c>
    </row>
    <row r="36" spans="2:6" ht="12.75" x14ac:dyDescent="0.2">
      <c r="B36" s="31"/>
      <c r="C36" s="69" t="e">
        <f>#REF!</f>
        <v>#REF!</v>
      </c>
      <c r="D36" s="166" t="e">
        <f>#REF!</f>
        <v>#REF!</v>
      </c>
      <c r="E36" s="167" t="e">
        <f>#REF!</f>
        <v>#REF!</v>
      </c>
      <c r="F36" s="168" t="e">
        <f>#REF!</f>
        <v>#REF!</v>
      </c>
    </row>
    <row r="37" spans="2:6" ht="12.75" x14ac:dyDescent="0.2">
      <c r="B37" s="59" t="s">
        <v>243</v>
      </c>
      <c r="C37" s="61"/>
      <c r="D37" s="184"/>
      <c r="E37" s="184"/>
      <c r="F37" s="184"/>
    </row>
    <row r="38" spans="2:6" ht="12.75" x14ac:dyDescent="0.2">
      <c r="B38" s="32" t="s">
        <v>244</v>
      </c>
      <c r="C38" s="58" t="s">
        <v>154</v>
      </c>
      <c r="D38" s="166"/>
      <c r="E38" s="167"/>
      <c r="F38" s="168"/>
    </row>
    <row r="39" spans="2:6" ht="12.75" x14ac:dyDescent="0.2">
      <c r="B39" s="32"/>
      <c r="C39" s="111" t="str">
        <f>'4.2.1'!C22</f>
        <v>Number of ECD practitioners trained per year</v>
      </c>
      <c r="D39" s="172" t="e">
        <f>'4.2.1'!D22</f>
        <v>#REF!</v>
      </c>
      <c r="E39" s="173" t="e">
        <f>'4.2.1'!E22</f>
        <v>#REF!</v>
      </c>
      <c r="F39" s="174" t="e">
        <f>'4.2.1'!F22</f>
        <v>#REF!</v>
      </c>
    </row>
    <row r="40" spans="2:6" ht="12.75" x14ac:dyDescent="0.2">
      <c r="B40" s="32"/>
      <c r="C40" s="69" t="str">
        <f>'4.2.1'!C23</f>
        <v>Number of Grade R Educators trained per year</v>
      </c>
      <c r="D40" s="166">
        <f>'4.2.1'!D23</f>
        <v>0</v>
      </c>
      <c r="E40" s="167">
        <f>'4.2.1'!E23</f>
        <v>0</v>
      </c>
      <c r="F40" s="168">
        <f>'4.2.1'!F23</f>
        <v>0</v>
      </c>
    </row>
    <row r="41" spans="2:6" ht="12.75" x14ac:dyDescent="0.2">
      <c r="B41" s="32" t="s">
        <v>245</v>
      </c>
      <c r="C41" s="58" t="s">
        <v>158</v>
      </c>
      <c r="D41" s="169"/>
      <c r="E41" s="170"/>
      <c r="F41" s="171"/>
    </row>
    <row r="42" spans="2:6" ht="12.75" x14ac:dyDescent="0.2">
      <c r="B42" s="32"/>
      <c r="C42" s="120" t="str">
        <f>'4.2.2'!C22</f>
        <v>Stipends paid per year</v>
      </c>
      <c r="D42" s="169">
        <f>'4.2.2'!D22</f>
        <v>0</v>
      </c>
      <c r="E42" s="170">
        <f>'4.2.2'!E22</f>
        <v>0</v>
      </c>
      <c r="F42" s="171">
        <f>'4.2.2'!F22</f>
        <v>0</v>
      </c>
    </row>
    <row r="43" spans="2:6" ht="12.75" x14ac:dyDescent="0.2">
      <c r="B43" s="32" t="s">
        <v>246</v>
      </c>
      <c r="C43" s="58" t="s">
        <v>161</v>
      </c>
      <c r="D43" s="169"/>
      <c r="E43" s="170"/>
      <c r="F43" s="171"/>
    </row>
    <row r="44" spans="2:6" ht="12.75" x14ac:dyDescent="0.2">
      <c r="B44" s="32"/>
      <c r="C44" s="111" t="str">
        <f>'4.2.3'!C13</f>
        <v>Grade R classrooms built and furnished per year</v>
      </c>
      <c r="D44" s="172">
        <f>'4.2.3'!D13</f>
        <v>0</v>
      </c>
      <c r="E44" s="173">
        <f>'4.2.3'!E13</f>
        <v>0</v>
      </c>
      <c r="F44" s="174">
        <f>'4.2.3'!F13</f>
        <v>0</v>
      </c>
    </row>
    <row r="45" spans="2:6" ht="12.75" x14ac:dyDescent="0.2">
      <c r="B45" s="32"/>
      <c r="C45" s="51" t="str">
        <f>'4.2.3'!C14</f>
        <v>Play-Ground Equipment provided per year</v>
      </c>
      <c r="D45" s="175">
        <f>'4.2.3'!D14</f>
        <v>0</v>
      </c>
      <c r="E45" s="176">
        <f>'4.2.3'!E14</f>
        <v>0</v>
      </c>
      <c r="F45" s="177">
        <f>'4.2.3'!F14</f>
        <v>0</v>
      </c>
    </row>
    <row r="46" spans="2:6" ht="12.75" x14ac:dyDescent="0.2">
      <c r="B46" s="32"/>
      <c r="C46" s="69" t="str">
        <f>'4.2.3'!C15</f>
        <v>LSM packs provided per year</v>
      </c>
      <c r="D46" s="185">
        <f>'4.2.3'!D15</f>
        <v>0</v>
      </c>
      <c r="E46" s="186">
        <f>'4.2.3'!E15</f>
        <v>0</v>
      </c>
      <c r="F46" s="187">
        <f>'4.2.3'!F15</f>
        <v>0</v>
      </c>
    </row>
    <row r="47" spans="2:6" ht="12.75" x14ac:dyDescent="0.2">
      <c r="B47" s="59" t="s">
        <v>247</v>
      </c>
      <c r="C47" s="59"/>
      <c r="D47" s="188"/>
      <c r="E47" s="188"/>
      <c r="F47" s="188"/>
    </row>
    <row r="48" spans="2:6" ht="12.75" x14ac:dyDescent="0.2">
      <c r="B48" s="33" t="s">
        <v>248</v>
      </c>
      <c r="C48" s="58" t="s">
        <v>184</v>
      </c>
      <c r="D48" s="185"/>
      <c r="E48" s="186"/>
      <c r="F48" s="187"/>
    </row>
    <row r="49" spans="2:6" ht="12.75" x14ac:dyDescent="0.2">
      <c r="B49" s="33"/>
      <c r="C49" s="111" t="str">
        <f>'4.3.1'!C22</f>
        <v>Number of nurses (FTE) performing check ups on children</v>
      </c>
      <c r="D49" s="172">
        <f>'4.3.1'!D22</f>
        <v>0</v>
      </c>
      <c r="E49" s="173">
        <f>'4.3.1'!E22</f>
        <v>0</v>
      </c>
      <c r="F49" s="174">
        <f>'4.3.1'!F22</f>
        <v>0</v>
      </c>
    </row>
    <row r="50" spans="2:6" ht="12.75" x14ac:dyDescent="0.2">
      <c r="B50" s="33"/>
      <c r="C50" s="69" t="str">
        <f>'4.3.1'!C23</f>
        <v>Nurses per 1000 children in target group (up to 6 years)</v>
      </c>
      <c r="D50" s="243" t="e">
        <f>'4.3.1'!D23</f>
        <v>#DIV/0!</v>
      </c>
      <c r="E50" s="244" t="e">
        <f>'4.3.1'!E23</f>
        <v>#DIV/0!</v>
      </c>
      <c r="F50" s="245" t="e">
        <f>'4.3.1'!F23</f>
        <v>#DIV/0!</v>
      </c>
    </row>
    <row r="51" spans="2:6" ht="12.75" x14ac:dyDescent="0.2">
      <c r="B51" s="33" t="s">
        <v>249</v>
      </c>
      <c r="C51" s="58" t="s">
        <v>186</v>
      </c>
      <c r="D51" s="189"/>
      <c r="E51" s="190"/>
      <c r="F51" s="191"/>
    </row>
    <row r="52" spans="2:6" ht="12.75" x14ac:dyDescent="0.2">
      <c r="B52" s="33"/>
      <c r="C52" s="111" t="str">
        <f>'4.3.2'!C13</f>
        <v>Number of mothers and new borns provided with supplements</v>
      </c>
      <c r="D52" s="163">
        <f>'4.3.2'!D13</f>
        <v>0</v>
      </c>
      <c r="E52" s="164">
        <f>'4.3.2'!E13</f>
        <v>0</v>
      </c>
      <c r="F52" s="165">
        <f>'4.3.2'!F13</f>
        <v>0</v>
      </c>
    </row>
    <row r="53" spans="2:6" ht="12.75" x14ac:dyDescent="0.2">
      <c r="B53" s="33"/>
      <c r="C53" s="69" t="str">
        <f>'4.3.2'!C14</f>
        <v>Number of nurse:children interactions with 0-6 year olds per year</v>
      </c>
      <c r="D53" s="185">
        <f>'4.3.2'!D14</f>
        <v>0</v>
      </c>
      <c r="E53" s="186">
        <f>'4.3.2'!E14</f>
        <v>0</v>
      </c>
      <c r="F53" s="187">
        <f>'4.3.2'!F14</f>
        <v>0</v>
      </c>
    </row>
    <row r="54" spans="2:6" ht="12.75" x14ac:dyDescent="0.2">
      <c r="B54" s="33" t="s">
        <v>250</v>
      </c>
      <c r="C54" s="58" t="s">
        <v>214</v>
      </c>
      <c r="D54" s="189"/>
      <c r="E54" s="190"/>
      <c r="F54" s="191"/>
    </row>
    <row r="55" spans="2:6" ht="12.75" x14ac:dyDescent="0.2">
      <c r="B55" s="33"/>
      <c r="C55" s="120" t="e">
        <f>'4.3.3'!#REF!</f>
        <v>#REF!</v>
      </c>
      <c r="D55" s="189" t="e">
        <f>'4.3.3'!#REF!</f>
        <v>#REF!</v>
      </c>
      <c r="E55" s="190" t="e">
        <f>'4.3.3'!#REF!</f>
        <v>#REF!</v>
      </c>
      <c r="F55" s="191" t="e">
        <f>'4.3.3'!#REF!</f>
        <v>#REF!</v>
      </c>
    </row>
    <row r="56" spans="2:6" ht="12.75" x14ac:dyDescent="0.2">
      <c r="B56" s="33" t="s">
        <v>251</v>
      </c>
      <c r="C56" s="58" t="s">
        <v>215</v>
      </c>
      <c r="D56" s="189"/>
      <c r="E56" s="190"/>
      <c r="F56" s="191"/>
    </row>
    <row r="57" spans="2:6" ht="12.75" x14ac:dyDescent="0.2">
      <c r="B57" s="33"/>
      <c r="C57" s="111" t="str">
        <f>'4.3.4'!C22</f>
        <v>Number of children who are vacinnated in a year</v>
      </c>
      <c r="D57" s="163" t="e">
        <f>'4.3.4'!D22</f>
        <v>#NAME?</v>
      </c>
      <c r="E57" s="164" t="e">
        <f>'4.3.4'!E22</f>
        <v>#NAME?</v>
      </c>
      <c r="F57" s="165" t="e">
        <f>'4.3.4'!F22</f>
        <v>#NAME?</v>
      </c>
    </row>
    <row r="58" spans="2:6" ht="12.75" x14ac:dyDescent="0.2">
      <c r="B58" s="33"/>
      <c r="C58" s="69" t="str">
        <f>'4.3.4'!C23</f>
        <v>Number of children receiving de-worming tablets</v>
      </c>
      <c r="D58" s="185">
        <f>'4.3.4'!D23</f>
        <v>0</v>
      </c>
      <c r="E58" s="186">
        <f>'4.3.4'!E23</f>
        <v>0</v>
      </c>
      <c r="F58" s="187">
        <f>'4.3.4'!F23</f>
        <v>0</v>
      </c>
    </row>
  </sheetData>
  <sheetProtection sheet="1" objects="1" scenarios="1"/>
  <hyperlinks>
    <hyperlink ref="C7" location="'4.1.2'!A1" display="Registration of ECD programmes"/>
    <hyperlink ref="C9" location="'4.1.3'!A1" display="Subsidies to ECD centres"/>
    <hyperlink ref="C13" location="'4.1.4'!A1" display="Inspection, Monitoring and Assessment of Partial Care and ECD services"/>
    <hyperlink ref="C17" location="'4.1.5'!A1" display="Funding to establish ECD centres and improve infrastructure"/>
    <hyperlink ref="C21" location="'4.1.6'!A1" display="Equipment and LSM materials for ECD centres"/>
    <hyperlink ref="C26" location="'4.1.7'!A1" display="Caregiver capacity building courses"/>
    <hyperlink ref="C28" location="'4.1.8'!A1" display="Home-based visiting programme"/>
    <hyperlink ref="C31" location="'4.1.9'!A1" display="Community based playgroups"/>
    <hyperlink ref="C33" location="'4.1.10'!A1" display="Toy libraries"/>
    <hyperlink ref="C38" location="'4.2.1'!A1" display="Training of ECD practitioners"/>
    <hyperlink ref="C41" location="'4.2.2'!A1" display="The payment of stipends to those in training"/>
    <hyperlink ref="C43" location="'4.2.3'!A1" display="Services for children in Grade R"/>
    <hyperlink ref="C48" location="'4.3.1'!A1" display="Access to qualified nurses"/>
    <hyperlink ref="C51" location="'4.3.2'!A1" display="Early antenatal care and maternal and child nutrition in the first 1,000 days"/>
    <hyperlink ref="C54" location="'4.3.3'!A1" display="Emergency obstetric care"/>
    <hyperlink ref="C56" location="'4.3.4'!A1" display="Immunisation, deworming and growth monitoring (Road to Health booklet)"/>
    <hyperlink ref="C4" location="'4.1.1'!A1" display="Registration of Partial Care facilities"/>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L128"/>
  <sheetViews>
    <sheetView showGridLines="0" workbookViewId="0">
      <pane ySplit="4" topLeftCell="A15" activePane="bottomLeft" state="frozen"/>
      <selection activeCell="I64" sqref="I64"/>
      <selection pane="bottomLeft" activeCell="D54" sqref="D54"/>
    </sheetView>
  </sheetViews>
  <sheetFormatPr defaultRowHeight="14.25" x14ac:dyDescent="0.2"/>
  <cols>
    <col min="1" max="1" width="3.140625" style="525" customWidth="1"/>
    <col min="2" max="2" width="71.5703125" style="525" customWidth="1"/>
    <col min="3" max="3" width="5.140625" style="525" customWidth="1"/>
    <col min="4" max="9" width="16.140625" style="525" customWidth="1"/>
    <col min="10" max="10" width="6.28515625" style="525" customWidth="1"/>
    <col min="11" max="16384" width="9.140625" style="525"/>
  </cols>
  <sheetData>
    <row r="2" spans="2:9" ht="20.25" x14ac:dyDescent="0.2">
      <c r="B2" s="520" t="s">
        <v>365</v>
      </c>
      <c r="C2" s="520"/>
      <c r="D2" s="520"/>
      <c r="E2" s="521"/>
      <c r="F2" s="522"/>
      <c r="G2" s="523"/>
      <c r="H2" s="524"/>
      <c r="I2" s="524"/>
    </row>
    <row r="3" spans="2:9" ht="15" x14ac:dyDescent="0.25">
      <c r="D3" s="526" t="s">
        <v>804</v>
      </c>
      <c r="E3" s="933" t="s">
        <v>704</v>
      </c>
      <c r="F3" s="933"/>
      <c r="G3" s="933"/>
      <c r="H3" s="527" t="s">
        <v>278</v>
      </c>
      <c r="I3" s="528" t="s">
        <v>810</v>
      </c>
    </row>
    <row r="4" spans="2:9" ht="15" x14ac:dyDescent="0.25">
      <c r="D4" s="529" t="s">
        <v>371</v>
      </c>
      <c r="E4" s="530" t="s">
        <v>371</v>
      </c>
      <c r="F4" s="530" t="s">
        <v>372</v>
      </c>
      <c r="G4" s="530" t="s">
        <v>373</v>
      </c>
      <c r="H4" s="527" t="s">
        <v>371</v>
      </c>
      <c r="I4" s="528" t="s">
        <v>371</v>
      </c>
    </row>
    <row r="5" spans="2:9" ht="15" x14ac:dyDescent="0.25">
      <c r="B5" s="531" t="s">
        <v>466</v>
      </c>
      <c r="C5" s="532"/>
      <c r="D5" s="532"/>
      <c r="E5" s="533"/>
      <c r="F5" s="533"/>
      <c r="G5" s="533"/>
      <c r="H5" s="533"/>
      <c r="I5" s="533"/>
    </row>
    <row r="6" spans="2:9" x14ac:dyDescent="0.2">
      <c r="B6" s="534" t="s">
        <v>467</v>
      </c>
      <c r="C6" s="534"/>
      <c r="D6" s="632"/>
      <c r="E6" s="632"/>
      <c r="F6" s="633">
        <v>5.6000000000000001E-2</v>
      </c>
      <c r="G6" s="633">
        <v>5.3999999999999999E-2</v>
      </c>
      <c r="H6" s="633">
        <v>5.6000000000000001E-2</v>
      </c>
      <c r="I6" s="633">
        <v>5.6000000000000001E-2</v>
      </c>
    </row>
    <row r="7" spans="2:9" x14ac:dyDescent="0.2">
      <c r="B7" s="534" t="s">
        <v>468</v>
      </c>
      <c r="C7" s="534"/>
      <c r="D7" s="632"/>
      <c r="E7" s="632"/>
      <c r="F7" s="633">
        <v>6.6000000000000003E-2</v>
      </c>
      <c r="G7" s="633">
        <v>6.4000000000000001E-2</v>
      </c>
      <c r="H7" s="633">
        <v>6.6000000000000003E-2</v>
      </c>
      <c r="I7" s="633">
        <v>6.6000000000000003E-2</v>
      </c>
    </row>
    <row r="8" spans="2:9" x14ac:dyDescent="0.2">
      <c r="B8" s="535"/>
      <c r="C8" s="535"/>
      <c r="D8" s="535"/>
      <c r="E8" s="536"/>
      <c r="F8" s="535"/>
      <c r="G8" s="537"/>
      <c r="H8" s="538"/>
    </row>
    <row r="9" spans="2:9" ht="15" x14ac:dyDescent="0.25">
      <c r="B9" s="532" t="s">
        <v>496</v>
      </c>
      <c r="C9" s="532"/>
      <c r="D9" s="532"/>
      <c r="E9" s="533"/>
      <c r="F9" s="533"/>
      <c r="G9" s="533"/>
      <c r="H9" s="533"/>
      <c r="I9" s="533"/>
    </row>
    <row r="10" spans="2:9" ht="33" customHeight="1" x14ac:dyDescent="0.2">
      <c r="B10" s="539" t="s">
        <v>583</v>
      </c>
      <c r="C10" s="539"/>
      <c r="D10" s="634">
        <v>0.25</v>
      </c>
      <c r="E10" s="634">
        <v>0.25</v>
      </c>
      <c r="F10" s="634">
        <v>0.25</v>
      </c>
      <c r="G10" s="634">
        <v>0.25</v>
      </c>
      <c r="H10" s="634">
        <v>0.25</v>
      </c>
      <c r="I10" s="634">
        <v>0.25</v>
      </c>
    </row>
    <row r="11" spans="2:9" ht="25.5" x14ac:dyDescent="0.2">
      <c r="B11" s="539" t="s">
        <v>584</v>
      </c>
      <c r="C11" s="539"/>
      <c r="D11" s="634">
        <v>0.05</v>
      </c>
      <c r="E11" s="634">
        <v>0.05</v>
      </c>
      <c r="F11" s="634">
        <v>0.05</v>
      </c>
      <c r="G11" s="634">
        <v>0.05</v>
      </c>
      <c r="H11" s="634">
        <v>0.05</v>
      </c>
      <c r="I11" s="634">
        <v>0.05</v>
      </c>
    </row>
    <row r="12" spans="2:9" x14ac:dyDescent="0.2">
      <c r="B12" s="535"/>
      <c r="C12" s="535"/>
      <c r="D12" s="535"/>
      <c r="E12" s="536"/>
      <c r="F12" s="535"/>
      <c r="G12" s="537"/>
      <c r="H12" s="538"/>
    </row>
    <row r="13" spans="2:9" ht="15" x14ac:dyDescent="0.25">
      <c r="B13" s="532" t="s">
        <v>469</v>
      </c>
      <c r="C13" s="532"/>
      <c r="D13" s="532"/>
      <c r="E13" s="533" t="s">
        <v>470</v>
      </c>
      <c r="F13" s="533"/>
      <c r="G13" s="533"/>
      <c r="H13" s="533"/>
      <c r="I13" s="533"/>
    </row>
    <row r="14" spans="2:9" x14ac:dyDescent="0.2">
      <c r="B14" s="534" t="s">
        <v>471</v>
      </c>
      <c r="C14" s="534"/>
      <c r="D14" s="541">
        <f>E14</f>
        <v>1206684</v>
      </c>
      <c r="E14" s="635">
        <v>1206684</v>
      </c>
      <c r="F14" s="543">
        <f t="shared" ref="F14:G21" si="0">E14*(1+F$7)</f>
        <v>1286325.1440000001</v>
      </c>
      <c r="G14" s="543">
        <f t="shared" si="0"/>
        <v>1368649.9532160002</v>
      </c>
      <c r="H14" s="635">
        <v>1206684</v>
      </c>
      <c r="I14" s="635">
        <v>1206684</v>
      </c>
    </row>
    <row r="15" spans="2:9" x14ac:dyDescent="0.2">
      <c r="B15" s="534" t="s">
        <v>414</v>
      </c>
      <c r="C15" s="534"/>
      <c r="D15" s="541">
        <f t="shared" ref="D15:D21" si="1">E15</f>
        <v>1007130</v>
      </c>
      <c r="E15" s="635">
        <v>1007130</v>
      </c>
      <c r="F15" s="543">
        <f t="shared" si="0"/>
        <v>1073600.58</v>
      </c>
      <c r="G15" s="543">
        <f t="shared" si="0"/>
        <v>1142311.0171200002</v>
      </c>
      <c r="H15" s="635">
        <v>1007130</v>
      </c>
      <c r="I15" s="635">
        <v>1007130</v>
      </c>
    </row>
    <row r="16" spans="2:9" x14ac:dyDescent="0.2">
      <c r="B16" s="534" t="s">
        <v>472</v>
      </c>
      <c r="C16" s="534"/>
      <c r="D16" s="541">
        <f t="shared" si="1"/>
        <v>830925</v>
      </c>
      <c r="E16" s="635">
        <v>830925</v>
      </c>
      <c r="F16" s="543">
        <f t="shared" si="0"/>
        <v>885766.05</v>
      </c>
      <c r="G16" s="543">
        <f t="shared" si="0"/>
        <v>942455.07720000006</v>
      </c>
      <c r="H16" s="635">
        <v>830925</v>
      </c>
      <c r="I16" s="635">
        <v>830925</v>
      </c>
    </row>
    <row r="17" spans="2:10" x14ac:dyDescent="0.2">
      <c r="B17" s="534" t="s">
        <v>473</v>
      </c>
      <c r="C17" s="534"/>
      <c r="D17" s="541">
        <f t="shared" si="1"/>
        <v>533910</v>
      </c>
      <c r="E17" s="635">
        <v>533910</v>
      </c>
      <c r="F17" s="543">
        <f t="shared" si="0"/>
        <v>569148.06000000006</v>
      </c>
      <c r="G17" s="543">
        <f t="shared" si="0"/>
        <v>605573.53584000014</v>
      </c>
      <c r="H17" s="635">
        <v>533910</v>
      </c>
      <c r="I17" s="635">
        <v>533910</v>
      </c>
    </row>
    <row r="18" spans="2:10" x14ac:dyDescent="0.2">
      <c r="B18" s="534" t="s">
        <v>415</v>
      </c>
      <c r="C18" s="534"/>
      <c r="D18" s="541">
        <f t="shared" si="1"/>
        <v>339027</v>
      </c>
      <c r="E18" s="635">
        <v>339027</v>
      </c>
      <c r="F18" s="543">
        <f t="shared" si="0"/>
        <v>361402.78200000001</v>
      </c>
      <c r="G18" s="543">
        <f t="shared" si="0"/>
        <v>384532.56004800001</v>
      </c>
      <c r="H18" s="635">
        <v>339027</v>
      </c>
      <c r="I18" s="635">
        <v>339027</v>
      </c>
    </row>
    <row r="19" spans="2:10" x14ac:dyDescent="0.2">
      <c r="B19" s="534" t="s">
        <v>474</v>
      </c>
      <c r="C19" s="544"/>
      <c r="D19" s="541">
        <f t="shared" si="1"/>
        <v>271629</v>
      </c>
      <c r="E19" s="635">
        <v>271629</v>
      </c>
      <c r="F19" s="543">
        <f t="shared" si="0"/>
        <v>289556.51400000002</v>
      </c>
      <c r="G19" s="543">
        <f t="shared" si="0"/>
        <v>308088.13089600002</v>
      </c>
      <c r="H19" s="635">
        <v>271629</v>
      </c>
      <c r="I19" s="635">
        <v>271629</v>
      </c>
    </row>
    <row r="20" spans="2:10" x14ac:dyDescent="0.2">
      <c r="B20" s="534" t="s">
        <v>475</v>
      </c>
      <c r="C20" s="534"/>
      <c r="D20" s="541">
        <f t="shared" si="1"/>
        <v>138345</v>
      </c>
      <c r="E20" s="635">
        <v>138345</v>
      </c>
      <c r="F20" s="543">
        <f t="shared" si="0"/>
        <v>147475.77000000002</v>
      </c>
      <c r="G20" s="543">
        <f t="shared" si="0"/>
        <v>156914.21928000002</v>
      </c>
      <c r="H20" s="635">
        <v>138345</v>
      </c>
      <c r="I20" s="635">
        <v>138345</v>
      </c>
    </row>
    <row r="21" spans="2:10" x14ac:dyDescent="0.2">
      <c r="B21" s="534" t="s">
        <v>476</v>
      </c>
      <c r="C21" s="534"/>
      <c r="D21" s="541">
        <f t="shared" si="1"/>
        <v>81312</v>
      </c>
      <c r="E21" s="635">
        <v>81312</v>
      </c>
      <c r="F21" s="543">
        <f t="shared" si="0"/>
        <v>86678.592000000004</v>
      </c>
      <c r="G21" s="543">
        <f t="shared" si="0"/>
        <v>92226.021888000003</v>
      </c>
      <c r="H21" s="635">
        <v>81312</v>
      </c>
      <c r="I21" s="635">
        <v>81312</v>
      </c>
    </row>
    <row r="22" spans="2:10" x14ac:dyDescent="0.2">
      <c r="B22" s="534"/>
      <c r="C22" s="534"/>
      <c r="D22" s="534"/>
      <c r="E22" s="545"/>
      <c r="F22" s="546"/>
      <c r="G22" s="546"/>
      <c r="H22" s="546"/>
    </row>
    <row r="23" spans="2:10" ht="15" x14ac:dyDescent="0.25">
      <c r="B23" s="547" t="s">
        <v>496</v>
      </c>
      <c r="C23" s="547"/>
      <c r="D23" s="547"/>
      <c r="E23" s="548"/>
      <c r="F23" s="549"/>
      <c r="G23" s="550"/>
      <c r="H23" s="551"/>
      <c r="I23" s="533"/>
    </row>
    <row r="24" spans="2:10" x14ac:dyDescent="0.2">
      <c r="B24" s="552" t="s">
        <v>497</v>
      </c>
      <c r="C24" s="552"/>
      <c r="D24" s="636">
        <v>215</v>
      </c>
      <c r="E24" s="552">
        <f>D24</f>
        <v>215</v>
      </c>
      <c r="G24" s="553"/>
      <c r="H24" s="546"/>
    </row>
    <row r="25" spans="2:10" x14ac:dyDescent="0.2">
      <c r="B25" s="552" t="s">
        <v>498</v>
      </c>
      <c r="C25" s="552"/>
      <c r="D25" s="637">
        <v>0.1</v>
      </c>
      <c r="E25" s="554">
        <f>E24*D25</f>
        <v>21.5</v>
      </c>
      <c r="G25" s="553"/>
      <c r="H25" s="546"/>
    </row>
    <row r="26" spans="2:10" x14ac:dyDescent="0.2">
      <c r="B26" s="552" t="s">
        <v>499</v>
      </c>
      <c r="C26" s="552"/>
      <c r="D26" s="555"/>
      <c r="E26" s="554">
        <f>E24-E25</f>
        <v>193.5</v>
      </c>
      <c r="G26" s="553"/>
      <c r="H26" s="546"/>
      <c r="J26" s="556"/>
    </row>
    <row r="27" spans="2:10" x14ac:dyDescent="0.2">
      <c r="B27" s="534"/>
      <c r="C27" s="534"/>
      <c r="D27" s="534"/>
      <c r="E27" s="545"/>
      <c r="F27" s="546"/>
      <c r="G27" s="546"/>
      <c r="H27" s="546"/>
    </row>
    <row r="28" spans="2:10" ht="15" x14ac:dyDescent="0.2">
      <c r="B28" s="547" t="s">
        <v>551</v>
      </c>
      <c r="C28" s="547"/>
      <c r="D28" s="547"/>
      <c r="E28" s="548"/>
      <c r="F28" s="549"/>
      <c r="G28" s="550"/>
      <c r="H28" s="551"/>
      <c r="I28" s="547"/>
    </row>
    <row r="29" spans="2:10" x14ac:dyDescent="0.2">
      <c r="B29" s="534" t="s">
        <v>553</v>
      </c>
      <c r="C29" s="534"/>
      <c r="D29" s="541">
        <f>E29</f>
        <v>200</v>
      </c>
      <c r="E29" s="638">
        <v>200</v>
      </c>
      <c r="F29" s="638">
        <v>200</v>
      </c>
      <c r="G29" s="638">
        <v>200</v>
      </c>
      <c r="H29" s="638">
        <v>200</v>
      </c>
      <c r="I29" s="638">
        <v>200</v>
      </c>
      <c r="J29" s="557" t="s">
        <v>552</v>
      </c>
    </row>
    <row r="30" spans="2:10" x14ac:dyDescent="0.2">
      <c r="B30" s="534"/>
      <c r="C30" s="534"/>
      <c r="D30" s="534"/>
      <c r="E30" s="558" t="s">
        <v>795</v>
      </c>
      <c r="F30" s="534"/>
      <c r="G30" s="534"/>
      <c r="H30" s="534"/>
      <c r="I30" s="534"/>
      <c r="J30" s="534"/>
    </row>
    <row r="31" spans="2:10" x14ac:dyDescent="0.2">
      <c r="B31" s="534" t="s">
        <v>690</v>
      </c>
      <c r="C31" s="534"/>
      <c r="D31" s="639">
        <v>150</v>
      </c>
      <c r="E31" s="559">
        <f>'Totals and Scenarios'!E70</f>
        <v>150</v>
      </c>
      <c r="F31" s="559">
        <f>'Totals and Scenarios'!F70</f>
        <v>150</v>
      </c>
      <c r="G31" s="559">
        <f>'Totals and Scenarios'!G70</f>
        <v>150</v>
      </c>
      <c r="H31" s="559">
        <f>'Totals and Scenarios'!H70</f>
        <v>100</v>
      </c>
      <c r="I31" s="559">
        <f>'Totals and Scenarios'!I70</f>
        <v>150</v>
      </c>
      <c r="J31" s="557" t="s">
        <v>552</v>
      </c>
    </row>
    <row r="32" spans="2:10" x14ac:dyDescent="0.2">
      <c r="B32" s="534"/>
      <c r="C32" s="534"/>
      <c r="D32" s="534"/>
      <c r="E32" s="545"/>
      <c r="F32" s="546"/>
      <c r="G32" s="546"/>
      <c r="H32" s="546"/>
    </row>
    <row r="33" spans="2:12" ht="15" x14ac:dyDescent="0.2">
      <c r="B33" s="560" t="s">
        <v>520</v>
      </c>
      <c r="C33" s="560"/>
      <c r="D33" s="560"/>
      <c r="E33" s="561"/>
      <c r="F33" s="562"/>
      <c r="G33" s="563"/>
      <c r="H33" s="564"/>
      <c r="I33" s="564"/>
    </row>
    <row r="34" spans="2:12" ht="15" x14ac:dyDescent="0.2">
      <c r="B34" s="565" t="s">
        <v>542</v>
      </c>
      <c r="C34" s="565"/>
      <c r="D34" s="565"/>
      <c r="E34" s="566"/>
      <c r="F34" s="567"/>
      <c r="G34" s="568"/>
      <c r="H34" s="568"/>
      <c r="I34" s="568"/>
      <c r="L34" s="569"/>
    </row>
    <row r="35" spans="2:12" x14ac:dyDescent="0.2">
      <c r="B35" s="570" t="s">
        <v>728</v>
      </c>
      <c r="C35" s="570"/>
      <c r="D35" s="571">
        <f>D52+D69+D94</f>
        <v>93915</v>
      </c>
      <c r="E35" s="571">
        <f t="shared" ref="E35:I35" si="2">E52+E69+E94</f>
        <v>93915</v>
      </c>
      <c r="F35" s="571">
        <f t="shared" si="2"/>
        <v>99079.040000000008</v>
      </c>
      <c r="G35" s="571">
        <f t="shared" si="2"/>
        <v>104418.82016000002</v>
      </c>
      <c r="H35" s="571">
        <f t="shared" si="2"/>
        <v>93915</v>
      </c>
      <c r="I35" s="571">
        <f t="shared" si="2"/>
        <v>93915</v>
      </c>
      <c r="L35" s="569"/>
    </row>
    <row r="36" spans="2:12" x14ac:dyDescent="0.2">
      <c r="B36" s="570" t="s">
        <v>729</v>
      </c>
      <c r="C36" s="570"/>
      <c r="D36" s="571">
        <f>D53+D70+D102</f>
        <v>431125</v>
      </c>
      <c r="E36" s="571">
        <f t="shared" ref="E36:I36" si="3">E53+E70+E102</f>
        <v>431125</v>
      </c>
      <c r="F36" s="571">
        <f t="shared" si="3"/>
        <v>455109.80000000005</v>
      </c>
      <c r="G36" s="571">
        <f t="shared" si="3"/>
        <v>479772.89120000007</v>
      </c>
      <c r="H36" s="571">
        <f t="shared" si="3"/>
        <v>431125</v>
      </c>
      <c r="I36" s="571">
        <f t="shared" si="3"/>
        <v>431125</v>
      </c>
      <c r="L36" s="569"/>
    </row>
    <row r="37" spans="2:12" x14ac:dyDescent="0.2">
      <c r="B37" s="570" t="s">
        <v>705</v>
      </c>
      <c r="C37" s="570"/>
      <c r="D37" s="571">
        <f>D35/D41</f>
        <v>3130.5</v>
      </c>
      <c r="E37" s="571">
        <f>E35/E41</f>
        <v>3130.5</v>
      </c>
      <c r="F37" s="571">
        <f t="shared" ref="F37:I37" si="4">F35/F41</f>
        <v>3302.6346666666668</v>
      </c>
      <c r="G37" s="571">
        <f t="shared" si="4"/>
        <v>3480.6273386666671</v>
      </c>
      <c r="H37" s="571">
        <f t="shared" si="4"/>
        <v>3130.5</v>
      </c>
      <c r="I37" s="571">
        <f t="shared" si="4"/>
        <v>3130.5</v>
      </c>
      <c r="L37" s="569"/>
    </row>
    <row r="38" spans="2:12" x14ac:dyDescent="0.2">
      <c r="B38" s="570" t="s">
        <v>705</v>
      </c>
      <c r="C38" s="570"/>
      <c r="D38" s="571">
        <f>D36/D42</f>
        <v>14370.833333333334</v>
      </c>
      <c r="E38" s="571">
        <f>E36/E42</f>
        <v>14370.833333333334</v>
      </c>
      <c r="F38" s="571">
        <f t="shared" ref="F38:I38" si="5">F36/F42</f>
        <v>15170.326666666668</v>
      </c>
      <c r="G38" s="571">
        <f t="shared" si="5"/>
        <v>15992.42970666667</v>
      </c>
      <c r="H38" s="571">
        <f t="shared" si="5"/>
        <v>14370.833333333334</v>
      </c>
      <c r="I38" s="571">
        <f t="shared" si="5"/>
        <v>14370.833333333334</v>
      </c>
      <c r="L38" s="569"/>
    </row>
    <row r="39" spans="2:12" ht="15" x14ac:dyDescent="0.2">
      <c r="B39" s="572"/>
      <c r="C39" s="572"/>
      <c r="D39" s="572"/>
      <c r="E39" s="573"/>
      <c r="F39" s="573"/>
      <c r="G39" s="574"/>
      <c r="H39" s="572"/>
      <c r="I39" s="572"/>
      <c r="L39" s="569"/>
    </row>
    <row r="40" spans="2:12" ht="15" x14ac:dyDescent="0.2">
      <c r="B40" s="565" t="s">
        <v>543</v>
      </c>
      <c r="C40" s="565"/>
      <c r="D40" s="575"/>
      <c r="E40" s="576" t="s">
        <v>747</v>
      </c>
      <c r="F40" s="577"/>
      <c r="G40" s="574"/>
      <c r="H40" s="574"/>
      <c r="I40" s="574"/>
      <c r="L40" s="569"/>
    </row>
    <row r="41" spans="2:12" x14ac:dyDescent="0.2">
      <c r="B41" s="570" t="s">
        <v>521</v>
      </c>
      <c r="C41" s="570"/>
      <c r="D41" s="640">
        <v>30</v>
      </c>
      <c r="E41" s="578">
        <f>'Totals and Scenarios'!E47</f>
        <v>30</v>
      </c>
      <c r="F41" s="578">
        <f>'Totals and Scenarios'!F47</f>
        <v>30</v>
      </c>
      <c r="G41" s="578">
        <f>'Totals and Scenarios'!G47</f>
        <v>30</v>
      </c>
      <c r="H41" s="578">
        <f>'Totals and Scenarios'!H47</f>
        <v>30</v>
      </c>
      <c r="I41" s="578">
        <f>'Totals and Scenarios'!I47</f>
        <v>30</v>
      </c>
      <c r="K41" s="579"/>
      <c r="L41" s="579"/>
    </row>
    <row r="42" spans="2:12" x14ac:dyDescent="0.2">
      <c r="B42" s="570" t="s">
        <v>522</v>
      </c>
      <c r="C42" s="570"/>
      <c r="D42" s="640">
        <v>30</v>
      </c>
      <c r="E42" s="578">
        <f>'Totals and Scenarios'!E48</f>
        <v>30</v>
      </c>
      <c r="F42" s="578">
        <f>'Totals and Scenarios'!F48</f>
        <v>30</v>
      </c>
      <c r="G42" s="578">
        <f>'Totals and Scenarios'!G48</f>
        <v>30</v>
      </c>
      <c r="H42" s="578">
        <f>'Totals and Scenarios'!H48</f>
        <v>30</v>
      </c>
      <c r="I42" s="578">
        <f>'Totals and Scenarios'!I48</f>
        <v>30</v>
      </c>
      <c r="K42" s="579"/>
      <c r="L42" s="579"/>
    </row>
    <row r="43" spans="2:12" x14ac:dyDescent="0.2">
      <c r="B43" s="570"/>
      <c r="C43" s="570"/>
      <c r="D43" s="570"/>
      <c r="E43" s="576"/>
      <c r="F43" s="576"/>
      <c r="G43" s="576"/>
      <c r="H43" s="576"/>
      <c r="I43" s="576"/>
      <c r="J43" s="579"/>
      <c r="K43" s="579"/>
      <c r="L43" s="579"/>
    </row>
    <row r="44" spans="2:12" s="579" customFormat="1" ht="15" x14ac:dyDescent="0.2">
      <c r="B44" s="565" t="s">
        <v>525</v>
      </c>
      <c r="C44" s="565"/>
      <c r="D44" s="565"/>
      <c r="E44" s="566"/>
      <c r="F44" s="567"/>
      <c r="G44" s="580"/>
      <c r="H44" s="580"/>
      <c r="I44" s="580"/>
    </row>
    <row r="45" spans="2:12" x14ac:dyDescent="0.2">
      <c r="B45" s="570" t="s">
        <v>521</v>
      </c>
      <c r="C45" s="570"/>
      <c r="D45" s="641">
        <v>5</v>
      </c>
      <c r="E45" s="641">
        <v>5</v>
      </c>
      <c r="F45" s="641">
        <v>5</v>
      </c>
      <c r="G45" s="641">
        <v>5</v>
      </c>
      <c r="H45" s="641">
        <v>5</v>
      </c>
      <c r="I45" s="641">
        <v>5</v>
      </c>
      <c r="J45" s="579"/>
      <c r="K45" s="579"/>
      <c r="L45" s="579"/>
    </row>
    <row r="46" spans="2:12" x14ac:dyDescent="0.2">
      <c r="B46" s="570" t="s">
        <v>526</v>
      </c>
      <c r="C46" s="570"/>
      <c r="D46" s="641">
        <v>20</v>
      </c>
      <c r="E46" s="641">
        <v>20</v>
      </c>
      <c r="F46" s="641">
        <v>20</v>
      </c>
      <c r="G46" s="641">
        <v>20</v>
      </c>
      <c r="H46" s="641">
        <v>20</v>
      </c>
      <c r="I46" s="641">
        <v>20</v>
      </c>
      <c r="J46" s="579"/>
      <c r="K46" s="579"/>
      <c r="L46" s="579"/>
    </row>
    <row r="47" spans="2:12" x14ac:dyDescent="0.2">
      <c r="B47" s="572"/>
      <c r="C47" s="572"/>
      <c r="D47" s="572"/>
      <c r="E47" s="572"/>
      <c r="F47" s="572"/>
      <c r="G47" s="572"/>
      <c r="H47" s="572"/>
      <c r="I47" s="572"/>
      <c r="J47" s="579"/>
    </row>
    <row r="48" spans="2:12" ht="15" x14ac:dyDescent="0.2">
      <c r="B48" s="565" t="s">
        <v>732</v>
      </c>
      <c r="C48" s="565"/>
      <c r="D48" s="565"/>
      <c r="E48" s="566"/>
      <c r="F48" s="567"/>
      <c r="G48" s="580"/>
      <c r="H48" s="580"/>
      <c r="I48" s="580"/>
    </row>
    <row r="49" spans="2:12" x14ac:dyDescent="0.2">
      <c r="B49" s="572" t="s">
        <v>733</v>
      </c>
      <c r="C49" s="572"/>
      <c r="D49" s="642">
        <v>300</v>
      </c>
      <c r="E49" s="638">
        <v>300</v>
      </c>
      <c r="F49" s="638">
        <v>300</v>
      </c>
      <c r="G49" s="638">
        <v>300</v>
      </c>
      <c r="H49" s="638">
        <v>300</v>
      </c>
      <c r="I49" s="638">
        <v>300</v>
      </c>
    </row>
    <row r="50" spans="2:12" x14ac:dyDescent="0.2">
      <c r="B50" s="572"/>
      <c r="C50" s="572"/>
      <c r="D50" s="572"/>
      <c r="E50" s="572"/>
      <c r="F50" s="572"/>
      <c r="G50" s="572"/>
      <c r="H50" s="572"/>
      <c r="I50" s="572"/>
    </row>
    <row r="51" spans="2:12" ht="15" x14ac:dyDescent="0.25">
      <c r="B51" s="565" t="s">
        <v>501</v>
      </c>
      <c r="C51" s="565"/>
      <c r="D51" s="565"/>
      <c r="E51" s="582"/>
      <c r="F51" s="583"/>
      <c r="G51" s="584"/>
      <c r="H51" s="585"/>
      <c r="I51" s="568"/>
      <c r="J51" s="586"/>
    </row>
    <row r="52" spans="2:12" x14ac:dyDescent="0.2">
      <c r="B52" s="570" t="s">
        <v>527</v>
      </c>
      <c r="C52" s="570"/>
      <c r="D52" s="587">
        <f>D54*D57</f>
        <v>45500</v>
      </c>
      <c r="E52" s="587">
        <f>E54*E57</f>
        <v>45500</v>
      </c>
      <c r="F52" s="587">
        <f t="shared" ref="F52:I52" si="6">F54*F57</f>
        <v>48048</v>
      </c>
      <c r="G52" s="587">
        <f t="shared" si="6"/>
        <v>50642.592000000004</v>
      </c>
      <c r="H52" s="587">
        <f t="shared" si="6"/>
        <v>45500</v>
      </c>
      <c r="I52" s="587">
        <f t="shared" si="6"/>
        <v>45500</v>
      </c>
      <c r="J52" s="588"/>
      <c r="K52" s="588"/>
      <c r="L52" s="588"/>
    </row>
    <row r="53" spans="2:12" x14ac:dyDescent="0.2">
      <c r="B53" s="570" t="s">
        <v>528</v>
      </c>
      <c r="C53" s="570"/>
      <c r="D53" s="587">
        <f>D54*D58</f>
        <v>150500</v>
      </c>
      <c r="E53" s="587">
        <f>E54*E58</f>
        <v>150500</v>
      </c>
      <c r="F53" s="587">
        <f t="shared" ref="F53:I53" si="7">F54*F58</f>
        <v>158928</v>
      </c>
      <c r="G53" s="587">
        <f t="shared" si="7"/>
        <v>167510.11200000002</v>
      </c>
      <c r="H53" s="587">
        <f t="shared" si="7"/>
        <v>150500</v>
      </c>
      <c r="I53" s="587">
        <f t="shared" si="7"/>
        <v>150500</v>
      </c>
      <c r="J53" s="588"/>
      <c r="K53" s="588"/>
      <c r="L53" s="588"/>
    </row>
    <row r="54" spans="2:12" x14ac:dyDescent="0.2">
      <c r="B54" s="570" t="s">
        <v>523</v>
      </c>
      <c r="C54" s="570"/>
      <c r="D54" s="642">
        <v>7000</v>
      </c>
      <c r="E54" s="638">
        <v>7000</v>
      </c>
      <c r="F54" s="589">
        <f>E54*(1+F6)</f>
        <v>7392</v>
      </c>
      <c r="G54" s="589">
        <f>F54*(1+G6)</f>
        <v>7791.1680000000006</v>
      </c>
      <c r="H54" s="638">
        <v>7000</v>
      </c>
      <c r="I54" s="638">
        <v>7000</v>
      </c>
      <c r="J54" s="588"/>
      <c r="K54" s="588"/>
      <c r="L54" s="588"/>
    </row>
    <row r="55" spans="2:12" x14ac:dyDescent="0.2">
      <c r="B55" s="570" t="s">
        <v>529</v>
      </c>
      <c r="C55" s="570"/>
      <c r="D55" s="641">
        <v>1</v>
      </c>
      <c r="E55" s="641">
        <v>1</v>
      </c>
      <c r="F55" s="641">
        <v>1</v>
      </c>
      <c r="G55" s="641">
        <v>1</v>
      </c>
      <c r="H55" s="641">
        <v>1</v>
      </c>
      <c r="I55" s="641">
        <v>1</v>
      </c>
      <c r="J55" s="576"/>
      <c r="K55" s="576"/>
      <c r="L55" s="576"/>
    </row>
    <row r="56" spans="2:12" x14ac:dyDescent="0.2">
      <c r="B56" s="570" t="s">
        <v>500</v>
      </c>
      <c r="C56" s="570"/>
      <c r="D56" s="643">
        <v>0.5</v>
      </c>
      <c r="E56" s="643">
        <v>0.5</v>
      </c>
      <c r="F56" s="643">
        <v>0.5</v>
      </c>
      <c r="G56" s="643">
        <v>0.5</v>
      </c>
      <c r="H56" s="643">
        <v>0.5</v>
      </c>
      <c r="I56" s="643">
        <v>0.5</v>
      </c>
      <c r="J56" s="576"/>
      <c r="K56" s="576"/>
      <c r="L56" s="576"/>
    </row>
    <row r="57" spans="2:12" x14ac:dyDescent="0.2">
      <c r="B57" s="590" t="s">
        <v>530</v>
      </c>
      <c r="C57" s="590"/>
      <c r="D57" s="591">
        <f t="shared" ref="D57:I57" si="8">SUM(D55:D56)+D45</f>
        <v>6.5</v>
      </c>
      <c r="E57" s="591">
        <f t="shared" si="8"/>
        <v>6.5</v>
      </c>
      <c r="F57" s="591">
        <f t="shared" si="8"/>
        <v>6.5</v>
      </c>
      <c r="G57" s="591">
        <f t="shared" si="8"/>
        <v>6.5</v>
      </c>
      <c r="H57" s="591">
        <f t="shared" si="8"/>
        <v>6.5</v>
      </c>
      <c r="I57" s="591">
        <f t="shared" si="8"/>
        <v>6.5</v>
      </c>
      <c r="J57" s="576"/>
      <c r="K57" s="576"/>
      <c r="L57" s="576"/>
    </row>
    <row r="58" spans="2:12" x14ac:dyDescent="0.2">
      <c r="B58" s="590" t="s">
        <v>531</v>
      </c>
      <c r="C58" s="590"/>
      <c r="D58" s="591">
        <f t="shared" ref="D58:I58" si="9">SUM(D55:D56)+D46</f>
        <v>21.5</v>
      </c>
      <c r="E58" s="591">
        <f t="shared" si="9"/>
        <v>21.5</v>
      </c>
      <c r="F58" s="591">
        <f t="shared" si="9"/>
        <v>21.5</v>
      </c>
      <c r="G58" s="591">
        <f t="shared" si="9"/>
        <v>21.5</v>
      </c>
      <c r="H58" s="591">
        <f t="shared" si="9"/>
        <v>21.5</v>
      </c>
      <c r="I58" s="591">
        <f t="shared" si="9"/>
        <v>21.5</v>
      </c>
      <c r="J58" s="576"/>
      <c r="K58" s="576"/>
      <c r="L58" s="576"/>
    </row>
    <row r="59" spans="2:12" s="579" customFormat="1" x14ac:dyDescent="0.2">
      <c r="B59" s="592"/>
      <c r="C59" s="592"/>
      <c r="D59" s="593"/>
      <c r="E59" s="593"/>
      <c r="F59" s="593"/>
      <c r="G59" s="593"/>
      <c r="H59" s="593"/>
      <c r="I59" s="593"/>
      <c r="J59" s="576"/>
      <c r="K59" s="576"/>
      <c r="L59" s="576"/>
    </row>
    <row r="60" spans="2:12" x14ac:dyDescent="0.2">
      <c r="B60" s="590" t="s">
        <v>532</v>
      </c>
      <c r="C60" s="590"/>
      <c r="D60" s="594">
        <f t="shared" ref="D60:I60" si="10">$E$26/D57</f>
        <v>29.76923076923077</v>
      </c>
      <c r="E60" s="594">
        <f t="shared" si="10"/>
        <v>29.76923076923077</v>
      </c>
      <c r="F60" s="594">
        <f t="shared" si="10"/>
        <v>29.76923076923077</v>
      </c>
      <c r="G60" s="594">
        <f t="shared" si="10"/>
        <v>29.76923076923077</v>
      </c>
      <c r="H60" s="594">
        <f t="shared" si="10"/>
        <v>29.76923076923077</v>
      </c>
      <c r="I60" s="594">
        <f t="shared" si="10"/>
        <v>29.76923076923077</v>
      </c>
      <c r="J60" s="576"/>
      <c r="K60" s="576"/>
      <c r="L60" s="576"/>
    </row>
    <row r="61" spans="2:12" x14ac:dyDescent="0.2">
      <c r="B61" s="590" t="s">
        <v>533</v>
      </c>
      <c r="C61" s="590"/>
      <c r="D61" s="594">
        <f>$E$26/D58</f>
        <v>9</v>
      </c>
      <c r="E61" s="594">
        <f>$E$26/E58</f>
        <v>9</v>
      </c>
      <c r="F61" s="594">
        <f t="shared" ref="F61:I61" si="11">$E$26/F58</f>
        <v>9</v>
      </c>
      <c r="G61" s="594">
        <f t="shared" si="11"/>
        <v>9</v>
      </c>
      <c r="H61" s="594">
        <f t="shared" si="11"/>
        <v>9</v>
      </c>
      <c r="I61" s="594">
        <f t="shared" si="11"/>
        <v>9</v>
      </c>
      <c r="J61" s="576"/>
      <c r="K61" s="576"/>
      <c r="L61" s="576"/>
    </row>
    <row r="62" spans="2:12" ht="15" x14ac:dyDescent="0.25">
      <c r="B62" s="595"/>
      <c r="C62" s="595"/>
      <c r="D62" s="595"/>
      <c r="E62" s="595"/>
      <c r="F62" s="595"/>
      <c r="G62" s="595"/>
      <c r="H62" s="595"/>
      <c r="I62" s="595"/>
      <c r="J62" s="574"/>
      <c r="K62" s="596"/>
      <c r="L62" s="596"/>
    </row>
    <row r="63" spans="2:12" ht="15" x14ac:dyDescent="0.25">
      <c r="B63" s="597" t="s">
        <v>503</v>
      </c>
      <c r="C63" s="597"/>
      <c r="D63" s="597"/>
      <c r="E63" s="582"/>
      <c r="F63" s="597"/>
      <c r="G63" s="597"/>
      <c r="H63" s="580"/>
      <c r="I63" s="598"/>
      <c r="J63" s="599"/>
      <c r="K63" s="599"/>
      <c r="L63" s="599"/>
    </row>
    <row r="64" spans="2:12" x14ac:dyDescent="0.2">
      <c r="B64" s="600" t="s">
        <v>504</v>
      </c>
      <c r="C64" s="570"/>
      <c r="D64" s="641">
        <v>500</v>
      </c>
      <c r="E64" s="641">
        <v>500</v>
      </c>
      <c r="F64" s="641">
        <v>500</v>
      </c>
      <c r="G64" s="641">
        <v>500</v>
      </c>
      <c r="H64" s="641">
        <v>500</v>
      </c>
      <c r="I64" s="641">
        <v>500</v>
      </c>
      <c r="J64" s="599"/>
      <c r="K64" s="599"/>
      <c r="L64" s="599"/>
    </row>
    <row r="65" spans="2:12" x14ac:dyDescent="0.2">
      <c r="B65" s="600" t="s">
        <v>505</v>
      </c>
      <c r="C65" s="570"/>
      <c r="D65" s="643">
        <v>0.25</v>
      </c>
      <c r="E65" s="643">
        <v>0.25</v>
      </c>
      <c r="F65" s="643">
        <v>0.25</v>
      </c>
      <c r="G65" s="643">
        <v>0.25</v>
      </c>
      <c r="H65" s="643">
        <v>0.25</v>
      </c>
      <c r="I65" s="643">
        <v>0.25</v>
      </c>
      <c r="J65" s="576"/>
      <c r="K65" s="576"/>
      <c r="L65" s="576"/>
    </row>
    <row r="66" spans="2:12" x14ac:dyDescent="0.2">
      <c r="B66" s="600" t="s">
        <v>524</v>
      </c>
      <c r="C66" s="570"/>
      <c r="D66" s="601">
        <f>300*D65</f>
        <v>75</v>
      </c>
      <c r="E66" s="601">
        <f>300*E65</f>
        <v>75</v>
      </c>
      <c r="F66" s="601">
        <f t="shared" ref="F66:I66" si="12">300*F65</f>
        <v>75</v>
      </c>
      <c r="G66" s="601">
        <f t="shared" si="12"/>
        <v>75</v>
      </c>
      <c r="H66" s="601">
        <f t="shared" si="12"/>
        <v>75</v>
      </c>
      <c r="I66" s="601">
        <f t="shared" si="12"/>
        <v>75</v>
      </c>
      <c r="J66" s="576"/>
      <c r="K66" s="576"/>
      <c r="L66" s="576"/>
    </row>
    <row r="67" spans="2:12" x14ac:dyDescent="0.2">
      <c r="B67" s="600" t="s">
        <v>743</v>
      </c>
      <c r="C67" s="570"/>
      <c r="D67" s="601">
        <f>150*D65</f>
        <v>37.5</v>
      </c>
      <c r="E67" s="601">
        <f t="shared" ref="E67:I67" si="13">150*E65</f>
        <v>37.5</v>
      </c>
      <c r="F67" s="601">
        <f t="shared" si="13"/>
        <v>37.5</v>
      </c>
      <c r="G67" s="601">
        <f t="shared" si="13"/>
        <v>37.5</v>
      </c>
      <c r="H67" s="601">
        <f t="shared" si="13"/>
        <v>37.5</v>
      </c>
      <c r="I67" s="601">
        <f t="shared" si="13"/>
        <v>37.5</v>
      </c>
      <c r="J67" s="576"/>
      <c r="K67" s="576"/>
      <c r="L67" s="576"/>
    </row>
    <row r="68" spans="2:12" x14ac:dyDescent="0.2">
      <c r="B68" s="600" t="s">
        <v>744</v>
      </c>
      <c r="C68" s="570"/>
      <c r="D68" s="601">
        <f>300*D65</f>
        <v>75</v>
      </c>
      <c r="E68" s="601">
        <f t="shared" ref="E68:I68" si="14">300*E65</f>
        <v>75</v>
      </c>
      <c r="F68" s="601">
        <f t="shared" si="14"/>
        <v>75</v>
      </c>
      <c r="G68" s="601">
        <f t="shared" si="14"/>
        <v>75</v>
      </c>
      <c r="H68" s="601">
        <f t="shared" si="14"/>
        <v>75</v>
      </c>
      <c r="I68" s="601">
        <f t="shared" si="14"/>
        <v>75</v>
      </c>
      <c r="J68" s="576"/>
      <c r="K68" s="576"/>
      <c r="L68" s="576"/>
    </row>
    <row r="69" spans="2:12" x14ac:dyDescent="0.2">
      <c r="B69" s="590" t="s">
        <v>745</v>
      </c>
      <c r="C69" s="590"/>
      <c r="D69" s="602">
        <f>D64+D66+D67*D41</f>
        <v>1700</v>
      </c>
      <c r="E69" s="602">
        <f t="shared" ref="E69:I69" si="15">E64+E66+E67*E41</f>
        <v>1700</v>
      </c>
      <c r="F69" s="602">
        <f t="shared" si="15"/>
        <v>1700</v>
      </c>
      <c r="G69" s="602">
        <f t="shared" si="15"/>
        <v>1700</v>
      </c>
      <c r="H69" s="602">
        <f t="shared" si="15"/>
        <v>1700</v>
      </c>
      <c r="I69" s="602">
        <f t="shared" si="15"/>
        <v>1700</v>
      </c>
      <c r="J69" s="586"/>
      <c r="K69" s="586"/>
      <c r="L69" s="586"/>
    </row>
    <row r="70" spans="2:12" x14ac:dyDescent="0.2">
      <c r="B70" s="603" t="s">
        <v>746</v>
      </c>
      <c r="C70" s="603"/>
      <c r="D70" s="604">
        <f>D64+D66+D68*D42</f>
        <v>2825</v>
      </c>
      <c r="E70" s="604">
        <f t="shared" ref="E70:I70" si="16">E64+E66+E68*E42</f>
        <v>2825</v>
      </c>
      <c r="F70" s="604">
        <f t="shared" si="16"/>
        <v>2825</v>
      </c>
      <c r="G70" s="604">
        <f t="shared" si="16"/>
        <v>2825</v>
      </c>
      <c r="H70" s="604">
        <f t="shared" si="16"/>
        <v>2825</v>
      </c>
      <c r="I70" s="604">
        <f t="shared" si="16"/>
        <v>2825</v>
      </c>
      <c r="J70" s="586"/>
      <c r="K70" s="586"/>
      <c r="L70" s="586"/>
    </row>
    <row r="71" spans="2:12" x14ac:dyDescent="0.2">
      <c r="B71" s="590"/>
      <c r="C71" s="590"/>
      <c r="D71" s="590"/>
      <c r="E71" s="588"/>
      <c r="F71" s="576"/>
      <c r="G71" s="605"/>
      <c r="H71" s="605"/>
      <c r="I71" s="605"/>
      <c r="J71" s="586"/>
      <c r="K71" s="586"/>
      <c r="L71" s="586"/>
    </row>
    <row r="72" spans="2:12" ht="15" x14ac:dyDescent="0.25">
      <c r="B72" s="597" t="s">
        <v>536</v>
      </c>
      <c r="C72" s="597"/>
      <c r="D72" s="597"/>
      <c r="E72" s="568"/>
      <c r="F72" s="568"/>
      <c r="G72" s="568"/>
      <c r="H72" s="568"/>
      <c r="I72" s="580"/>
      <c r="J72" s="586"/>
      <c r="K72" s="605"/>
      <c r="L72" s="605"/>
    </row>
    <row r="73" spans="2:12" s="579" customFormat="1" ht="15" x14ac:dyDescent="0.25">
      <c r="B73" s="596" t="s">
        <v>534</v>
      </c>
      <c r="C73" s="596"/>
      <c r="D73" s="596"/>
      <c r="E73" s="574"/>
      <c r="F73" s="574"/>
      <c r="G73" s="574"/>
      <c r="H73" s="574"/>
      <c r="I73" s="576"/>
      <c r="J73" s="558"/>
      <c r="K73" s="576"/>
      <c r="L73" s="576"/>
    </row>
    <row r="74" spans="2:12" ht="15.75" x14ac:dyDescent="0.25">
      <c r="B74" s="606" t="s">
        <v>375</v>
      </c>
      <c r="C74" s="606"/>
      <c r="D74" s="606"/>
      <c r="E74" s="607"/>
      <c r="F74" s="607"/>
      <c r="G74" s="607"/>
      <c r="H74" s="607"/>
      <c r="I74" s="607"/>
      <c r="J74" s="608"/>
      <c r="K74" s="608"/>
      <c r="L74" s="608"/>
    </row>
    <row r="75" spans="2:12" x14ac:dyDescent="0.2">
      <c r="B75" s="609" t="s">
        <v>507</v>
      </c>
      <c r="C75" s="609"/>
      <c r="D75" s="644">
        <v>300</v>
      </c>
      <c r="E75" s="638">
        <v>300</v>
      </c>
      <c r="F75" s="610">
        <f>E75*(1+F6)</f>
        <v>316.8</v>
      </c>
      <c r="G75" s="610">
        <f>F75*(1+GenAssumptions!$G$6)</f>
        <v>333.90720000000005</v>
      </c>
      <c r="H75" s="638">
        <v>300</v>
      </c>
      <c r="I75" s="638">
        <v>300</v>
      </c>
      <c r="J75" s="611" t="s">
        <v>508</v>
      </c>
      <c r="K75" s="612"/>
      <c r="L75" s="612"/>
    </row>
    <row r="76" spans="2:12" x14ac:dyDescent="0.2">
      <c r="B76" s="609" t="s">
        <v>506</v>
      </c>
      <c r="C76" s="609"/>
      <c r="D76" s="644">
        <v>300</v>
      </c>
      <c r="E76" s="638">
        <v>300</v>
      </c>
      <c r="F76" s="610">
        <f>E76*(1+GenAssumptions!$F$6)</f>
        <v>316.8</v>
      </c>
      <c r="G76" s="610">
        <f>F76*(1+GenAssumptions!$G$6)</f>
        <v>333.90720000000005</v>
      </c>
      <c r="H76" s="638">
        <v>300</v>
      </c>
      <c r="I76" s="638">
        <v>300</v>
      </c>
      <c r="J76" s="611" t="s">
        <v>508</v>
      </c>
      <c r="K76" s="612"/>
      <c r="L76" s="612"/>
    </row>
    <row r="77" spans="2:12" x14ac:dyDescent="0.2">
      <c r="B77" s="606" t="s">
        <v>376</v>
      </c>
      <c r="C77" s="606"/>
      <c r="D77" s="605"/>
      <c r="E77" s="605"/>
      <c r="F77" s="605"/>
      <c r="G77" s="605"/>
      <c r="H77" s="605"/>
      <c r="I77" s="605"/>
      <c r="J77" s="611"/>
      <c r="K77" s="612"/>
      <c r="L77" s="612"/>
    </row>
    <row r="78" spans="2:12" x14ac:dyDescent="0.2">
      <c r="B78" s="609" t="s">
        <v>509</v>
      </c>
      <c r="C78" s="609"/>
      <c r="D78" s="644">
        <v>200</v>
      </c>
      <c r="E78" s="638">
        <v>200</v>
      </c>
      <c r="F78" s="610">
        <f>E78*(1+GenAssumptions!$F$6)</f>
        <v>211.20000000000002</v>
      </c>
      <c r="G78" s="610">
        <f>F78*(1+GenAssumptions!$G$6)</f>
        <v>222.60480000000004</v>
      </c>
      <c r="H78" s="638">
        <v>200</v>
      </c>
      <c r="I78" s="638">
        <v>200</v>
      </c>
      <c r="J78" s="611" t="s">
        <v>510</v>
      </c>
      <c r="K78" s="612"/>
      <c r="L78" s="612"/>
    </row>
    <row r="79" spans="2:12" x14ac:dyDescent="0.2">
      <c r="B79" s="609" t="s">
        <v>511</v>
      </c>
      <c r="C79" s="609"/>
      <c r="D79" s="644">
        <v>65</v>
      </c>
      <c r="E79" s="638">
        <v>65</v>
      </c>
      <c r="F79" s="610">
        <f>E79*(1+GenAssumptions!$F$6)</f>
        <v>68.64</v>
      </c>
      <c r="G79" s="610">
        <f>F79*(1+GenAssumptions!$G$6)</f>
        <v>72.346560000000011</v>
      </c>
      <c r="H79" s="638">
        <v>65</v>
      </c>
      <c r="I79" s="638">
        <v>65</v>
      </c>
      <c r="J79" s="611" t="s">
        <v>510</v>
      </c>
      <c r="K79" s="612"/>
      <c r="L79" s="612"/>
    </row>
    <row r="80" spans="2:12" x14ac:dyDescent="0.2">
      <c r="B80" s="606" t="s">
        <v>399</v>
      </c>
      <c r="C80" s="605"/>
      <c r="D80" s="605"/>
      <c r="E80" s="605"/>
      <c r="F80" s="605"/>
      <c r="G80" s="605"/>
      <c r="H80" s="605"/>
      <c r="I80" s="605"/>
      <c r="J80" s="611"/>
      <c r="K80" s="576"/>
      <c r="L80" s="576"/>
    </row>
    <row r="81" spans="2:12" x14ac:dyDescent="0.2">
      <c r="B81" s="613" t="s">
        <v>512</v>
      </c>
      <c r="C81" s="613"/>
      <c r="D81" s="644">
        <v>6000</v>
      </c>
      <c r="E81" s="638">
        <v>6000</v>
      </c>
      <c r="F81" s="610">
        <f>E81*(1+$F$6)</f>
        <v>6336</v>
      </c>
      <c r="G81" s="610">
        <f>F81*(1+$F$6)</f>
        <v>6690.8160000000007</v>
      </c>
      <c r="H81" s="638">
        <v>6000</v>
      </c>
      <c r="I81" s="638">
        <v>6000</v>
      </c>
      <c r="J81" s="611" t="s">
        <v>513</v>
      </c>
      <c r="K81" s="614"/>
      <c r="L81" s="572"/>
    </row>
    <row r="82" spans="2:12" x14ac:dyDescent="0.2">
      <c r="B82" s="613" t="s">
        <v>514</v>
      </c>
      <c r="C82" s="613"/>
      <c r="D82" s="644">
        <v>1500</v>
      </c>
      <c r="E82" s="638">
        <v>1500</v>
      </c>
      <c r="F82" s="610">
        <f t="shared" ref="F82:G85" si="17">E82*(1+$F$6)</f>
        <v>1584</v>
      </c>
      <c r="G82" s="610">
        <f t="shared" si="17"/>
        <v>1672.7040000000002</v>
      </c>
      <c r="H82" s="638">
        <v>1500</v>
      </c>
      <c r="I82" s="638">
        <v>1500</v>
      </c>
      <c r="J82" s="611" t="s">
        <v>515</v>
      </c>
      <c r="K82" s="614"/>
      <c r="L82" s="615"/>
    </row>
    <row r="83" spans="2:12" x14ac:dyDescent="0.2">
      <c r="B83" s="613" t="s">
        <v>507</v>
      </c>
      <c r="C83" s="613"/>
      <c r="D83" s="644">
        <v>50</v>
      </c>
      <c r="E83" s="638">
        <v>50</v>
      </c>
      <c r="F83" s="610">
        <f t="shared" si="17"/>
        <v>52.800000000000004</v>
      </c>
      <c r="G83" s="610">
        <f t="shared" si="17"/>
        <v>55.756800000000005</v>
      </c>
      <c r="H83" s="638">
        <v>50</v>
      </c>
      <c r="I83" s="638">
        <v>50</v>
      </c>
      <c r="J83" s="611" t="s">
        <v>535</v>
      </c>
      <c r="K83" s="614"/>
      <c r="L83" s="615"/>
    </row>
    <row r="84" spans="2:12" x14ac:dyDescent="0.2">
      <c r="B84" s="606" t="s">
        <v>377</v>
      </c>
      <c r="C84" s="606"/>
      <c r="D84" s="644">
        <v>2000</v>
      </c>
      <c r="E84" s="638">
        <v>2000</v>
      </c>
      <c r="F84" s="610">
        <f t="shared" si="17"/>
        <v>2112</v>
      </c>
      <c r="G84" s="610">
        <f t="shared" si="17"/>
        <v>2230.2719999999999</v>
      </c>
      <c r="H84" s="638">
        <v>2000</v>
      </c>
      <c r="I84" s="638">
        <v>2000</v>
      </c>
      <c r="J84" s="611" t="s">
        <v>502</v>
      </c>
      <c r="K84" s="614"/>
      <c r="L84" s="615"/>
    </row>
    <row r="85" spans="2:12" x14ac:dyDescent="0.2">
      <c r="B85" s="606" t="s">
        <v>516</v>
      </c>
      <c r="C85" s="606"/>
      <c r="D85" s="644">
        <v>1500</v>
      </c>
      <c r="E85" s="638">
        <v>1500</v>
      </c>
      <c r="F85" s="610">
        <f t="shared" si="17"/>
        <v>1584</v>
      </c>
      <c r="G85" s="610">
        <f t="shared" si="17"/>
        <v>1672.7040000000002</v>
      </c>
      <c r="H85" s="638">
        <v>1500</v>
      </c>
      <c r="I85" s="638">
        <v>1500</v>
      </c>
      <c r="J85" s="611" t="s">
        <v>502</v>
      </c>
      <c r="K85" s="614"/>
      <c r="L85" s="615"/>
    </row>
    <row r="86" spans="2:12" x14ac:dyDescent="0.2">
      <c r="B86" s="616"/>
      <c r="C86" s="616"/>
      <c r="D86" s="616"/>
      <c r="E86" s="617"/>
      <c r="F86" s="618"/>
      <c r="G86" s="618"/>
      <c r="H86" s="618"/>
      <c r="I86" s="605"/>
      <c r="J86" s="619"/>
      <c r="K86" s="619"/>
      <c r="L86" s="619"/>
    </row>
    <row r="87" spans="2:12" ht="15" x14ac:dyDescent="0.25">
      <c r="B87" s="620" t="s">
        <v>537</v>
      </c>
      <c r="C87" s="620"/>
      <c r="D87" s="620"/>
      <c r="E87" s="572"/>
      <c r="F87" s="572"/>
      <c r="G87" s="572"/>
      <c r="H87" s="572"/>
      <c r="I87" s="572"/>
    </row>
    <row r="88" spans="2:12" ht="15.75" x14ac:dyDescent="0.25">
      <c r="B88" s="606" t="s">
        <v>538</v>
      </c>
      <c r="C88" s="606"/>
      <c r="D88" s="606"/>
      <c r="E88" s="607"/>
      <c r="F88" s="607"/>
      <c r="G88" s="607"/>
      <c r="H88" s="607"/>
      <c r="I88" s="607"/>
    </row>
    <row r="89" spans="2:12" x14ac:dyDescent="0.2">
      <c r="B89" s="609" t="s">
        <v>375</v>
      </c>
      <c r="C89" s="609"/>
      <c r="D89" s="621">
        <f t="shared" ref="D89:I89" si="18">(D75*D41*D45)+(1*D76*D45)</f>
        <v>46500</v>
      </c>
      <c r="E89" s="621">
        <f t="shared" si="18"/>
        <v>46500</v>
      </c>
      <c r="F89" s="621">
        <f t="shared" si="18"/>
        <v>49104</v>
      </c>
      <c r="G89" s="621">
        <f t="shared" si="18"/>
        <v>51755.616000000009</v>
      </c>
      <c r="H89" s="621">
        <f t="shared" si="18"/>
        <v>46500</v>
      </c>
      <c r="I89" s="621">
        <f t="shared" si="18"/>
        <v>46500</v>
      </c>
    </row>
    <row r="90" spans="2:12" x14ac:dyDescent="0.2">
      <c r="B90" s="609" t="s">
        <v>376</v>
      </c>
      <c r="C90" s="609"/>
      <c r="D90" s="621">
        <f t="shared" ref="D90:I90" si="19">(D78*(D41+1))+(D79*(D41+1))</f>
        <v>8215</v>
      </c>
      <c r="E90" s="621">
        <f t="shared" si="19"/>
        <v>8215</v>
      </c>
      <c r="F90" s="621">
        <f t="shared" si="19"/>
        <v>8675.0400000000009</v>
      </c>
      <c r="G90" s="621">
        <f t="shared" si="19"/>
        <v>9143.4921600000016</v>
      </c>
      <c r="H90" s="621">
        <f t="shared" si="19"/>
        <v>8215</v>
      </c>
      <c r="I90" s="621">
        <f t="shared" si="19"/>
        <v>8215</v>
      </c>
    </row>
    <row r="91" spans="2:12" x14ac:dyDescent="0.2">
      <c r="B91" s="609" t="s">
        <v>399</v>
      </c>
      <c r="C91" s="609"/>
      <c r="D91" s="621">
        <f t="shared" ref="D91:I91" si="20">(D81*2)+(D82*D45)+(D83*D41)</f>
        <v>21000</v>
      </c>
      <c r="E91" s="621">
        <f t="shared" si="20"/>
        <v>21000</v>
      </c>
      <c r="F91" s="621">
        <f t="shared" si="20"/>
        <v>22176</v>
      </c>
      <c r="G91" s="621">
        <f t="shared" si="20"/>
        <v>23417.856000000003</v>
      </c>
      <c r="H91" s="621">
        <f t="shared" si="20"/>
        <v>21000</v>
      </c>
      <c r="I91" s="621">
        <f t="shared" si="20"/>
        <v>21000</v>
      </c>
    </row>
    <row r="92" spans="2:12" x14ac:dyDescent="0.2">
      <c r="B92" s="609" t="s">
        <v>377</v>
      </c>
      <c r="C92" s="609"/>
      <c r="D92" s="621">
        <f t="shared" ref="D92:I92" si="21">D84*D45</f>
        <v>10000</v>
      </c>
      <c r="E92" s="621">
        <f t="shared" si="21"/>
        <v>10000</v>
      </c>
      <c r="F92" s="621">
        <f t="shared" si="21"/>
        <v>10560</v>
      </c>
      <c r="G92" s="621">
        <f t="shared" si="21"/>
        <v>11151.36</v>
      </c>
      <c r="H92" s="621">
        <f t="shared" si="21"/>
        <v>10000</v>
      </c>
      <c r="I92" s="621">
        <f t="shared" si="21"/>
        <v>10000</v>
      </c>
    </row>
    <row r="93" spans="2:12" x14ac:dyDescent="0.2">
      <c r="B93" s="609" t="s">
        <v>539</v>
      </c>
      <c r="C93" s="609"/>
      <c r="D93" s="621">
        <f t="shared" ref="D93:I93" si="22">D85*D45</f>
        <v>7500</v>
      </c>
      <c r="E93" s="621">
        <f t="shared" si="22"/>
        <v>7500</v>
      </c>
      <c r="F93" s="621">
        <f t="shared" si="22"/>
        <v>7920</v>
      </c>
      <c r="G93" s="621">
        <f t="shared" si="22"/>
        <v>8363.52</v>
      </c>
      <c r="H93" s="621">
        <f t="shared" si="22"/>
        <v>7500</v>
      </c>
      <c r="I93" s="621">
        <f t="shared" si="22"/>
        <v>7500</v>
      </c>
    </row>
    <row r="94" spans="2:12" x14ac:dyDescent="0.2">
      <c r="B94" s="622" t="s">
        <v>726</v>
      </c>
      <c r="C94" s="622"/>
      <c r="D94" s="602">
        <f>SUM(D90:D93)</f>
        <v>46715</v>
      </c>
      <c r="E94" s="602">
        <f t="shared" ref="E94:I94" si="23">SUM(E90:E93)</f>
        <v>46715</v>
      </c>
      <c r="F94" s="602">
        <f t="shared" si="23"/>
        <v>49331.040000000001</v>
      </c>
      <c r="G94" s="602">
        <f t="shared" si="23"/>
        <v>52076.228160000013</v>
      </c>
      <c r="H94" s="602">
        <f t="shared" si="23"/>
        <v>46715</v>
      </c>
      <c r="I94" s="602">
        <f t="shared" si="23"/>
        <v>46715</v>
      </c>
    </row>
    <row r="95" spans="2:12" x14ac:dyDescent="0.2">
      <c r="B95" s="622"/>
      <c r="C95" s="622"/>
      <c r="D95" s="602"/>
      <c r="E95" s="602"/>
      <c r="F95" s="602"/>
      <c r="G95" s="602"/>
      <c r="H95" s="602"/>
      <c r="I95" s="602"/>
    </row>
    <row r="96" spans="2:12" x14ac:dyDescent="0.2">
      <c r="B96" s="606" t="s">
        <v>522</v>
      </c>
      <c r="C96" s="606"/>
      <c r="D96" s="617"/>
      <c r="E96" s="617"/>
      <c r="F96" s="623"/>
      <c r="G96" s="623"/>
      <c r="H96" s="617"/>
      <c r="I96" s="617"/>
    </row>
    <row r="97" spans="2:9" x14ac:dyDescent="0.2">
      <c r="B97" s="609" t="s">
        <v>375</v>
      </c>
      <c r="C97" s="609"/>
      <c r="D97" s="621">
        <f t="shared" ref="D97:I97" si="24">(D75*D42*D46)+(1*D76*D46)</f>
        <v>186000</v>
      </c>
      <c r="E97" s="621">
        <f t="shared" si="24"/>
        <v>186000</v>
      </c>
      <c r="F97" s="621">
        <f t="shared" si="24"/>
        <v>196416</v>
      </c>
      <c r="G97" s="621">
        <f t="shared" si="24"/>
        <v>207022.46400000004</v>
      </c>
      <c r="H97" s="621">
        <f t="shared" si="24"/>
        <v>186000</v>
      </c>
      <c r="I97" s="621">
        <f t="shared" si="24"/>
        <v>186000</v>
      </c>
    </row>
    <row r="98" spans="2:9" x14ac:dyDescent="0.2">
      <c r="B98" s="609" t="s">
        <v>376</v>
      </c>
      <c r="C98" s="609"/>
      <c r="D98" s="621">
        <f t="shared" ref="D98:I98" si="25">(D78*(D42+1)*D46)+(D79*(D42+1)*D46)</f>
        <v>164300</v>
      </c>
      <c r="E98" s="621">
        <f t="shared" si="25"/>
        <v>164300</v>
      </c>
      <c r="F98" s="621">
        <f t="shared" si="25"/>
        <v>173500.80000000002</v>
      </c>
      <c r="G98" s="621">
        <f t="shared" si="25"/>
        <v>182869.84320000003</v>
      </c>
      <c r="H98" s="621">
        <f t="shared" si="25"/>
        <v>164300</v>
      </c>
      <c r="I98" s="621">
        <f t="shared" si="25"/>
        <v>164300</v>
      </c>
    </row>
    <row r="99" spans="2:9" x14ac:dyDescent="0.2">
      <c r="B99" s="609" t="s">
        <v>399</v>
      </c>
      <c r="C99" s="609"/>
      <c r="D99" s="621">
        <f t="shared" ref="D99:I99" si="26">(D81*2)+(D82*D46)+(D83*D42)</f>
        <v>43500</v>
      </c>
      <c r="E99" s="621">
        <f t="shared" si="26"/>
        <v>43500</v>
      </c>
      <c r="F99" s="621">
        <f t="shared" si="26"/>
        <v>45936</v>
      </c>
      <c r="G99" s="621">
        <f t="shared" si="26"/>
        <v>48508.415999999997</v>
      </c>
      <c r="H99" s="621">
        <f t="shared" si="26"/>
        <v>43500</v>
      </c>
      <c r="I99" s="621">
        <f t="shared" si="26"/>
        <v>43500</v>
      </c>
    </row>
    <row r="100" spans="2:9" x14ac:dyDescent="0.2">
      <c r="B100" s="609" t="s">
        <v>377</v>
      </c>
      <c r="C100" s="609"/>
      <c r="D100" s="621">
        <f t="shared" ref="D100:I100" si="27">D84*D46</f>
        <v>40000</v>
      </c>
      <c r="E100" s="621">
        <f t="shared" si="27"/>
        <v>40000</v>
      </c>
      <c r="F100" s="621">
        <f t="shared" si="27"/>
        <v>42240</v>
      </c>
      <c r="G100" s="621">
        <f t="shared" si="27"/>
        <v>44605.440000000002</v>
      </c>
      <c r="H100" s="621">
        <f t="shared" si="27"/>
        <v>40000</v>
      </c>
      <c r="I100" s="621">
        <f t="shared" si="27"/>
        <v>40000</v>
      </c>
    </row>
    <row r="101" spans="2:9" x14ac:dyDescent="0.2">
      <c r="B101" s="609" t="s">
        <v>539</v>
      </c>
      <c r="C101" s="609"/>
      <c r="D101" s="621">
        <f t="shared" ref="D101:I101" si="28">D85*D46</f>
        <v>30000</v>
      </c>
      <c r="E101" s="621">
        <f t="shared" si="28"/>
        <v>30000</v>
      </c>
      <c r="F101" s="621">
        <f t="shared" si="28"/>
        <v>31680</v>
      </c>
      <c r="G101" s="621">
        <f t="shared" si="28"/>
        <v>33454.080000000002</v>
      </c>
      <c r="H101" s="621">
        <f t="shared" si="28"/>
        <v>30000</v>
      </c>
      <c r="I101" s="621">
        <f t="shared" si="28"/>
        <v>30000</v>
      </c>
    </row>
    <row r="102" spans="2:9" x14ac:dyDescent="0.2">
      <c r="B102" s="622" t="s">
        <v>727</v>
      </c>
      <c r="C102" s="622"/>
      <c r="D102" s="602">
        <f>SUM(D98:D101)</f>
        <v>277800</v>
      </c>
      <c r="E102" s="602">
        <f t="shared" ref="E102:I102" si="29">SUM(E98:E101)</f>
        <v>277800</v>
      </c>
      <c r="F102" s="602">
        <f t="shared" si="29"/>
        <v>293356.80000000005</v>
      </c>
      <c r="G102" s="602">
        <f t="shared" si="29"/>
        <v>309437.77920000005</v>
      </c>
      <c r="H102" s="602">
        <f t="shared" si="29"/>
        <v>277800</v>
      </c>
      <c r="I102" s="602">
        <f t="shared" si="29"/>
        <v>277800</v>
      </c>
    </row>
    <row r="103" spans="2:9" s="579" customFormat="1" x14ac:dyDescent="0.2">
      <c r="E103" s="624"/>
      <c r="F103" s="624"/>
      <c r="G103" s="624"/>
      <c r="H103" s="624"/>
      <c r="I103" s="624"/>
    </row>
    <row r="104" spans="2:9" x14ac:dyDescent="0.2">
      <c r="B104" s="625"/>
      <c r="C104" s="625"/>
      <c r="D104" s="625"/>
    </row>
    <row r="105" spans="2:9" ht="15" x14ac:dyDescent="0.25">
      <c r="B105" s="626" t="s">
        <v>541</v>
      </c>
      <c r="C105" s="626"/>
      <c r="D105" s="626"/>
      <c r="E105" s="627"/>
      <c r="F105" s="627"/>
      <c r="G105" s="627"/>
      <c r="H105" s="627"/>
      <c r="I105" s="627"/>
    </row>
    <row r="106" spans="2:9" x14ac:dyDescent="0.2">
      <c r="B106" s="628" t="s">
        <v>252</v>
      </c>
      <c r="C106" s="628"/>
      <c r="D106" s="629">
        <f>Demand!D117/$E$60</f>
        <v>9.8536640826873381</v>
      </c>
      <c r="E106" s="629">
        <f>Demand!E117/$E$60</f>
        <v>9.8536640826873381</v>
      </c>
      <c r="F106" s="629">
        <f>Demand!F117/$F$60</f>
        <v>9.9521998277347112</v>
      </c>
      <c r="G106" s="629">
        <f>Demand!G117/$G$60</f>
        <v>10.051720930232559</v>
      </c>
      <c r="H106" s="629">
        <f>Demand!H117/$H$60</f>
        <v>9.8536640826873381</v>
      </c>
      <c r="I106" s="629">
        <f>Demand!I117/$I$60</f>
        <v>9.8536640826873381</v>
      </c>
    </row>
    <row r="107" spans="2:9" x14ac:dyDescent="0.2">
      <c r="B107" s="628" t="s">
        <v>253</v>
      </c>
      <c r="C107" s="628"/>
      <c r="D107" s="629">
        <f>Demand!D118/$E$60</f>
        <v>3.6537054263565891</v>
      </c>
      <c r="E107" s="629">
        <f>Demand!E118/$E$60</f>
        <v>3.6537054263565891</v>
      </c>
      <c r="F107" s="629">
        <f>Demand!F118/$F$60</f>
        <v>3.6902084409991387</v>
      </c>
      <c r="G107" s="629">
        <f>Demand!G118/$G$60</f>
        <v>3.7271145564168817</v>
      </c>
      <c r="H107" s="629">
        <f>Demand!H118/$H$60</f>
        <v>3.6537054263565891</v>
      </c>
      <c r="I107" s="629">
        <f>Demand!I118/$I$60</f>
        <v>3.6537054263565891</v>
      </c>
    </row>
    <row r="108" spans="2:9" x14ac:dyDescent="0.2">
      <c r="B108" s="628" t="s">
        <v>254</v>
      </c>
      <c r="C108" s="628"/>
      <c r="D108" s="629">
        <f>Demand!D119/$E$60</f>
        <v>11.16974332472007</v>
      </c>
      <c r="E108" s="629">
        <f>Demand!E119/$E$60</f>
        <v>11.16974332472007</v>
      </c>
      <c r="F108" s="629">
        <f>Demand!F119/$F$60</f>
        <v>11.281402239448751</v>
      </c>
      <c r="G108" s="629">
        <f>Demand!G119/$G$60</f>
        <v>11.394225667527996</v>
      </c>
      <c r="H108" s="629">
        <f>Demand!H119/$H$60</f>
        <v>11.16974332472007</v>
      </c>
      <c r="I108" s="629">
        <f>Demand!I119/$I$60</f>
        <v>11.16974332472007</v>
      </c>
    </row>
    <row r="109" spans="2:9" x14ac:dyDescent="0.2">
      <c r="B109" s="628" t="s">
        <v>255</v>
      </c>
      <c r="C109" s="628"/>
      <c r="D109" s="629">
        <f>Demand!D120/$E$60</f>
        <v>14.339548664944015</v>
      </c>
      <c r="E109" s="629">
        <f>Demand!E120/$E$60</f>
        <v>14.339548664944015</v>
      </c>
      <c r="F109" s="629">
        <f>Demand!F120/$F$60</f>
        <v>14.482962962962961</v>
      </c>
      <c r="G109" s="629">
        <f>Demand!G120/$G$60</f>
        <v>14.6278105081826</v>
      </c>
      <c r="H109" s="629">
        <f>Demand!H120/$H$60</f>
        <v>14.339548664944015</v>
      </c>
      <c r="I109" s="629">
        <f>Demand!I120/$I$60</f>
        <v>14.339548664944015</v>
      </c>
    </row>
    <row r="110" spans="2:9" x14ac:dyDescent="0.2">
      <c r="B110" s="628" t="s">
        <v>256</v>
      </c>
      <c r="C110" s="628"/>
      <c r="D110" s="629">
        <f>Demand!D121/$E$60</f>
        <v>8.5251782945736441</v>
      </c>
      <c r="E110" s="629">
        <f>Demand!E121/$E$60</f>
        <v>8.5251782945736441</v>
      </c>
      <c r="F110" s="629">
        <f>Demand!F121/$F$60</f>
        <v>8.6104565030146425</v>
      </c>
      <c r="G110" s="629">
        <f>Demand!G121/$G$60</f>
        <v>8.6965409130060305</v>
      </c>
      <c r="H110" s="629">
        <f>Demand!H121/$H$60</f>
        <v>8.5251782945736441</v>
      </c>
      <c r="I110" s="629">
        <f>Demand!I121/$I$60</f>
        <v>8.5251782945736441</v>
      </c>
    </row>
    <row r="111" spans="2:9" x14ac:dyDescent="0.2">
      <c r="B111" s="628" t="s">
        <v>257</v>
      </c>
      <c r="C111" s="628"/>
      <c r="D111" s="629">
        <f>Demand!D122/$E$60</f>
        <v>5.2153178294573639</v>
      </c>
      <c r="E111" s="629">
        <f>Demand!E122/$E$60</f>
        <v>5.2153178294573639</v>
      </c>
      <c r="F111" s="629">
        <f>Demand!F122/$F$60</f>
        <v>5.2674969853574503</v>
      </c>
      <c r="G111" s="629">
        <f>Demand!G122/$G$60</f>
        <v>5.3201688199827739</v>
      </c>
      <c r="H111" s="629">
        <f>Demand!H122/$H$60</f>
        <v>5.2153178294573639</v>
      </c>
      <c r="I111" s="629">
        <f>Demand!I122/$I$60</f>
        <v>5.2153178294573639</v>
      </c>
    </row>
    <row r="112" spans="2:9" x14ac:dyDescent="0.2">
      <c r="B112" s="628" t="s">
        <v>258</v>
      </c>
      <c r="C112" s="628"/>
      <c r="D112" s="629">
        <f>Demand!D123/$E$60</f>
        <v>1.3393695090439277</v>
      </c>
      <c r="E112" s="629">
        <f>Demand!E123/$E$60</f>
        <v>1.3393695090439277</v>
      </c>
      <c r="F112" s="629">
        <f>Demand!F123/$F$60</f>
        <v>1.3527614125753662</v>
      </c>
      <c r="G112" s="629">
        <f>Demand!G123/$G$60</f>
        <v>1.3662876830318691</v>
      </c>
      <c r="H112" s="629">
        <f>Demand!H123/$H$60</f>
        <v>1.3393695090439277</v>
      </c>
      <c r="I112" s="629">
        <f>Demand!I123/$I$60</f>
        <v>1.3393695090439277</v>
      </c>
    </row>
    <row r="113" spans="2:9" x14ac:dyDescent="0.2">
      <c r="B113" s="628" t="s">
        <v>259</v>
      </c>
      <c r="C113" s="628"/>
      <c r="D113" s="629">
        <f>Demand!D124/$E$60</f>
        <v>3.9103014642549523</v>
      </c>
      <c r="E113" s="629">
        <f>Demand!E124/$E$60</f>
        <v>3.9103014642549523</v>
      </c>
      <c r="F113" s="629">
        <f>Demand!F124/$F$60</f>
        <v>3.9494022394487516</v>
      </c>
      <c r="G113" s="629">
        <f>Demand!G124/$G$60</f>
        <v>3.9889061154177434</v>
      </c>
      <c r="H113" s="629">
        <f>Demand!H124/$H$60</f>
        <v>3.9103014642549523</v>
      </c>
      <c r="I113" s="629">
        <f>Demand!I124/$I$60</f>
        <v>3.9103014642549523</v>
      </c>
    </row>
    <row r="114" spans="2:9" x14ac:dyDescent="0.2">
      <c r="B114" s="628" t="s">
        <v>260</v>
      </c>
      <c r="C114" s="628"/>
      <c r="D114" s="629">
        <f>Demand!D125/$E$60</f>
        <v>5.4415021533161072</v>
      </c>
      <c r="E114" s="629">
        <f>Demand!E125/$E$60</f>
        <v>5.4415021533161072</v>
      </c>
      <c r="F114" s="629">
        <f>Demand!F125/$F$60</f>
        <v>5.4959207579672702</v>
      </c>
      <c r="G114" s="629">
        <f>Demand!G125/$G$60</f>
        <v>5.5508768303186908</v>
      </c>
      <c r="H114" s="629">
        <f>Demand!H125/$H$60</f>
        <v>5.4415021533161072</v>
      </c>
      <c r="I114" s="629">
        <f>Demand!I125/$I$60</f>
        <v>5.4415021533161072</v>
      </c>
    </row>
    <row r="115" spans="2:9" ht="15" x14ac:dyDescent="0.25">
      <c r="B115" s="630" t="s">
        <v>517</v>
      </c>
      <c r="C115" s="630"/>
      <c r="D115" s="631">
        <f>SUM(D106:D114)</f>
        <v>63.448330749354007</v>
      </c>
      <c r="E115" s="631">
        <f>SUM(E106:E114)</f>
        <v>63.448330749354007</v>
      </c>
      <c r="F115" s="631">
        <f t="shared" ref="F115:I115" si="30">SUM(F106:F114)</f>
        <v>64.082811369509045</v>
      </c>
      <c r="G115" s="631">
        <f t="shared" si="30"/>
        <v>64.723652024117143</v>
      </c>
      <c r="H115" s="631">
        <f t="shared" si="30"/>
        <v>63.448330749354007</v>
      </c>
      <c r="I115" s="631">
        <f t="shared" si="30"/>
        <v>63.448330749354007</v>
      </c>
    </row>
    <row r="118" spans="2:9" ht="15" x14ac:dyDescent="0.25">
      <c r="B118" s="626" t="s">
        <v>589</v>
      </c>
      <c r="C118" s="626"/>
      <c r="D118" s="626"/>
      <c r="E118" s="627"/>
      <c r="F118" s="627"/>
      <c r="G118" s="627"/>
      <c r="H118" s="627"/>
      <c r="I118" s="627"/>
    </row>
    <row r="119" spans="2:9" x14ac:dyDescent="0.2">
      <c r="B119" s="628" t="s">
        <v>252</v>
      </c>
      <c r="C119" s="628"/>
      <c r="D119" s="629">
        <f>Demand!D129/D61</f>
        <v>24.444666666666663</v>
      </c>
      <c r="E119" s="629">
        <f>Demand!E129/E61</f>
        <v>24.444666666666663</v>
      </c>
      <c r="F119" s="629">
        <f>Demand!F129/$F$61</f>
        <v>24.689111111111107</v>
      </c>
      <c r="G119" s="629">
        <f>Demand!G129/$G$61</f>
        <v>24.935999999999996</v>
      </c>
      <c r="H119" s="629">
        <f>Demand!H129/$H$61</f>
        <v>24.444666666666663</v>
      </c>
      <c r="I119" s="629">
        <f>Demand!I129/$I$61</f>
        <v>24.444666666666663</v>
      </c>
    </row>
    <row r="120" spans="2:9" x14ac:dyDescent="0.2">
      <c r="B120" s="628" t="s">
        <v>253</v>
      </c>
      <c r="C120" s="628"/>
      <c r="D120" s="629">
        <f>Demand!D130/$E$61</f>
        <v>9.0640000000000001</v>
      </c>
      <c r="E120" s="629">
        <f>Demand!E130/$E$61</f>
        <v>9.0640000000000001</v>
      </c>
      <c r="F120" s="629">
        <f>Demand!F130/$F$61</f>
        <v>9.1545555555555556</v>
      </c>
      <c r="G120" s="629">
        <f>Demand!G130/$G$61</f>
        <v>9.2461111111111105</v>
      </c>
      <c r="H120" s="629">
        <f>Demand!H130/$H$61</f>
        <v>9.0640000000000001</v>
      </c>
      <c r="I120" s="629">
        <f>Demand!I130/$I$61</f>
        <v>9.0640000000000001</v>
      </c>
    </row>
    <row r="121" spans="2:9" x14ac:dyDescent="0.2">
      <c r="B121" s="628" t="s">
        <v>254</v>
      </c>
      <c r="C121" s="628"/>
      <c r="D121" s="629">
        <f>Demand!D131/$E$61</f>
        <v>27.709555555555553</v>
      </c>
      <c r="E121" s="629">
        <f>Demand!E131/$E$61</f>
        <v>27.709555555555553</v>
      </c>
      <c r="F121" s="629">
        <f>Demand!F131/$F$61</f>
        <v>27.986555555555555</v>
      </c>
      <c r="G121" s="629">
        <f>Demand!G131/$G$61</f>
        <v>28.266444444444446</v>
      </c>
      <c r="H121" s="629">
        <f>Demand!H131/$H$61</f>
        <v>27.709555555555553</v>
      </c>
      <c r="I121" s="629">
        <f>Demand!I131/$I$61</f>
        <v>27.709555555555553</v>
      </c>
    </row>
    <row r="122" spans="2:9" x14ac:dyDescent="0.2">
      <c r="B122" s="628" t="s">
        <v>255</v>
      </c>
      <c r="C122" s="628"/>
      <c r="D122" s="629">
        <f>Demand!D132/$E$61</f>
        <v>35.57311111111111</v>
      </c>
      <c r="E122" s="629">
        <f>Demand!E132/$E$61</f>
        <v>35.57311111111111</v>
      </c>
      <c r="F122" s="629">
        <f>Demand!F132/$F$61</f>
        <v>35.928888888888885</v>
      </c>
      <c r="G122" s="629">
        <f>Demand!G132/$G$61</f>
        <v>36.288222222222224</v>
      </c>
      <c r="H122" s="629">
        <f>Demand!H132/$H$61</f>
        <v>35.57311111111111</v>
      </c>
      <c r="I122" s="629">
        <f>Demand!I132/$I$61</f>
        <v>35.57311111111111</v>
      </c>
    </row>
    <row r="123" spans="2:9" x14ac:dyDescent="0.2">
      <c r="B123" s="628" t="s">
        <v>256</v>
      </c>
      <c r="C123" s="628"/>
      <c r="D123" s="629">
        <f>Demand!D133/$E$61</f>
        <v>21.148999999999997</v>
      </c>
      <c r="E123" s="629">
        <f>Demand!E133/$E$61</f>
        <v>21.148999999999997</v>
      </c>
      <c r="F123" s="629">
        <f>Demand!F133/$F$61</f>
        <v>21.360555555555557</v>
      </c>
      <c r="G123" s="629">
        <f>Demand!G133/$G$61</f>
        <v>21.574111111111112</v>
      </c>
      <c r="H123" s="629">
        <f>Demand!H133/$H$61</f>
        <v>21.148999999999997</v>
      </c>
      <c r="I123" s="629">
        <f>Demand!I133/$I$61</f>
        <v>21.148999999999997</v>
      </c>
    </row>
    <row r="124" spans="2:9" x14ac:dyDescent="0.2">
      <c r="B124" s="628" t="s">
        <v>257</v>
      </c>
      <c r="C124" s="628"/>
      <c r="D124" s="629">
        <f>Demand!D134/$E$61</f>
        <v>12.937999999999999</v>
      </c>
      <c r="E124" s="629">
        <f>Demand!E134/$E$61</f>
        <v>12.937999999999999</v>
      </c>
      <c r="F124" s="629">
        <f>Demand!F134/$F$61</f>
        <v>13.067444444444444</v>
      </c>
      <c r="G124" s="629">
        <f>Demand!G134/$G$61</f>
        <v>13.19811111111111</v>
      </c>
      <c r="H124" s="629">
        <f>Demand!H134/$H$61</f>
        <v>12.937999999999999</v>
      </c>
      <c r="I124" s="629">
        <f>Demand!I134/$I$61</f>
        <v>12.937999999999999</v>
      </c>
    </row>
    <row r="125" spans="2:9" x14ac:dyDescent="0.2">
      <c r="B125" s="628" t="s">
        <v>258</v>
      </c>
      <c r="C125" s="628"/>
      <c r="D125" s="629">
        <f>Demand!D135/$E$61</f>
        <v>3.3226666666666662</v>
      </c>
      <c r="E125" s="629">
        <f>Demand!E135/$E$61</f>
        <v>3.3226666666666662</v>
      </c>
      <c r="F125" s="629">
        <f>Demand!F135/$F$61</f>
        <v>3.3558888888888885</v>
      </c>
      <c r="G125" s="629">
        <f>Demand!G135/$G$61</f>
        <v>3.3894444444444445</v>
      </c>
      <c r="H125" s="629">
        <f>Demand!H135/$H$61</f>
        <v>3.3226666666666662</v>
      </c>
      <c r="I125" s="629">
        <f>Demand!I135/$I$61</f>
        <v>3.3226666666666662</v>
      </c>
    </row>
    <row r="126" spans="2:9" x14ac:dyDescent="0.2">
      <c r="B126" s="628" t="s">
        <v>259</v>
      </c>
      <c r="C126" s="628"/>
      <c r="D126" s="629">
        <f>Demand!D136/$E$61</f>
        <v>9.7005555555555567</v>
      </c>
      <c r="E126" s="629">
        <f>Demand!E136/$E$61</f>
        <v>9.7005555555555567</v>
      </c>
      <c r="F126" s="629">
        <f>Demand!F136/$F$61</f>
        <v>9.7975555555555545</v>
      </c>
      <c r="G126" s="629">
        <f>Demand!G136/$G$61</f>
        <v>9.8955555555555552</v>
      </c>
      <c r="H126" s="629">
        <f>Demand!H136/$H$61</f>
        <v>9.7005555555555567</v>
      </c>
      <c r="I126" s="629">
        <f>Demand!I136/$I$61</f>
        <v>9.7005555555555567</v>
      </c>
    </row>
    <row r="127" spans="2:9" x14ac:dyDescent="0.2">
      <c r="B127" s="628" t="s">
        <v>260</v>
      </c>
      <c r="C127" s="628"/>
      <c r="D127" s="629">
        <f>Demand!D137/$E$61</f>
        <v>13.499111111111111</v>
      </c>
      <c r="E127" s="629">
        <f>Demand!E137/$E$61</f>
        <v>13.499111111111111</v>
      </c>
      <c r="F127" s="629">
        <f>Demand!F137/$F$61</f>
        <v>13.634111111111112</v>
      </c>
      <c r="G127" s="629">
        <f>Demand!G137/$G$61</f>
        <v>13.770444444444443</v>
      </c>
      <c r="H127" s="629">
        <f>Demand!H137/$H$61</f>
        <v>13.499111111111111</v>
      </c>
      <c r="I127" s="629">
        <f>Demand!I137/$I$61</f>
        <v>13.499111111111111</v>
      </c>
    </row>
    <row r="128" spans="2:9" ht="15" x14ac:dyDescent="0.25">
      <c r="B128" s="630" t="s">
        <v>517</v>
      </c>
      <c r="C128" s="630"/>
      <c r="D128" s="631">
        <f>SUM(D119:D127)</f>
        <v>157.40066666666667</v>
      </c>
      <c r="E128" s="631">
        <f>SUM(E119:E127)</f>
        <v>157.40066666666667</v>
      </c>
      <c r="F128" s="631">
        <f t="shared" ref="F128" si="31">SUM(F119:F127)</f>
        <v>158.97466666666668</v>
      </c>
      <c r="G128" s="631">
        <f t="shared" ref="G128" si="32">SUM(G119:G127)</f>
        <v>160.56444444444443</v>
      </c>
      <c r="H128" s="631">
        <f t="shared" ref="H128" si="33">SUM(H119:H127)</f>
        <v>157.40066666666667</v>
      </c>
      <c r="I128" s="631">
        <f t="shared" ref="I128" si="34">SUM(I119:I127)</f>
        <v>157.40066666666667</v>
      </c>
    </row>
  </sheetData>
  <mergeCells count="1">
    <mergeCell ref="E3:G3"/>
  </mergeCells>
  <conditionalFormatting sqref="E10">
    <cfRule type="expression" dxfId="387" priority="67">
      <formula>E10&lt;$D10</formula>
    </cfRule>
    <cfRule type="expression" dxfId="386" priority="68">
      <formula>E10&gt;$D10</formula>
    </cfRule>
  </conditionalFormatting>
  <conditionalFormatting sqref="F10:I10">
    <cfRule type="expression" dxfId="385" priority="59">
      <formula>F10&lt;$D10</formula>
    </cfRule>
    <cfRule type="expression" dxfId="384" priority="60">
      <formula>F10&gt;$D10</formula>
    </cfRule>
  </conditionalFormatting>
  <conditionalFormatting sqref="E11">
    <cfRule type="expression" dxfId="383" priority="57">
      <formula>E11&lt;$D11</formula>
    </cfRule>
    <cfRule type="expression" dxfId="382" priority="58">
      <formula>E11&gt;$D11</formula>
    </cfRule>
  </conditionalFormatting>
  <conditionalFormatting sqref="F11:I11">
    <cfRule type="expression" dxfId="381" priority="55">
      <formula>F11&lt;$D11</formula>
    </cfRule>
    <cfRule type="expression" dxfId="380" priority="56">
      <formula>F11&gt;$D11</formula>
    </cfRule>
  </conditionalFormatting>
  <conditionalFormatting sqref="E29">
    <cfRule type="expression" dxfId="379" priority="53">
      <formula>E29&lt;$D29</formula>
    </cfRule>
    <cfRule type="expression" dxfId="378" priority="54">
      <formula>E29&gt;$D29</formula>
    </cfRule>
  </conditionalFormatting>
  <conditionalFormatting sqref="F29:I29">
    <cfRule type="expression" dxfId="377" priority="51">
      <formula>F29&lt;$D29</formula>
    </cfRule>
    <cfRule type="expression" dxfId="376" priority="52">
      <formula>F29&gt;$D29</formula>
    </cfRule>
  </conditionalFormatting>
  <conditionalFormatting sqref="E45">
    <cfRule type="expression" dxfId="375" priority="49">
      <formula>E45&lt;$D45</formula>
    </cfRule>
    <cfRule type="expression" dxfId="374" priority="50">
      <formula>E45&gt;$D45</formula>
    </cfRule>
  </conditionalFormatting>
  <conditionalFormatting sqref="F45:I45">
    <cfRule type="expression" dxfId="373" priority="47">
      <formula>F45&lt;$D45</formula>
    </cfRule>
    <cfRule type="expression" dxfId="372" priority="48">
      <formula>F45&gt;$D45</formula>
    </cfRule>
  </conditionalFormatting>
  <conditionalFormatting sqref="E46">
    <cfRule type="expression" dxfId="371" priority="45">
      <formula>E46&lt;$D46</formula>
    </cfRule>
    <cfRule type="expression" dxfId="370" priority="46">
      <formula>E46&gt;$D46</formula>
    </cfRule>
  </conditionalFormatting>
  <conditionalFormatting sqref="F46:I46">
    <cfRule type="expression" dxfId="369" priority="43">
      <formula>F46&lt;$D46</formula>
    </cfRule>
    <cfRule type="expression" dxfId="368" priority="44">
      <formula>F46&gt;$D46</formula>
    </cfRule>
  </conditionalFormatting>
  <conditionalFormatting sqref="E49">
    <cfRule type="expression" dxfId="367" priority="41">
      <formula>E49&lt;$D49</formula>
    </cfRule>
    <cfRule type="expression" dxfId="366" priority="42">
      <formula>E49&gt;$D49</formula>
    </cfRule>
  </conditionalFormatting>
  <conditionalFormatting sqref="F49:I49">
    <cfRule type="expression" dxfId="365" priority="39">
      <formula>F49&lt;$D49</formula>
    </cfRule>
    <cfRule type="expression" dxfId="364" priority="40">
      <formula>F49&gt;$D49</formula>
    </cfRule>
  </conditionalFormatting>
  <conditionalFormatting sqref="E54">
    <cfRule type="expression" dxfId="363" priority="37">
      <formula>E54&lt;$D54</formula>
    </cfRule>
    <cfRule type="expression" dxfId="362" priority="38">
      <formula>E54&gt;$D54</formula>
    </cfRule>
  </conditionalFormatting>
  <conditionalFormatting sqref="H54:I54">
    <cfRule type="expression" dxfId="361" priority="35">
      <formula>H54&lt;$D54</formula>
    </cfRule>
    <cfRule type="expression" dxfId="360" priority="36">
      <formula>H54&gt;$D54</formula>
    </cfRule>
  </conditionalFormatting>
  <conditionalFormatting sqref="E55">
    <cfRule type="expression" dxfId="359" priority="33">
      <formula>E55&lt;$D55</formula>
    </cfRule>
    <cfRule type="expression" dxfId="358" priority="34">
      <formula>E55&gt;$D55</formula>
    </cfRule>
  </conditionalFormatting>
  <conditionalFormatting sqref="F55:I55">
    <cfRule type="expression" dxfId="357" priority="31">
      <formula>F55&lt;$D55</formula>
    </cfRule>
    <cfRule type="expression" dxfId="356" priority="32">
      <formula>F55&gt;$D55</formula>
    </cfRule>
  </conditionalFormatting>
  <conditionalFormatting sqref="E56">
    <cfRule type="expression" dxfId="355" priority="29">
      <formula>E56&lt;$D56</formula>
    </cfRule>
    <cfRule type="expression" dxfId="354" priority="30">
      <formula>E56&gt;$D56</formula>
    </cfRule>
  </conditionalFormatting>
  <conditionalFormatting sqref="F56:I56">
    <cfRule type="expression" dxfId="353" priority="27">
      <formula>F56&lt;$D56</formula>
    </cfRule>
    <cfRule type="expression" dxfId="352" priority="28">
      <formula>F56&gt;$D56</formula>
    </cfRule>
  </conditionalFormatting>
  <conditionalFormatting sqref="E64">
    <cfRule type="expression" dxfId="351" priority="25">
      <formula>E64&lt;$D64</formula>
    </cfRule>
    <cfRule type="expression" dxfId="350" priority="26">
      <formula>E64&gt;$D64</formula>
    </cfRule>
  </conditionalFormatting>
  <conditionalFormatting sqref="F64:I64">
    <cfRule type="expression" dxfId="349" priority="23">
      <formula>F64&lt;$D64</formula>
    </cfRule>
    <cfRule type="expression" dxfId="348" priority="24">
      <formula>F64&gt;$D64</formula>
    </cfRule>
  </conditionalFormatting>
  <conditionalFormatting sqref="E65">
    <cfRule type="expression" dxfId="347" priority="21">
      <formula>E65&lt;$D65</formula>
    </cfRule>
    <cfRule type="expression" dxfId="346" priority="22">
      <formula>E65&gt;$D65</formula>
    </cfRule>
  </conditionalFormatting>
  <conditionalFormatting sqref="F65:I65">
    <cfRule type="expression" dxfId="345" priority="19">
      <formula>F65&lt;$D65</formula>
    </cfRule>
    <cfRule type="expression" dxfId="344" priority="20">
      <formula>F65&gt;$D65</formula>
    </cfRule>
  </conditionalFormatting>
  <conditionalFormatting sqref="E66">
    <cfRule type="expression" dxfId="343" priority="17">
      <formula>E66&lt;$D66</formula>
    </cfRule>
    <cfRule type="expression" dxfId="342" priority="18">
      <formula>E66&gt;$D66</formula>
    </cfRule>
  </conditionalFormatting>
  <conditionalFormatting sqref="F66:I66">
    <cfRule type="expression" dxfId="341" priority="15">
      <formula>F66&lt;$D66</formula>
    </cfRule>
    <cfRule type="expression" dxfId="340" priority="16">
      <formula>F66&gt;$D66</formula>
    </cfRule>
  </conditionalFormatting>
  <conditionalFormatting sqref="E67">
    <cfRule type="expression" dxfId="339" priority="13">
      <formula>E67&lt;$D67</formula>
    </cfRule>
    <cfRule type="expression" dxfId="338" priority="14">
      <formula>E67&gt;$D67</formula>
    </cfRule>
  </conditionalFormatting>
  <conditionalFormatting sqref="F67:I67">
    <cfRule type="expression" dxfId="337" priority="11">
      <formula>F67&lt;$D67</formula>
    </cfRule>
    <cfRule type="expression" dxfId="336" priority="12">
      <formula>F67&gt;$D67</formula>
    </cfRule>
  </conditionalFormatting>
  <conditionalFormatting sqref="E68">
    <cfRule type="expression" dxfId="335" priority="9">
      <formula>E68&lt;$D68</formula>
    </cfRule>
    <cfRule type="expression" dxfId="334" priority="10">
      <formula>E68&gt;$D68</formula>
    </cfRule>
  </conditionalFormatting>
  <conditionalFormatting sqref="F68:I68">
    <cfRule type="expression" dxfId="333" priority="7">
      <formula>F68&lt;$D68</formula>
    </cfRule>
    <cfRule type="expression" dxfId="332" priority="8">
      <formula>F68&gt;$D68</formula>
    </cfRule>
  </conditionalFormatting>
  <conditionalFormatting sqref="E75:E76 E78:E79 E81:E85">
    <cfRule type="expression" dxfId="331" priority="5">
      <formula>E75&lt;$D75</formula>
    </cfRule>
    <cfRule type="expression" dxfId="330" priority="6">
      <formula>E75&gt;$D75</formula>
    </cfRule>
  </conditionalFormatting>
  <conditionalFormatting sqref="H75:H76 H78:H79 H81:H85">
    <cfRule type="expression" dxfId="329" priority="3">
      <formula>H75&lt;$D75</formula>
    </cfRule>
    <cfRule type="expression" dxfId="328" priority="4">
      <formula>H75&gt;$D75</formula>
    </cfRule>
  </conditionalFormatting>
  <conditionalFormatting sqref="I75:I76 I78:I79 I81:I85">
    <cfRule type="expression" dxfId="327" priority="1">
      <formula>I75&lt;$D75</formula>
    </cfRule>
    <cfRule type="expression" dxfId="326" priority="2">
      <formula>I75&gt;$D75</formula>
    </cfRule>
  </conditionalFormatting>
  <pageMargins left="0.7" right="0.7" top="0.75" bottom="0.75" header="0.3" footer="0.3"/>
  <pageSetup paperSize="9" orientation="portrait" r:id="rId1"/>
  <ignoredErrors>
    <ignoredError sqref="D57:I58" formulaRang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V75"/>
  <sheetViews>
    <sheetView showGridLines="0" tabSelected="1" workbookViewId="0">
      <pane ySplit="6" topLeftCell="A7" activePane="bottomLeft" state="frozen"/>
      <selection activeCell="I64" sqref="I64"/>
      <selection pane="bottomLeft" activeCell="D1" sqref="D1:H1048576"/>
    </sheetView>
  </sheetViews>
  <sheetFormatPr defaultRowHeight="14.25" x14ac:dyDescent="0.2"/>
  <cols>
    <col min="1" max="1" width="2.85546875" style="525" customWidth="1"/>
    <col min="2" max="2" width="39.42578125" style="525" customWidth="1"/>
    <col min="3" max="3" width="26.28515625" style="525" customWidth="1"/>
    <col min="4" max="4" width="22.5703125" style="525" customWidth="1"/>
    <col min="5" max="8" width="16.140625" style="525" customWidth="1"/>
    <col min="9" max="9" width="17.7109375" style="525" customWidth="1"/>
    <col min="10" max="10" width="15.28515625" style="525" customWidth="1"/>
    <col min="11" max="11" width="19.42578125" style="525" customWidth="1"/>
    <col min="12" max="16384" width="9.140625" style="525"/>
  </cols>
  <sheetData>
    <row r="1" spans="1:22" ht="15.75" x14ac:dyDescent="0.25">
      <c r="A1" s="645"/>
      <c r="B1" s="646" t="s">
        <v>571</v>
      </c>
      <c r="C1" s="646"/>
      <c r="D1" s="647" t="s">
        <v>834</v>
      </c>
      <c r="E1" s="938" t="s">
        <v>704</v>
      </c>
      <c r="F1" s="938"/>
      <c r="G1" s="938"/>
      <c r="H1" s="648" t="s">
        <v>278</v>
      </c>
      <c r="I1" s="649" t="s">
        <v>279</v>
      </c>
    </row>
    <row r="2" spans="1:22" ht="15.75" x14ac:dyDescent="0.25">
      <c r="A2" s="650"/>
      <c r="C2" s="651"/>
      <c r="D2" s="652" t="s">
        <v>371</v>
      </c>
      <c r="E2" s="653" t="s">
        <v>371</v>
      </c>
      <c r="F2" s="653" t="s">
        <v>372</v>
      </c>
      <c r="G2" s="653" t="s">
        <v>373</v>
      </c>
      <c r="H2" s="654" t="s">
        <v>371</v>
      </c>
      <c r="I2" s="655" t="s">
        <v>371</v>
      </c>
    </row>
    <row r="3" spans="1:22" ht="15" x14ac:dyDescent="0.25">
      <c r="B3" s="656"/>
      <c r="C3" s="595"/>
      <c r="D3" s="657" t="s">
        <v>808</v>
      </c>
      <c r="E3" s="658">
        <f>E11-$D$11</f>
        <v>0</v>
      </c>
      <c r="F3" s="658">
        <f>F11-$D$11</f>
        <v>105675518.635427</v>
      </c>
      <c r="G3" s="658">
        <f t="shared" ref="G3:I3" si="0">G11-$D$11</f>
        <v>233173022.84050608</v>
      </c>
      <c r="H3" s="658">
        <f t="shared" si="0"/>
        <v>669907526.12802887</v>
      </c>
      <c r="I3" s="658">
        <f t="shared" si="0"/>
        <v>884544141.12802887</v>
      </c>
      <c r="J3" s="659"/>
      <c r="K3" s="659"/>
      <c r="L3" s="659"/>
      <c r="M3" s="659"/>
      <c r="N3" s="659"/>
      <c r="O3" s="659"/>
      <c r="P3" s="659"/>
      <c r="Q3" s="659"/>
    </row>
    <row r="4" spans="1:22" ht="6" customHeight="1" x14ac:dyDescent="0.25">
      <c r="B4" s="620"/>
      <c r="C4" s="660"/>
      <c r="D4" s="659"/>
      <c r="E4" s="661"/>
      <c r="F4" s="661"/>
      <c r="G4" s="661"/>
      <c r="H4" s="661"/>
      <c r="I4" s="661"/>
      <c r="J4" s="659"/>
      <c r="K4" s="659"/>
      <c r="L4" s="659"/>
      <c r="M4" s="659"/>
      <c r="N4" s="659"/>
      <c r="O4" s="659"/>
      <c r="P4" s="659"/>
      <c r="Q4" s="659"/>
    </row>
    <row r="5" spans="1:22" ht="15" x14ac:dyDescent="0.25">
      <c r="B5" s="656"/>
      <c r="C5" s="662"/>
      <c r="D5" s="657" t="s">
        <v>809</v>
      </c>
      <c r="E5" s="658">
        <f>E13-$D$13</f>
        <v>0</v>
      </c>
      <c r="F5" s="658">
        <f t="shared" ref="F5:I5" si="1">F13-$D$13</f>
        <v>51624000</v>
      </c>
      <c r="G5" s="658">
        <f t="shared" si="1"/>
        <v>104863296</v>
      </c>
      <c r="H5" s="658">
        <f t="shared" si="1"/>
        <v>0</v>
      </c>
      <c r="I5" s="658">
        <f t="shared" si="1"/>
        <v>0</v>
      </c>
      <c r="J5" s="659"/>
      <c r="K5" s="659"/>
      <c r="L5" s="659"/>
      <c r="M5" s="659"/>
      <c r="N5" s="659"/>
      <c r="O5" s="659"/>
      <c r="P5" s="659"/>
      <c r="Q5" s="659"/>
    </row>
    <row r="6" spans="1:22" ht="6.75" customHeight="1" x14ac:dyDescent="0.25">
      <c r="B6" s="620"/>
      <c r="C6" s="659"/>
      <c r="D6" s="659"/>
      <c r="E6" s="661"/>
      <c r="F6" s="661"/>
      <c r="G6" s="661"/>
      <c r="H6" s="661"/>
      <c r="I6" s="661"/>
      <c r="J6" s="659"/>
      <c r="K6" s="659"/>
      <c r="L6" s="659"/>
      <c r="M6" s="659"/>
      <c r="N6" s="659"/>
      <c r="O6" s="659"/>
      <c r="P6" s="659"/>
      <c r="Q6" s="659"/>
    </row>
    <row r="7" spans="1:22" ht="15" x14ac:dyDescent="0.25">
      <c r="B7" s="663" t="s">
        <v>572</v>
      </c>
      <c r="C7" s="664"/>
      <c r="D7" s="665"/>
      <c r="E7" s="665"/>
      <c r="F7" s="665"/>
      <c r="G7" s="665"/>
      <c r="H7" s="665"/>
      <c r="I7" s="665"/>
      <c r="J7" s="659"/>
      <c r="K7" s="659"/>
      <c r="L7" s="659"/>
      <c r="M7" s="659"/>
      <c r="N7" s="659"/>
      <c r="O7" s="659"/>
      <c r="P7" s="659"/>
      <c r="Q7" s="659"/>
    </row>
    <row r="8" spans="1:22" x14ac:dyDescent="0.2">
      <c r="A8" s="586"/>
      <c r="B8" s="666" t="s">
        <v>481</v>
      </c>
      <c r="C8" s="666"/>
      <c r="D8" s="667">
        <f>D16+D21+D26</f>
        <v>331383864.57562876</v>
      </c>
      <c r="E8" s="667">
        <f>E16+E21+E26</f>
        <v>331383864.57562876</v>
      </c>
      <c r="F8" s="667">
        <f t="shared" ref="F8:I8" si="2">F16+F21+F26</f>
        <v>354831494.94039071</v>
      </c>
      <c r="G8" s="667">
        <f t="shared" si="2"/>
        <v>379747757.80670124</v>
      </c>
      <c r="H8" s="667">
        <f t="shared" si="2"/>
        <v>472459145.69975376</v>
      </c>
      <c r="I8" s="667">
        <f t="shared" si="2"/>
        <v>472459145.69975376</v>
      </c>
    </row>
    <row r="9" spans="1:22" x14ac:dyDescent="0.2">
      <c r="A9" s="586"/>
      <c r="B9" s="666" t="s">
        <v>479</v>
      </c>
      <c r="C9" s="666"/>
      <c r="D9" s="667">
        <f t="shared" ref="D9" si="3">D17+D22+D27</f>
        <v>1917883904.6658421</v>
      </c>
      <c r="E9" s="667">
        <f t="shared" ref="E9:I9" si="4">E17+E22+E27</f>
        <v>1917883904.6658421</v>
      </c>
      <c r="F9" s="667">
        <f t="shared" si="4"/>
        <v>1998939411.4182684</v>
      </c>
      <c r="G9" s="667">
        <f t="shared" si="4"/>
        <v>2100274839.6137218</v>
      </c>
      <c r="H9" s="667">
        <f t="shared" si="4"/>
        <v>2439662385.6135397</v>
      </c>
      <c r="I9" s="667">
        <f t="shared" si="4"/>
        <v>2654299000.6135397</v>
      </c>
    </row>
    <row r="10" spans="1:22" x14ac:dyDescent="0.2">
      <c r="A10" s="586"/>
      <c r="B10" s="668" t="s">
        <v>386</v>
      </c>
      <c r="C10" s="669"/>
      <c r="D10" s="667">
        <f t="shared" ref="D10" si="5">D18+D23+D28</f>
        <v>16569193.228781439</v>
      </c>
      <c r="E10" s="667">
        <f t="shared" ref="E10:I10" si="6">E18+E23+E28</f>
        <v>16569193.228781439</v>
      </c>
      <c r="F10" s="667">
        <f t="shared" si="6"/>
        <v>17741574.747019537</v>
      </c>
      <c r="G10" s="667">
        <f t="shared" si="6"/>
        <v>18987387.890335061</v>
      </c>
      <c r="H10" s="667">
        <f t="shared" si="6"/>
        <v>23622957.284987688</v>
      </c>
      <c r="I10" s="667">
        <f t="shared" si="6"/>
        <v>23622957.284987688</v>
      </c>
    </row>
    <row r="11" spans="1:22" x14ac:dyDescent="0.2">
      <c r="A11" s="586"/>
      <c r="B11" s="670" t="s">
        <v>777</v>
      </c>
      <c r="C11" s="671"/>
      <c r="D11" s="672">
        <f>IF($C$20=$K$20,SUM(D8:D10),$K$11)</f>
        <v>2265836962.470252</v>
      </c>
      <c r="E11" s="672">
        <f>IF($C$20=$K$20,SUM(E8:E10),$K$11)</f>
        <v>2265836962.470252</v>
      </c>
      <c r="F11" s="672">
        <f t="shared" ref="F11:I11" si="7">IF($C$20=$K$20,SUM(F8:F10),$K$11)</f>
        <v>2371512481.105679</v>
      </c>
      <c r="G11" s="672">
        <f t="shared" si="7"/>
        <v>2499009985.3107581</v>
      </c>
      <c r="H11" s="672">
        <f t="shared" si="7"/>
        <v>2935744488.5982809</v>
      </c>
      <c r="I11" s="672">
        <f t="shared" si="7"/>
        <v>3150381103.5982809</v>
      </c>
      <c r="J11" s="839"/>
      <c r="K11" s="673" t="s">
        <v>701</v>
      </c>
    </row>
    <row r="12" spans="1:22" hidden="1" x14ac:dyDescent="0.2">
      <c r="A12" s="586"/>
      <c r="B12" s="674"/>
      <c r="C12" s="675"/>
      <c r="K12" s="673"/>
    </row>
    <row r="13" spans="1:22" x14ac:dyDescent="0.2">
      <c r="A13" s="586"/>
      <c r="B13" s="670" t="s">
        <v>779</v>
      </c>
      <c r="C13" s="671"/>
      <c r="D13" s="672">
        <f>PED!D8+DISTRICT!D8</f>
        <v>804000000</v>
      </c>
      <c r="E13" s="672">
        <f>PED!E8+DISTRICT!E8</f>
        <v>804000000</v>
      </c>
      <c r="F13" s="672">
        <f>PED!F8+DISTRICT!F8</f>
        <v>855624000</v>
      </c>
      <c r="G13" s="672">
        <f>PED!G8+DISTRICT!G8</f>
        <v>908863296</v>
      </c>
      <c r="H13" s="672">
        <f>PED!H8+DISTRICT!H8</f>
        <v>804000000</v>
      </c>
      <c r="I13" s="672">
        <f>PED!I8+DISTRICT!I8</f>
        <v>804000000</v>
      </c>
    </row>
    <row r="14" spans="1:22" ht="9.75" customHeight="1" x14ac:dyDescent="0.2">
      <c r="A14" s="586"/>
      <c r="B14" s="675"/>
      <c r="C14" s="675"/>
      <c r="D14" s="859"/>
      <c r="E14" s="675"/>
      <c r="F14" s="675"/>
      <c r="G14" s="675"/>
      <c r="H14" s="675"/>
      <c r="I14" s="675"/>
    </row>
    <row r="15" spans="1:22" x14ac:dyDescent="0.2">
      <c r="A15" s="586"/>
      <c r="B15" s="676" t="s">
        <v>573</v>
      </c>
      <c r="C15" s="676"/>
      <c r="D15" s="677"/>
      <c r="E15" s="677"/>
      <c r="F15" s="677"/>
      <c r="G15" s="677"/>
      <c r="H15" s="677"/>
      <c r="I15" s="677"/>
      <c r="V15" s="525" t="s">
        <v>252</v>
      </c>
    </row>
    <row r="16" spans="1:22" x14ac:dyDescent="0.2">
      <c r="A16" s="586"/>
      <c r="B16" s="666" t="s">
        <v>481</v>
      </c>
      <c r="C16" s="666"/>
      <c r="D16" s="667">
        <f>DBE!D3</f>
        <v>24364260.719999999</v>
      </c>
      <c r="E16" s="667">
        <f>DBE!E3</f>
        <v>24364260.719999999</v>
      </c>
      <c r="F16" s="667">
        <f>DBE!F3</f>
        <v>25972301.927520003</v>
      </c>
      <c r="G16" s="667">
        <f>DBE!G3</f>
        <v>27634529.250881284</v>
      </c>
      <c r="H16" s="667">
        <f>DBE!H3</f>
        <v>24364260.719999999</v>
      </c>
      <c r="I16" s="667">
        <f>DBE!I3</f>
        <v>24364260.719999999</v>
      </c>
      <c r="V16" s="525" t="s">
        <v>253</v>
      </c>
    </row>
    <row r="17" spans="1:22" x14ac:dyDescent="0.2">
      <c r="A17" s="586"/>
      <c r="B17" s="666" t="s">
        <v>479</v>
      </c>
      <c r="C17" s="666"/>
      <c r="D17" s="667">
        <f>DBE!D4</f>
        <v>142491065.18000001</v>
      </c>
      <c r="E17" s="667">
        <f>DBE!E4</f>
        <v>142491065.18000001</v>
      </c>
      <c r="F17" s="667">
        <f>DBE!F4</f>
        <v>129979075.48188001</v>
      </c>
      <c r="G17" s="667">
        <f>DBE!G4</f>
        <v>133820176.31272033</v>
      </c>
      <c r="H17" s="667">
        <f>DBE!H4</f>
        <v>142491065.18000001</v>
      </c>
      <c r="I17" s="667">
        <f>DBE!I4</f>
        <v>142491065.18000001</v>
      </c>
      <c r="V17" s="525" t="s">
        <v>254</v>
      </c>
    </row>
    <row r="18" spans="1:22" x14ac:dyDescent="0.2">
      <c r="A18" s="586"/>
      <c r="B18" s="668" t="s">
        <v>386</v>
      </c>
      <c r="C18" s="669"/>
      <c r="D18" s="667">
        <f>DBE!D5</f>
        <v>1218213.0360000001</v>
      </c>
      <c r="E18" s="667">
        <f>DBE!E5</f>
        <v>1218213.0360000001</v>
      </c>
      <c r="F18" s="667">
        <f>DBE!F5</f>
        <v>1298615.0963760002</v>
      </c>
      <c r="G18" s="667">
        <f>DBE!G5</f>
        <v>1381726.4625440643</v>
      </c>
      <c r="H18" s="667">
        <f>DBE!H5</f>
        <v>1218213.0360000001</v>
      </c>
      <c r="I18" s="667">
        <f>DBE!I5</f>
        <v>1218213.0360000001</v>
      </c>
      <c r="V18" s="525" t="s">
        <v>261</v>
      </c>
    </row>
    <row r="19" spans="1:22" x14ac:dyDescent="0.2">
      <c r="A19" s="586"/>
      <c r="B19" s="670" t="s">
        <v>482</v>
      </c>
      <c r="C19" s="671"/>
      <c r="D19" s="672">
        <f>SUM(D16:D18)</f>
        <v>168073538.93600002</v>
      </c>
      <c r="E19" s="672">
        <f>SUM(E16:E18)</f>
        <v>168073538.93600002</v>
      </c>
      <c r="F19" s="672">
        <f t="shared" ref="F19:I19" si="8">SUM(F16:F18)</f>
        <v>157249992.50577602</v>
      </c>
      <c r="G19" s="672">
        <f t="shared" si="8"/>
        <v>162836432.02614567</v>
      </c>
      <c r="H19" s="672">
        <f t="shared" si="8"/>
        <v>168073538.93600002</v>
      </c>
      <c r="I19" s="672">
        <f t="shared" si="8"/>
        <v>168073538.93600002</v>
      </c>
      <c r="V19" s="525" t="s">
        <v>256</v>
      </c>
    </row>
    <row r="20" spans="1:22" x14ac:dyDescent="0.2">
      <c r="A20" s="586"/>
      <c r="B20" s="676" t="s">
        <v>574</v>
      </c>
      <c r="C20" s="678" t="str">
        <f>PED!C1</f>
        <v>Total Provinces</v>
      </c>
      <c r="D20" s="679"/>
      <c r="E20" s="679"/>
      <c r="F20" s="679"/>
      <c r="G20" s="679"/>
      <c r="H20" s="679"/>
      <c r="I20" s="679"/>
      <c r="K20" s="680" t="s">
        <v>700</v>
      </c>
      <c r="V20" s="525" t="s">
        <v>257</v>
      </c>
    </row>
    <row r="21" spans="1:22" x14ac:dyDescent="0.2">
      <c r="A21" s="586"/>
      <c r="B21" s="666" t="s">
        <v>481</v>
      </c>
      <c r="C21" s="666"/>
      <c r="D21" s="667">
        <f>PED!D3</f>
        <v>160331064.44083351</v>
      </c>
      <c r="E21" s="667">
        <f>PED!E3</f>
        <v>160331064.44083351</v>
      </c>
      <c r="F21" s="667">
        <f>PED!F3</f>
        <v>171462169.39275718</v>
      </c>
      <c r="G21" s="667">
        <f>PED!G3</f>
        <v>183539096.50939924</v>
      </c>
      <c r="H21" s="667">
        <f>PED!H3</f>
        <v>160331064.44083351</v>
      </c>
      <c r="I21" s="667">
        <f>PED!I3</f>
        <v>160331064.44083351</v>
      </c>
      <c r="V21" s="525" t="s">
        <v>258</v>
      </c>
    </row>
    <row r="22" spans="1:22" x14ac:dyDescent="0.2">
      <c r="A22" s="586"/>
      <c r="B22" s="666" t="s">
        <v>479</v>
      </c>
      <c r="C22" s="666"/>
      <c r="D22" s="667">
        <f>PED!D4</f>
        <v>1407090373.4743631</v>
      </c>
      <c r="E22" s="667">
        <f>PED!E4</f>
        <v>1407090373.4743631</v>
      </c>
      <c r="F22" s="667">
        <f>PED!F4</f>
        <v>1483662309.6539924</v>
      </c>
      <c r="G22" s="667">
        <f>PED!G4</f>
        <v>1563414909.5188811</v>
      </c>
      <c r="H22" s="667">
        <f>PED!H4</f>
        <v>1407090373.4743631</v>
      </c>
      <c r="I22" s="667">
        <f>PED!I4</f>
        <v>1407090373.4743631</v>
      </c>
      <c r="V22" s="525" t="s">
        <v>259</v>
      </c>
    </row>
    <row r="23" spans="1:22" x14ac:dyDescent="0.2">
      <c r="A23" s="586"/>
      <c r="B23" s="668" t="s">
        <v>386</v>
      </c>
      <c r="C23" s="669"/>
      <c r="D23" s="667">
        <f>PED!D5</f>
        <v>8016553.2220416749</v>
      </c>
      <c r="E23" s="667">
        <f>PED!E5</f>
        <v>8016553.2220416749</v>
      </c>
      <c r="F23" s="667">
        <f>PED!F5</f>
        <v>8573108.4696378596</v>
      </c>
      <c r="G23" s="667">
        <f>PED!G5</f>
        <v>9176954.8254699595</v>
      </c>
      <c r="H23" s="667">
        <f>PED!H5</f>
        <v>8016553.2220416749</v>
      </c>
      <c r="I23" s="667">
        <f>PED!I5</f>
        <v>8016553.2220416749</v>
      </c>
      <c r="V23" s="525" t="s">
        <v>260</v>
      </c>
    </row>
    <row r="24" spans="1:22" x14ac:dyDescent="0.2">
      <c r="A24" s="586"/>
      <c r="B24" s="670" t="s">
        <v>482</v>
      </c>
      <c r="C24" s="671"/>
      <c r="D24" s="672">
        <f>SUM(D21:D23)</f>
        <v>1575437991.1372383</v>
      </c>
      <c r="E24" s="672">
        <f>SUM(E21:E23)</f>
        <v>1575437991.1372383</v>
      </c>
      <c r="F24" s="672">
        <f t="shared" ref="F24:I24" si="9">SUM(F21:F23)</f>
        <v>1663697587.5163875</v>
      </c>
      <c r="G24" s="672">
        <f t="shared" si="9"/>
        <v>1756130960.8537502</v>
      </c>
      <c r="H24" s="672">
        <f t="shared" si="9"/>
        <v>1575437991.1372383</v>
      </c>
      <c r="I24" s="672">
        <f t="shared" si="9"/>
        <v>1575437991.1372383</v>
      </c>
      <c r="V24" s="525" t="s">
        <v>700</v>
      </c>
    </row>
    <row r="25" spans="1:22" x14ac:dyDescent="0.2">
      <c r="A25" s="586"/>
      <c r="B25" s="676" t="s">
        <v>674</v>
      </c>
      <c r="C25" s="676"/>
      <c r="D25" s="679"/>
      <c r="E25" s="679"/>
      <c r="F25" s="679"/>
      <c r="G25" s="679"/>
      <c r="H25" s="679"/>
      <c r="I25" s="679"/>
    </row>
    <row r="26" spans="1:22" x14ac:dyDescent="0.2">
      <c r="A26" s="586"/>
      <c r="B26" s="666" t="s">
        <v>481</v>
      </c>
      <c r="C26" s="666"/>
      <c r="D26" s="667">
        <f>DISTRICT!D3</f>
        <v>146688539.41479528</v>
      </c>
      <c r="E26" s="667">
        <f>DISTRICT!E3</f>
        <v>146688539.41479528</v>
      </c>
      <c r="F26" s="667">
        <f>DISTRICT!F3</f>
        <v>157397023.62011352</v>
      </c>
      <c r="G26" s="667">
        <f>DISTRICT!G3</f>
        <v>168574132.04642072</v>
      </c>
      <c r="H26" s="667">
        <f>DISTRICT!H3</f>
        <v>287763820.53892028</v>
      </c>
      <c r="I26" s="667">
        <f>DISTRICT!I3</f>
        <v>287763820.53892028</v>
      </c>
    </row>
    <row r="27" spans="1:22" x14ac:dyDescent="0.2">
      <c r="A27" s="586"/>
      <c r="B27" s="666" t="s">
        <v>479</v>
      </c>
      <c r="C27" s="666"/>
      <c r="D27" s="667">
        <f>DISTRICT!D4</f>
        <v>368302466.01147884</v>
      </c>
      <c r="E27" s="667">
        <f>DISTRICT!E4</f>
        <v>368302466.01147884</v>
      </c>
      <c r="F27" s="667">
        <f>DISTRICT!F4</f>
        <v>385298026.28239614</v>
      </c>
      <c r="G27" s="667">
        <f>DISTRICT!G4</f>
        <v>403039753.78212047</v>
      </c>
      <c r="H27" s="667">
        <f>DISTRICT!H4</f>
        <v>890080946.95917678</v>
      </c>
      <c r="I27" s="667">
        <f>DISTRICT!I4</f>
        <v>1104717561.9591768</v>
      </c>
    </row>
    <row r="28" spans="1:22" x14ac:dyDescent="0.2">
      <c r="A28" s="586"/>
      <c r="B28" s="668" t="s">
        <v>386</v>
      </c>
      <c r="C28" s="669"/>
      <c r="D28" s="667">
        <f>DISTRICT!D5</f>
        <v>7334426.9707397651</v>
      </c>
      <c r="E28" s="667">
        <f>DISTRICT!E5</f>
        <v>7334426.9707397651</v>
      </c>
      <c r="F28" s="667">
        <f>DISTRICT!F5</f>
        <v>7869851.1810056772</v>
      </c>
      <c r="G28" s="667">
        <f>DISTRICT!G5</f>
        <v>8428706.6023210362</v>
      </c>
      <c r="H28" s="667">
        <f>DISTRICT!H5</f>
        <v>14388191.026946016</v>
      </c>
      <c r="I28" s="667">
        <f>DISTRICT!I5</f>
        <v>14388191.026946016</v>
      </c>
    </row>
    <row r="29" spans="1:22" x14ac:dyDescent="0.2">
      <c r="A29" s="586"/>
      <c r="B29" s="670" t="s">
        <v>482</v>
      </c>
      <c r="C29" s="671"/>
      <c r="D29" s="672">
        <f>SUM(D26:D28)</f>
        <v>522325432.3970139</v>
      </c>
      <c r="E29" s="672">
        <f>SUM(E26:E28)</f>
        <v>522325432.3970139</v>
      </c>
      <c r="F29" s="672">
        <f t="shared" ref="F29:I29" si="10">SUM(F26:F28)</f>
        <v>550564901.08351541</v>
      </c>
      <c r="G29" s="672">
        <f t="shared" si="10"/>
        <v>580042592.43086219</v>
      </c>
      <c r="H29" s="672">
        <f t="shared" si="10"/>
        <v>1192232958.525043</v>
      </c>
      <c r="I29" s="672">
        <f t="shared" si="10"/>
        <v>1406869573.525043</v>
      </c>
    </row>
    <row r="30" spans="1:22" x14ac:dyDescent="0.2">
      <c r="A30" s="586"/>
      <c r="B30" s="676" t="s">
        <v>784</v>
      </c>
    </row>
    <row r="31" spans="1:22" x14ac:dyDescent="0.2">
      <c r="A31" s="586"/>
      <c r="B31" s="666" t="s">
        <v>789</v>
      </c>
      <c r="C31" s="675"/>
      <c r="D31" s="667">
        <f>PED!D8</f>
        <v>702000000</v>
      </c>
      <c r="E31" s="667">
        <f>PED!E8</f>
        <v>702000000</v>
      </c>
      <c r="F31" s="667">
        <f>PED!F8</f>
        <v>747612000</v>
      </c>
      <c r="G31" s="667">
        <f>PED!G8</f>
        <v>794698848</v>
      </c>
      <c r="H31" s="667">
        <f>PED!H8</f>
        <v>702000000</v>
      </c>
      <c r="I31" s="667">
        <f>PED!I8</f>
        <v>702000000</v>
      </c>
    </row>
    <row r="32" spans="1:22" x14ac:dyDescent="0.2">
      <c r="A32" s="586"/>
      <c r="B32" s="666" t="s">
        <v>785</v>
      </c>
      <c r="C32" s="681"/>
      <c r="D32" s="682">
        <f>DISTRICT!D8</f>
        <v>102000000</v>
      </c>
      <c r="E32" s="682">
        <f>DISTRICT!E8</f>
        <v>102000000</v>
      </c>
      <c r="F32" s="682">
        <f>DISTRICT!F8</f>
        <v>108012000</v>
      </c>
      <c r="G32" s="682">
        <f>DISTRICT!G8</f>
        <v>114164448</v>
      </c>
      <c r="H32" s="682">
        <f>DISTRICT!H8</f>
        <v>102000000</v>
      </c>
      <c r="I32" s="682">
        <f>DISTRICT!I8</f>
        <v>102000000</v>
      </c>
    </row>
    <row r="33" spans="1:20" x14ac:dyDescent="0.2">
      <c r="A33" s="586"/>
      <c r="B33" s="670" t="s">
        <v>482</v>
      </c>
      <c r="C33" s="671"/>
      <c r="D33" s="672">
        <f>SUM(D30:D32)</f>
        <v>804000000</v>
      </c>
      <c r="E33" s="672">
        <f>SUM(E30:E32)</f>
        <v>804000000</v>
      </c>
      <c r="F33" s="672">
        <f t="shared" ref="F33:I33" si="11">SUM(F30:F32)</f>
        <v>855624000</v>
      </c>
      <c r="G33" s="672">
        <f t="shared" si="11"/>
        <v>908863296</v>
      </c>
      <c r="H33" s="672">
        <f t="shared" si="11"/>
        <v>804000000</v>
      </c>
      <c r="I33" s="672">
        <f t="shared" si="11"/>
        <v>804000000</v>
      </c>
    </row>
    <row r="34" spans="1:20" ht="15" x14ac:dyDescent="0.25">
      <c r="A34" s="586"/>
      <c r="B34" s="676"/>
      <c r="C34" s="676"/>
      <c r="D34" s="676"/>
      <c r="E34" s="679"/>
      <c r="F34" s="679"/>
      <c r="G34" s="679"/>
      <c r="H34" s="679"/>
      <c r="I34" s="679"/>
      <c r="L34" s="683" t="s">
        <v>740</v>
      </c>
      <c r="M34" s="683"/>
      <c r="N34" s="683"/>
      <c r="O34" s="683"/>
      <c r="P34" s="683"/>
      <c r="Q34" s="683"/>
      <c r="R34" s="683"/>
      <c r="S34" s="683"/>
      <c r="T34" s="683"/>
    </row>
    <row r="35" spans="1:20" ht="20.25" x14ac:dyDescent="0.25">
      <c r="B35" s="684" t="s">
        <v>707</v>
      </c>
      <c r="C35" s="684"/>
      <c r="D35" s="684"/>
      <c r="E35" s="685"/>
      <c r="F35" s="836" t="s">
        <v>700</v>
      </c>
      <c r="G35" s="686"/>
      <c r="H35" s="687"/>
      <c r="I35" s="687"/>
      <c r="L35" s="688" t="s">
        <v>750</v>
      </c>
      <c r="M35" s="688" t="s">
        <v>751</v>
      </c>
      <c r="N35" s="688" t="s">
        <v>752</v>
      </c>
      <c r="O35" s="688" t="s">
        <v>753</v>
      </c>
      <c r="P35" s="688" t="s">
        <v>754</v>
      </c>
      <c r="Q35" s="688" t="s">
        <v>755</v>
      </c>
      <c r="R35" s="688" t="s">
        <v>765</v>
      </c>
      <c r="S35" s="688" t="s">
        <v>792</v>
      </c>
      <c r="T35" s="683"/>
    </row>
    <row r="36" spans="1:20" x14ac:dyDescent="0.2">
      <c r="L36" s="525">
        <v>30</v>
      </c>
      <c r="M36" s="689">
        <v>0.25</v>
      </c>
      <c r="N36" s="525">
        <v>20</v>
      </c>
      <c r="O36" s="689">
        <v>0.1</v>
      </c>
      <c r="P36" s="689">
        <v>0.1</v>
      </c>
      <c r="Q36" s="689">
        <v>0.1</v>
      </c>
      <c r="R36" s="690">
        <v>0</v>
      </c>
      <c r="S36" s="690">
        <v>0</v>
      </c>
    </row>
    <row r="37" spans="1:20" ht="23.25" x14ac:dyDescent="0.35">
      <c r="B37" s="691" t="s">
        <v>836</v>
      </c>
      <c r="C37" s="692"/>
      <c r="D37" s="692"/>
      <c r="E37" s="693" t="s">
        <v>706</v>
      </c>
      <c r="L37" s="525">
        <v>45</v>
      </c>
      <c r="M37" s="689">
        <v>0.33</v>
      </c>
      <c r="N37" s="525">
        <v>25</v>
      </c>
      <c r="O37" s="689">
        <v>0.2</v>
      </c>
      <c r="P37" s="689">
        <v>0.2</v>
      </c>
      <c r="Q37" s="689">
        <v>0.2</v>
      </c>
      <c r="R37" s="690">
        <v>12</v>
      </c>
      <c r="S37" s="690">
        <v>50</v>
      </c>
    </row>
    <row r="38" spans="1:20" ht="15.75" x14ac:dyDescent="0.25">
      <c r="E38" s="938" t="s">
        <v>704</v>
      </c>
      <c r="F38" s="938"/>
      <c r="G38" s="938"/>
      <c r="H38" s="648" t="s">
        <v>278</v>
      </c>
      <c r="I38" s="649" t="s">
        <v>810</v>
      </c>
      <c r="L38" s="525">
        <v>60</v>
      </c>
      <c r="M38" s="689">
        <v>0.5</v>
      </c>
      <c r="N38" s="525">
        <v>30</v>
      </c>
      <c r="O38" s="689">
        <v>0.4</v>
      </c>
      <c r="P38" s="689">
        <v>0.4</v>
      </c>
      <c r="Q38" s="689">
        <v>0.4</v>
      </c>
      <c r="R38" s="690">
        <v>24</v>
      </c>
      <c r="S38" s="690">
        <v>100</v>
      </c>
    </row>
    <row r="39" spans="1:20" ht="15.75" x14ac:dyDescent="0.25">
      <c r="E39" s="694" t="s">
        <v>371</v>
      </c>
      <c r="F39" s="694" t="s">
        <v>372</v>
      </c>
      <c r="G39" s="694" t="s">
        <v>373</v>
      </c>
      <c r="H39" s="648" t="s">
        <v>371</v>
      </c>
      <c r="I39" s="649" t="s">
        <v>371</v>
      </c>
      <c r="M39" s="689">
        <v>0.6</v>
      </c>
      <c r="N39" s="525">
        <v>35</v>
      </c>
      <c r="O39" s="689">
        <v>0.6</v>
      </c>
      <c r="P39" s="689">
        <v>0.6</v>
      </c>
      <c r="Q39" s="689">
        <v>0.6</v>
      </c>
      <c r="R39" s="690">
        <v>50</v>
      </c>
      <c r="S39" s="690">
        <v>150</v>
      </c>
    </row>
    <row r="40" spans="1:20" ht="17.25" customHeight="1" x14ac:dyDescent="0.2">
      <c r="A40" s="948" t="s">
        <v>750</v>
      </c>
      <c r="B40" s="949" t="s">
        <v>837</v>
      </c>
      <c r="C40" s="949"/>
      <c r="D40" s="950"/>
      <c r="E40" s="708">
        <v>30</v>
      </c>
      <c r="F40" s="708">
        <v>30</v>
      </c>
      <c r="G40" s="708">
        <v>30</v>
      </c>
      <c r="H40" s="708">
        <v>30</v>
      </c>
      <c r="I40" s="708">
        <v>30</v>
      </c>
      <c r="M40" s="689">
        <v>0.8</v>
      </c>
      <c r="N40" s="525">
        <v>40</v>
      </c>
      <c r="O40" s="689">
        <v>0.8</v>
      </c>
      <c r="P40" s="689">
        <v>0.8</v>
      </c>
      <c r="Q40" s="689">
        <v>0.8</v>
      </c>
      <c r="R40" s="690">
        <v>100</v>
      </c>
    </row>
    <row r="41" spans="1:20" ht="61.5" customHeight="1" x14ac:dyDescent="0.25">
      <c r="A41" s="683"/>
      <c r="B41" s="934" t="s">
        <v>761</v>
      </c>
      <c r="C41" s="934"/>
      <c r="D41" s="695"/>
      <c r="E41" s="935" t="s">
        <v>812</v>
      </c>
      <c r="F41" s="935"/>
      <c r="G41" s="935"/>
      <c r="H41" s="935"/>
      <c r="I41" s="935"/>
      <c r="M41" s="689">
        <v>1</v>
      </c>
      <c r="N41" s="525">
        <v>60</v>
      </c>
      <c r="O41" s="689">
        <v>0.9</v>
      </c>
      <c r="P41" s="689">
        <v>0.9</v>
      </c>
      <c r="Q41" s="689">
        <v>1</v>
      </c>
      <c r="R41" s="690">
        <v>300</v>
      </c>
    </row>
    <row r="42" spans="1:20" ht="15" x14ac:dyDescent="0.25">
      <c r="A42" s="683" t="s">
        <v>751</v>
      </c>
      <c r="B42" s="683" t="s">
        <v>793</v>
      </c>
      <c r="D42" s="696" t="s">
        <v>490</v>
      </c>
      <c r="E42" s="709">
        <v>0.33</v>
      </c>
      <c r="F42" s="709">
        <v>0.33</v>
      </c>
      <c r="G42" s="709">
        <v>0.33</v>
      </c>
      <c r="H42" s="709">
        <v>0.33</v>
      </c>
      <c r="I42" s="709">
        <v>0.33</v>
      </c>
    </row>
    <row r="43" spans="1:20" ht="15" customHeight="1" x14ac:dyDescent="0.25">
      <c r="A43" s="683"/>
      <c r="B43" s="884"/>
      <c r="C43" s="884"/>
      <c r="D43" s="696" t="s">
        <v>495</v>
      </c>
      <c r="E43" s="709">
        <v>0.33</v>
      </c>
      <c r="F43" s="709">
        <v>0.33</v>
      </c>
      <c r="G43" s="709">
        <v>0.33</v>
      </c>
      <c r="H43" s="709">
        <v>0.33</v>
      </c>
      <c r="I43" s="709">
        <v>0.33</v>
      </c>
    </row>
    <row r="44" spans="1:20" ht="14.85" customHeight="1" x14ac:dyDescent="0.25">
      <c r="A44" s="683"/>
      <c r="B44" s="884"/>
      <c r="C44" s="884"/>
      <c r="D44" s="696" t="s">
        <v>491</v>
      </c>
      <c r="E44" s="709">
        <v>0.33</v>
      </c>
      <c r="F44" s="709">
        <v>0.33</v>
      </c>
      <c r="G44" s="709">
        <v>0.33</v>
      </c>
      <c r="H44" s="709">
        <v>0.33</v>
      </c>
      <c r="I44" s="709">
        <v>0.33</v>
      </c>
    </row>
    <row r="45" spans="1:20" ht="14.85" customHeight="1" x14ac:dyDescent="0.25">
      <c r="A45" s="683"/>
      <c r="B45" s="884"/>
      <c r="C45" s="884"/>
      <c r="D45" s="697"/>
      <c r="E45" s="698" t="s">
        <v>811</v>
      </c>
      <c r="F45" s="586"/>
      <c r="G45" s="586"/>
      <c r="H45" s="842"/>
      <c r="I45" s="586"/>
    </row>
    <row r="46" spans="1:20" ht="32.25" customHeight="1" x14ac:dyDescent="0.25">
      <c r="A46" s="683"/>
      <c r="B46" s="884"/>
      <c r="C46" s="884"/>
      <c r="D46" s="697"/>
      <c r="E46" s="699" t="s">
        <v>794</v>
      </c>
      <c r="F46" s="586"/>
      <c r="G46" s="586"/>
      <c r="H46" s="586"/>
      <c r="I46" s="586"/>
    </row>
    <row r="47" spans="1:20" ht="15" x14ac:dyDescent="0.25">
      <c r="A47" s="683" t="s">
        <v>752</v>
      </c>
      <c r="B47" s="683" t="s">
        <v>708</v>
      </c>
      <c r="D47" s="700" t="s">
        <v>538</v>
      </c>
      <c r="E47" s="708">
        <v>30</v>
      </c>
      <c r="F47" s="708">
        <v>30</v>
      </c>
      <c r="G47" s="708">
        <v>30</v>
      </c>
      <c r="H47" s="708">
        <v>30</v>
      </c>
      <c r="I47" s="708">
        <v>30</v>
      </c>
    </row>
    <row r="48" spans="1:20" ht="15" customHeight="1" x14ac:dyDescent="0.25">
      <c r="A48" s="683"/>
      <c r="B48" s="884"/>
      <c r="C48" s="884"/>
      <c r="D48" s="700" t="s">
        <v>544</v>
      </c>
      <c r="E48" s="708">
        <v>30</v>
      </c>
      <c r="F48" s="708">
        <v>30</v>
      </c>
      <c r="G48" s="708">
        <v>30</v>
      </c>
      <c r="H48" s="708">
        <v>30</v>
      </c>
      <c r="I48" s="708">
        <v>30</v>
      </c>
    </row>
    <row r="49" spans="1:9" ht="14.85" customHeight="1" x14ac:dyDescent="0.25">
      <c r="A49" s="683"/>
      <c r="B49" s="884"/>
      <c r="C49" s="884"/>
      <c r="D49" s="700"/>
      <c r="E49" s="661" t="s">
        <v>813</v>
      </c>
    </row>
    <row r="50" spans="1:9" ht="21.75" customHeight="1" x14ac:dyDescent="0.25">
      <c r="A50" s="683"/>
      <c r="B50" s="884"/>
      <c r="C50" s="884"/>
      <c r="D50" s="697"/>
      <c r="E50" s="699" t="s">
        <v>786</v>
      </c>
      <c r="F50" s="586"/>
      <c r="G50" s="586"/>
      <c r="H50" s="586"/>
      <c r="I50" s="586"/>
    </row>
    <row r="51" spans="1:9" ht="15" x14ac:dyDescent="0.25">
      <c r="A51" s="683" t="s">
        <v>753</v>
      </c>
      <c r="B51" s="683" t="s">
        <v>760</v>
      </c>
      <c r="D51" s="700"/>
      <c r="E51" s="709">
        <v>0.4</v>
      </c>
      <c r="F51" s="709">
        <v>0.4</v>
      </c>
      <c r="G51" s="709">
        <v>0.4</v>
      </c>
      <c r="H51" s="709">
        <v>0.4</v>
      </c>
      <c r="I51" s="709">
        <v>0.4</v>
      </c>
    </row>
    <row r="52" spans="1:9" ht="15" customHeight="1" x14ac:dyDescent="0.25">
      <c r="A52" s="683"/>
      <c r="B52" s="937" t="s">
        <v>762</v>
      </c>
      <c r="C52" s="937"/>
      <c r="D52" s="697"/>
      <c r="E52" s="935" t="s">
        <v>805</v>
      </c>
      <c r="F52" s="935"/>
      <c r="G52" s="935"/>
      <c r="H52" s="935"/>
      <c r="I52" s="935"/>
    </row>
    <row r="53" spans="1:9" ht="15" x14ac:dyDescent="0.25">
      <c r="A53" s="683"/>
      <c r="B53" s="937"/>
      <c r="C53" s="937"/>
      <c r="D53" s="697"/>
      <c r="E53" s="699" t="s">
        <v>787</v>
      </c>
      <c r="F53" s="701"/>
      <c r="G53" s="701"/>
      <c r="H53" s="701"/>
      <c r="I53" s="701"/>
    </row>
    <row r="54" spans="1:9" ht="15" x14ac:dyDescent="0.25">
      <c r="A54" s="683"/>
      <c r="B54" s="937"/>
      <c r="C54" s="937"/>
      <c r="D54" s="697"/>
      <c r="E54" s="701"/>
      <c r="F54" s="701"/>
      <c r="G54" s="701"/>
      <c r="H54" s="701"/>
      <c r="I54" s="701"/>
    </row>
    <row r="55" spans="1:9" ht="15" x14ac:dyDescent="0.25">
      <c r="A55" s="683"/>
      <c r="B55" s="937"/>
      <c r="C55" s="937"/>
      <c r="D55" s="697"/>
      <c r="E55" s="701"/>
      <c r="F55" s="701"/>
      <c r="G55" s="701"/>
      <c r="H55" s="701"/>
      <c r="I55" s="701"/>
    </row>
    <row r="56" spans="1:9" ht="15" x14ac:dyDescent="0.25">
      <c r="A56" s="683" t="s">
        <v>754</v>
      </c>
      <c r="B56" s="683" t="s">
        <v>763</v>
      </c>
      <c r="D56" s="700" t="s">
        <v>730</v>
      </c>
      <c r="E56" s="709">
        <v>0.1</v>
      </c>
      <c r="F56" s="709">
        <v>0.1</v>
      </c>
      <c r="G56" s="709">
        <v>0.1</v>
      </c>
      <c r="H56" s="709">
        <v>0.1</v>
      </c>
      <c r="I56" s="709">
        <v>0.1</v>
      </c>
    </row>
    <row r="57" spans="1:9" ht="15" customHeight="1" x14ac:dyDescent="0.25">
      <c r="A57" s="683"/>
      <c r="B57" s="884"/>
      <c r="C57" s="884"/>
      <c r="D57" s="700" t="s">
        <v>731</v>
      </c>
      <c r="E57" s="709">
        <v>0.1</v>
      </c>
      <c r="F57" s="709">
        <v>0.1</v>
      </c>
      <c r="G57" s="709">
        <v>0.1</v>
      </c>
      <c r="H57" s="709">
        <v>0.1</v>
      </c>
      <c r="I57" s="709">
        <v>0.1</v>
      </c>
    </row>
    <row r="58" spans="1:9" ht="15" x14ac:dyDescent="0.25">
      <c r="A58" s="683"/>
      <c r="B58" s="884"/>
      <c r="C58" s="884"/>
      <c r="D58" s="697"/>
      <c r="E58" s="935" t="s">
        <v>838</v>
      </c>
      <c r="F58" s="935"/>
      <c r="G58" s="935"/>
      <c r="H58" s="935"/>
      <c r="I58" s="935"/>
    </row>
    <row r="59" spans="1:9" ht="4.5" x14ac:dyDescent="0.25">
      <c r="A59" s="683"/>
      <c r="B59" s="884"/>
      <c r="C59" s="884"/>
      <c r="D59" s="697"/>
      <c r="E59" s="699" t="s">
        <v>788</v>
      </c>
    </row>
    <row r="60" spans="1:9" ht="15" x14ac:dyDescent="0.25">
      <c r="A60" s="683" t="s">
        <v>755</v>
      </c>
      <c r="B60" s="683" t="s">
        <v>803</v>
      </c>
      <c r="C60" s="702"/>
      <c r="D60" s="700" t="s">
        <v>538</v>
      </c>
      <c r="E60" s="709">
        <v>0.2</v>
      </c>
      <c r="F60" s="709">
        <v>0.2</v>
      </c>
      <c r="G60" s="709">
        <v>0.2</v>
      </c>
      <c r="H60" s="709">
        <v>0.2</v>
      </c>
      <c r="I60" s="709">
        <v>0.2</v>
      </c>
    </row>
    <row r="61" spans="1:9" ht="14.85" customHeight="1" x14ac:dyDescent="0.25">
      <c r="A61" s="683"/>
      <c r="B61" s="884"/>
      <c r="C61" s="884"/>
      <c r="D61" s="700" t="s">
        <v>544</v>
      </c>
      <c r="E61" s="709">
        <v>0.2</v>
      </c>
      <c r="F61" s="709">
        <v>0.2</v>
      </c>
      <c r="G61" s="709">
        <v>0.2</v>
      </c>
      <c r="H61" s="709">
        <v>0.2</v>
      </c>
      <c r="I61" s="709">
        <v>0.2</v>
      </c>
    </row>
    <row r="62" spans="1:9" ht="14.85" customHeight="1" x14ac:dyDescent="0.25">
      <c r="A62" s="683"/>
      <c r="B62" s="884"/>
      <c r="C62" s="884"/>
      <c r="D62" s="700"/>
      <c r="E62" s="935" t="s">
        <v>806</v>
      </c>
      <c r="F62" s="935"/>
      <c r="G62" s="935"/>
      <c r="H62" s="935"/>
      <c r="I62" s="935"/>
    </row>
    <row r="63" spans="1:9" ht="15" x14ac:dyDescent="0.25">
      <c r="A63" s="683"/>
      <c r="B63" s="884"/>
      <c r="C63" s="884"/>
      <c r="D63" s="697"/>
    </row>
    <row r="64" spans="1:9" ht="15" x14ac:dyDescent="0.25">
      <c r="A64" s="683" t="s">
        <v>765</v>
      </c>
      <c r="B64" s="683" t="s">
        <v>756</v>
      </c>
      <c r="D64" s="700" t="s">
        <v>757</v>
      </c>
      <c r="E64" s="710">
        <v>12</v>
      </c>
      <c r="F64" s="710">
        <v>12</v>
      </c>
      <c r="G64" s="710">
        <v>12</v>
      </c>
      <c r="H64" s="710">
        <v>12</v>
      </c>
      <c r="I64" s="710">
        <v>12</v>
      </c>
    </row>
    <row r="65" spans="1:9" ht="14.85" customHeight="1" x14ac:dyDescent="0.25">
      <c r="A65" s="683"/>
      <c r="B65" s="884"/>
      <c r="C65" s="884"/>
      <c r="D65" s="700" t="s">
        <v>758</v>
      </c>
      <c r="E65" s="710">
        <v>12</v>
      </c>
      <c r="F65" s="710">
        <v>12</v>
      </c>
      <c r="G65" s="710">
        <v>12</v>
      </c>
      <c r="H65" s="710">
        <v>12</v>
      </c>
      <c r="I65" s="710">
        <v>12</v>
      </c>
    </row>
    <row r="66" spans="1:9" ht="15" x14ac:dyDescent="0.25">
      <c r="A66" s="683"/>
      <c r="B66" s="884"/>
      <c r="C66" s="884"/>
      <c r="D66" s="700"/>
      <c r="E66" s="935" t="s">
        <v>839</v>
      </c>
      <c r="F66" s="935"/>
      <c r="G66" s="935"/>
      <c r="H66" s="935"/>
      <c r="I66" s="935"/>
    </row>
    <row r="67" spans="1:9" ht="15" customHeight="1" x14ac:dyDescent="0.2">
      <c r="B67" s="884"/>
      <c r="C67" s="884"/>
      <c r="D67" s="703"/>
      <c r="E67" s="936" t="s">
        <v>840</v>
      </c>
      <c r="F67" s="936"/>
      <c r="G67" s="936"/>
      <c r="H67" s="936"/>
      <c r="I67" s="936"/>
    </row>
    <row r="68" spans="1:9" ht="14.25" customHeight="1" x14ac:dyDescent="0.2">
      <c r="B68" s="884"/>
      <c r="C68" s="884"/>
      <c r="D68" s="700"/>
      <c r="E68" s="936" t="s">
        <v>764</v>
      </c>
      <c r="F68" s="936"/>
      <c r="G68" s="936"/>
      <c r="H68" s="936"/>
      <c r="I68" s="936"/>
    </row>
    <row r="69" spans="1:9" x14ac:dyDescent="0.2">
      <c r="B69" s="704"/>
      <c r="C69" s="704"/>
      <c r="D69" s="703"/>
      <c r="E69" s="936"/>
      <c r="F69" s="936"/>
      <c r="G69" s="936"/>
      <c r="H69" s="936"/>
      <c r="I69" s="936"/>
    </row>
    <row r="70" spans="1:9" ht="15" x14ac:dyDescent="0.25">
      <c r="A70" s="683" t="s">
        <v>792</v>
      </c>
      <c r="B70" s="683" t="s">
        <v>766</v>
      </c>
      <c r="D70" s="700"/>
      <c r="E70" s="710">
        <v>150</v>
      </c>
      <c r="F70" s="710">
        <v>150</v>
      </c>
      <c r="G70" s="710">
        <v>150</v>
      </c>
      <c r="H70" s="710">
        <v>100</v>
      </c>
      <c r="I70" s="710">
        <v>150</v>
      </c>
    </row>
    <row r="71" spans="1:9" x14ac:dyDescent="0.2">
      <c r="B71" s="934" t="s">
        <v>796</v>
      </c>
      <c r="C71" s="934"/>
      <c r="D71" s="705"/>
      <c r="E71" s="935" t="s">
        <v>807</v>
      </c>
      <c r="F71" s="935"/>
      <c r="G71" s="935"/>
      <c r="H71" s="935"/>
      <c r="I71" s="935"/>
    </row>
    <row r="72" spans="1:9" x14ac:dyDescent="0.2">
      <c r="B72" s="934"/>
      <c r="C72" s="934"/>
      <c r="D72" s="700"/>
    </row>
    <row r="73" spans="1:9" x14ac:dyDescent="0.2">
      <c r="B73" s="934"/>
      <c r="C73" s="934"/>
      <c r="D73" s="700"/>
    </row>
    <row r="74" spans="1:9" x14ac:dyDescent="0.2">
      <c r="B74" s="934"/>
      <c r="C74" s="934"/>
      <c r="E74" s="706"/>
      <c r="F74" s="706"/>
      <c r="G74" s="706"/>
      <c r="H74" s="706"/>
      <c r="I74" s="706"/>
    </row>
    <row r="75" spans="1:9" x14ac:dyDescent="0.2">
      <c r="B75" s="650"/>
      <c r="C75" s="650"/>
      <c r="D75" s="650"/>
      <c r="E75" s="707"/>
      <c r="F75" s="707"/>
      <c r="G75" s="707"/>
      <c r="H75" s="707"/>
      <c r="I75" s="707"/>
    </row>
  </sheetData>
  <mergeCells count="14">
    <mergeCell ref="E1:G1"/>
    <mergeCell ref="E38:G38"/>
    <mergeCell ref="E41:I41"/>
    <mergeCell ref="B41:C41"/>
    <mergeCell ref="E58:I58"/>
    <mergeCell ref="B40:D40"/>
    <mergeCell ref="E62:I62"/>
    <mergeCell ref="B52:C55"/>
    <mergeCell ref="E52:I52"/>
    <mergeCell ref="B71:C74"/>
    <mergeCell ref="E71:I71"/>
    <mergeCell ref="E66:I66"/>
    <mergeCell ref="E67:I67"/>
    <mergeCell ref="E68:I69"/>
  </mergeCells>
  <dataValidations count="8">
    <dataValidation type="list" allowBlank="1" showInputMessage="1" showErrorMessage="1" sqref="F35">
      <formula1>$V$15:$V$24</formula1>
    </dataValidation>
    <dataValidation type="list" allowBlank="1" showInputMessage="1" showErrorMessage="1" sqref="E40:I40">
      <formula1>$L$36:$L$38</formula1>
    </dataValidation>
    <dataValidation type="list" allowBlank="1" showInputMessage="1" showErrorMessage="1" sqref="E47:I48">
      <formula1>$N$36:$N$41</formula1>
    </dataValidation>
    <dataValidation type="list" allowBlank="1" showInputMessage="1" showErrorMessage="1" sqref="E51:I51">
      <formula1>$O$36:$O$41</formula1>
    </dataValidation>
    <dataValidation type="list" allowBlank="1" showInputMessage="1" showErrorMessage="1" sqref="E56:I57 E60:I61">
      <formula1>$P$36:$P$41</formula1>
    </dataValidation>
    <dataValidation type="list" allowBlank="1" showInputMessage="1" showErrorMessage="1" sqref="E64:I65">
      <formula1>$R$36:$R$41</formula1>
    </dataValidation>
    <dataValidation type="list" allowBlank="1" showInputMessage="1" showErrorMessage="1" sqref="E70:I70">
      <formula1>$S$36:$S$39</formula1>
    </dataValidation>
    <dataValidation type="list" allowBlank="1" showInputMessage="1" showErrorMessage="1" sqref="E42:I44">
      <formula1>$M$36:$M$41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U131"/>
  <sheetViews>
    <sheetView showGridLines="0" zoomScale="90" zoomScaleNormal="90" workbookViewId="0">
      <pane ySplit="6" topLeftCell="A43" activePane="bottomLeft" state="frozen"/>
      <selection activeCell="I64" sqref="I64"/>
      <selection pane="bottomLeft" activeCell="I1" sqref="I1"/>
    </sheetView>
  </sheetViews>
  <sheetFormatPr defaultRowHeight="14.25" x14ac:dyDescent="0.2"/>
  <cols>
    <col min="1" max="1" width="2.140625" style="3" customWidth="1"/>
    <col min="2" max="2" width="41.28515625" style="3" customWidth="1"/>
    <col min="3" max="3" width="16.7109375" style="3" customWidth="1"/>
    <col min="4" max="4" width="21.28515625" style="28" bestFit="1" customWidth="1"/>
    <col min="5" max="9" width="18" style="28" customWidth="1"/>
    <col min="10" max="10" width="12.28515625" style="3" customWidth="1"/>
    <col min="11" max="11" width="19.42578125" style="3" customWidth="1"/>
    <col min="12" max="16384" width="9.140625" style="3"/>
  </cols>
  <sheetData>
    <row r="1" spans="1:21" ht="15.75" x14ac:dyDescent="0.25">
      <c r="A1" s="350"/>
      <c r="B1" s="351" t="s">
        <v>554</v>
      </c>
      <c r="C1" s="351" t="s">
        <v>547</v>
      </c>
      <c r="D1" s="712" t="s">
        <v>834</v>
      </c>
      <c r="E1" s="939" t="s">
        <v>704</v>
      </c>
      <c r="F1" s="939"/>
      <c r="G1" s="939"/>
      <c r="H1" s="436" t="s">
        <v>278</v>
      </c>
      <c r="I1" s="437" t="s">
        <v>835</v>
      </c>
    </row>
    <row r="2" spans="1:21" ht="15.75" x14ac:dyDescent="0.25">
      <c r="A2" s="352"/>
      <c r="B2" s="353" t="s">
        <v>548</v>
      </c>
      <c r="C2" s="354"/>
      <c r="D2" s="713" t="s">
        <v>371</v>
      </c>
      <c r="E2" s="438" t="s">
        <v>371</v>
      </c>
      <c r="F2" s="438" t="s">
        <v>372</v>
      </c>
      <c r="G2" s="438" t="s">
        <v>373</v>
      </c>
      <c r="H2" s="436" t="s">
        <v>371</v>
      </c>
      <c r="I2" s="437" t="s">
        <v>371</v>
      </c>
    </row>
    <row r="3" spans="1:21" x14ac:dyDescent="0.2">
      <c r="A3" s="28"/>
      <c r="B3" s="489" t="s">
        <v>481</v>
      </c>
      <c r="C3" s="489"/>
      <c r="D3" s="714">
        <f>D9+D15+D19+D24+D29</f>
        <v>24364260.719999999</v>
      </c>
      <c r="E3" s="406">
        <f>E9+E15+E19+E24+E29</f>
        <v>24364260.719999999</v>
      </c>
      <c r="F3" s="406">
        <f t="shared" ref="F3:I3" si="0">F9+F15+F19+F24+F29</f>
        <v>25972301.927520003</v>
      </c>
      <c r="G3" s="406">
        <f t="shared" si="0"/>
        <v>27634529.250881284</v>
      </c>
      <c r="H3" s="406">
        <f t="shared" si="0"/>
        <v>24364260.719999999</v>
      </c>
      <c r="I3" s="406">
        <f t="shared" si="0"/>
        <v>24364260.719999999</v>
      </c>
    </row>
    <row r="4" spans="1:21" x14ac:dyDescent="0.2">
      <c r="A4" s="28"/>
      <c r="B4" s="470" t="s">
        <v>479</v>
      </c>
      <c r="C4" s="470"/>
      <c r="D4" s="667">
        <f>D10+D16+D20+D21+D25+D26+D30+D31</f>
        <v>142491065.18000001</v>
      </c>
      <c r="E4" s="193">
        <f>E10+E16+E20+E21+E25+E26+E30+E31</f>
        <v>142491065.18000001</v>
      </c>
      <c r="F4" s="193">
        <f t="shared" ref="F4:I4" si="1">F10+F16+F20+F21+F25+F26+F30+F31</f>
        <v>129979075.48188001</v>
      </c>
      <c r="G4" s="193">
        <f t="shared" si="1"/>
        <v>133820176.31272033</v>
      </c>
      <c r="H4" s="193">
        <f t="shared" si="1"/>
        <v>142491065.18000001</v>
      </c>
      <c r="I4" s="193">
        <f t="shared" si="1"/>
        <v>142491065.18000001</v>
      </c>
    </row>
    <row r="5" spans="1:21" x14ac:dyDescent="0.2">
      <c r="A5" s="28"/>
      <c r="B5" s="484" t="s">
        <v>386</v>
      </c>
      <c r="C5" s="65"/>
      <c r="D5" s="682">
        <f>D11+D17+D22+D27+D32</f>
        <v>1218213.0360000001</v>
      </c>
      <c r="E5" s="407">
        <f>E11+E17+E22+E27+E32</f>
        <v>1218213.0360000001</v>
      </c>
      <c r="F5" s="407">
        <f t="shared" ref="F5:I5" si="2">F11+F17+F22+F27+F32</f>
        <v>1298615.0963760002</v>
      </c>
      <c r="G5" s="407">
        <f t="shared" si="2"/>
        <v>1381726.4625440643</v>
      </c>
      <c r="H5" s="407">
        <f t="shared" si="2"/>
        <v>1218213.0360000001</v>
      </c>
      <c r="I5" s="407">
        <f t="shared" si="2"/>
        <v>1218213.0360000001</v>
      </c>
    </row>
    <row r="6" spans="1:21" x14ac:dyDescent="0.2">
      <c r="A6" s="28"/>
      <c r="B6" s="485" t="s">
        <v>482</v>
      </c>
      <c r="C6" s="486"/>
      <c r="D6" s="672">
        <f t="shared" ref="D6:I6" si="3">SUM(D3:D5)</f>
        <v>168073538.93600002</v>
      </c>
      <c r="E6" s="408">
        <f t="shared" si="3"/>
        <v>168073538.93600002</v>
      </c>
      <c r="F6" s="408">
        <f t="shared" si="3"/>
        <v>157249992.50577602</v>
      </c>
      <c r="G6" s="408">
        <f t="shared" si="3"/>
        <v>162836432.02614567</v>
      </c>
      <c r="H6" s="408">
        <f t="shared" si="3"/>
        <v>168073538.93600002</v>
      </c>
      <c r="I6" s="408">
        <f t="shared" si="3"/>
        <v>168073538.93600002</v>
      </c>
    </row>
    <row r="7" spans="1:21" ht="9.75" customHeight="1" x14ac:dyDescent="0.2">
      <c r="A7" s="28"/>
      <c r="B7" s="409"/>
      <c r="C7" s="409"/>
      <c r="D7" s="675"/>
      <c r="E7" s="409"/>
      <c r="F7" s="409"/>
      <c r="G7" s="409"/>
      <c r="H7" s="409"/>
      <c r="I7" s="409"/>
    </row>
    <row r="8" spans="1:21" x14ac:dyDescent="0.2">
      <c r="A8" s="28"/>
      <c r="B8" s="488" t="s">
        <v>649</v>
      </c>
      <c r="C8" s="488"/>
      <c r="D8" s="677"/>
      <c r="E8" s="410"/>
      <c r="F8" s="410"/>
      <c r="G8" s="410"/>
      <c r="H8" s="410"/>
      <c r="I8" s="410"/>
      <c r="U8" s="3" t="s">
        <v>252</v>
      </c>
    </row>
    <row r="9" spans="1:21" x14ac:dyDescent="0.2">
      <c r="A9" s="28"/>
      <c r="B9" s="470" t="s">
        <v>481</v>
      </c>
      <c r="C9" s="470"/>
      <c r="D9" s="667">
        <f>D38*GenAssumptions!D14</f>
        <v>398205.72000000003</v>
      </c>
      <c r="E9" s="193">
        <f>E38*GenAssumptions!E14</f>
        <v>398205.72000000003</v>
      </c>
      <c r="F9" s="193">
        <f>F38*GenAssumptions!F14</f>
        <v>424487.29752000002</v>
      </c>
      <c r="G9" s="193">
        <f>G38*GenAssumptions!G14</f>
        <v>451654.48456128011</v>
      </c>
      <c r="H9" s="193">
        <f>H38*GenAssumptions!H14</f>
        <v>398205.72000000003</v>
      </c>
      <c r="I9" s="193">
        <f>I38*GenAssumptions!I14</f>
        <v>398205.72000000003</v>
      </c>
      <c r="U9" s="3" t="s">
        <v>253</v>
      </c>
    </row>
    <row r="10" spans="1:21" x14ac:dyDescent="0.2">
      <c r="A10" s="28"/>
      <c r="B10" s="470" t="s">
        <v>479</v>
      </c>
      <c r="C10" s="470"/>
      <c r="D10" s="715">
        <f>D9*GenAssumptions!D10</f>
        <v>99551.430000000008</v>
      </c>
      <c r="E10" s="411">
        <f>E9*GenAssumptions!E10</f>
        <v>99551.430000000008</v>
      </c>
      <c r="F10" s="411">
        <f>F9*GenAssumptions!F10</f>
        <v>106121.82438000001</v>
      </c>
      <c r="G10" s="411">
        <f>G9*GenAssumptions!G10</f>
        <v>112913.62114032003</v>
      </c>
      <c r="H10" s="411">
        <f>H9*GenAssumptions!H10</f>
        <v>99551.430000000008</v>
      </c>
      <c r="I10" s="411">
        <f>I9*GenAssumptions!I10</f>
        <v>99551.430000000008</v>
      </c>
      <c r="U10" s="3" t="s">
        <v>254</v>
      </c>
    </row>
    <row r="11" spans="1:21" x14ac:dyDescent="0.2">
      <c r="A11" s="28"/>
      <c r="B11" s="484" t="s">
        <v>386</v>
      </c>
      <c r="C11" s="65"/>
      <c r="D11" s="682">
        <f>D9*GenAssumptions!D11</f>
        <v>19910.286000000004</v>
      </c>
      <c r="E11" s="407">
        <f>E9*GenAssumptions!E11</f>
        <v>19910.286000000004</v>
      </c>
      <c r="F11" s="407">
        <f>F9*GenAssumptions!F11</f>
        <v>21224.364876000003</v>
      </c>
      <c r="G11" s="407">
        <f>G9*GenAssumptions!G11</f>
        <v>22582.724228064006</v>
      </c>
      <c r="H11" s="407">
        <f>H9*GenAssumptions!H11</f>
        <v>19910.286000000004</v>
      </c>
      <c r="I11" s="407">
        <f>I9*GenAssumptions!I11</f>
        <v>19910.286000000004</v>
      </c>
      <c r="U11" s="3" t="s">
        <v>261</v>
      </c>
    </row>
    <row r="12" spans="1:21" x14ac:dyDescent="0.2">
      <c r="A12" s="28"/>
      <c r="B12" s="485" t="s">
        <v>482</v>
      </c>
      <c r="C12" s="486"/>
      <c r="D12" s="672">
        <f t="shared" ref="D12:I12" si="4">SUM(D9:D11)</f>
        <v>517667.43600000005</v>
      </c>
      <c r="E12" s="408">
        <f t="shared" si="4"/>
        <v>517667.43600000005</v>
      </c>
      <c r="F12" s="408">
        <f t="shared" si="4"/>
        <v>551833.48677600001</v>
      </c>
      <c r="G12" s="408">
        <f t="shared" si="4"/>
        <v>587150.82992966427</v>
      </c>
      <c r="H12" s="408">
        <f t="shared" si="4"/>
        <v>517667.43600000005</v>
      </c>
      <c r="I12" s="408">
        <f t="shared" si="4"/>
        <v>517667.43600000005</v>
      </c>
      <c r="U12" s="3" t="s">
        <v>256</v>
      </c>
    </row>
    <row r="13" spans="1:21" x14ac:dyDescent="0.2">
      <c r="A13" s="28"/>
      <c r="B13" s="488" t="s">
        <v>546</v>
      </c>
      <c r="C13" s="488"/>
      <c r="D13" s="679"/>
      <c r="E13" s="34"/>
      <c r="F13" s="34"/>
      <c r="G13" s="34"/>
      <c r="H13" s="34"/>
      <c r="I13" s="34"/>
      <c r="U13" s="3" t="s">
        <v>257</v>
      </c>
    </row>
    <row r="14" spans="1:21" x14ac:dyDescent="0.2">
      <c r="A14" s="28"/>
      <c r="B14" s="490" t="s">
        <v>622</v>
      </c>
      <c r="C14" s="38"/>
      <c r="D14" s="716">
        <f t="shared" ref="D14:I14" si="5">SUM(D15:D17)</f>
        <v>12209094.300000001</v>
      </c>
      <c r="E14" s="412">
        <f t="shared" si="5"/>
        <v>12209094.300000001</v>
      </c>
      <c r="F14" s="412">
        <f t="shared" si="5"/>
        <v>13014894.523800002</v>
      </c>
      <c r="G14" s="412">
        <f t="shared" si="5"/>
        <v>13847847.773323204</v>
      </c>
      <c r="H14" s="412">
        <f t="shared" si="5"/>
        <v>12209094.300000001</v>
      </c>
      <c r="I14" s="412">
        <f t="shared" si="5"/>
        <v>12209094.300000001</v>
      </c>
    </row>
    <row r="15" spans="1:21" x14ac:dyDescent="0.2">
      <c r="A15" s="28"/>
      <c r="B15" s="470" t="s">
        <v>481</v>
      </c>
      <c r="C15" s="470"/>
      <c r="D15" s="717">
        <f>D42*GenAssumptions!D15+D43*GenAssumptions!D16+D44*GenAssumptions!D17+D45*GenAssumptions!D18+D46*GenAssumptions!D19</f>
        <v>9391611</v>
      </c>
      <c r="E15" s="413">
        <f>E42*GenAssumptions!E15+E43*GenAssumptions!E16+E44*GenAssumptions!E17+E45*GenAssumptions!E18+E46*GenAssumptions!E19</f>
        <v>9391611</v>
      </c>
      <c r="F15" s="413">
        <f>F42*GenAssumptions!F15+F43*GenAssumptions!F16+F44*GenAssumptions!F17+F45*GenAssumptions!F18+F46*GenAssumptions!F19</f>
        <v>10011457.326000001</v>
      </c>
      <c r="G15" s="413">
        <f>G42*GenAssumptions!G15+G43*GenAssumptions!G16+G44*GenAssumptions!G17+G45*GenAssumptions!G18+G46*GenAssumptions!G19</f>
        <v>10652190.594864003</v>
      </c>
      <c r="H15" s="413">
        <f>H42*GenAssumptions!H15+H43*GenAssumptions!H16+H44*GenAssumptions!H17+H45*GenAssumptions!H18+H46*GenAssumptions!H19</f>
        <v>9391611</v>
      </c>
      <c r="I15" s="414">
        <f>I42*GenAssumptions!I15+I43*GenAssumptions!I16+I44*GenAssumptions!I17+I45*GenAssumptions!I18+I46*GenAssumptions!I19</f>
        <v>9391611</v>
      </c>
      <c r="U15" s="3" t="s">
        <v>258</v>
      </c>
    </row>
    <row r="16" spans="1:21" x14ac:dyDescent="0.2">
      <c r="A16" s="28"/>
      <c r="B16" s="470" t="s">
        <v>479</v>
      </c>
      <c r="C16" s="470"/>
      <c r="D16" s="718">
        <f>D15*GenAssumptions!D10</f>
        <v>2347902.75</v>
      </c>
      <c r="E16" s="415">
        <f>E15*GenAssumptions!E10</f>
        <v>2347902.75</v>
      </c>
      <c r="F16" s="415">
        <f>F15*GenAssumptions!F10</f>
        <v>2502864.3315000003</v>
      </c>
      <c r="G16" s="415">
        <f>G15*GenAssumptions!G10</f>
        <v>2663047.6487160008</v>
      </c>
      <c r="H16" s="415">
        <f>H15*GenAssumptions!H10</f>
        <v>2347902.75</v>
      </c>
      <c r="I16" s="416">
        <f>I15*GenAssumptions!I10</f>
        <v>2347902.75</v>
      </c>
      <c r="U16" s="3" t="s">
        <v>259</v>
      </c>
    </row>
    <row r="17" spans="1:21" x14ac:dyDescent="0.2">
      <c r="A17" s="28"/>
      <c r="B17" s="470" t="s">
        <v>386</v>
      </c>
      <c r="C17" s="51"/>
      <c r="D17" s="719">
        <f>D15*GenAssumptions!D11</f>
        <v>469580.55000000005</v>
      </c>
      <c r="E17" s="417">
        <f>E15*GenAssumptions!E11</f>
        <v>469580.55000000005</v>
      </c>
      <c r="F17" s="417">
        <f>F15*GenAssumptions!F11</f>
        <v>500572.86630000011</v>
      </c>
      <c r="G17" s="417">
        <f>G15*GenAssumptions!G11</f>
        <v>532609.52974320017</v>
      </c>
      <c r="H17" s="417">
        <f>H15*GenAssumptions!H11</f>
        <v>469580.55000000005</v>
      </c>
      <c r="I17" s="418">
        <f>I15*GenAssumptions!I11</f>
        <v>469580.55000000005</v>
      </c>
      <c r="U17" s="3" t="s">
        <v>260</v>
      </c>
    </row>
    <row r="18" spans="1:21" x14ac:dyDescent="0.2">
      <c r="A18" s="28"/>
      <c r="B18" s="490" t="s">
        <v>621</v>
      </c>
      <c r="C18" s="409"/>
      <c r="D18" s="716">
        <f t="shared" ref="D18:I18" si="6">SUM(D19:D22)</f>
        <v>111837225.90000001</v>
      </c>
      <c r="E18" s="412">
        <f t="shared" si="6"/>
        <v>111837225.90000001</v>
      </c>
      <c r="F18" s="412">
        <f t="shared" si="6"/>
        <v>114128682.80939999</v>
      </c>
      <c r="G18" s="412">
        <f t="shared" si="6"/>
        <v>117767038.5092016</v>
      </c>
      <c r="H18" s="412">
        <f t="shared" si="6"/>
        <v>111837225.90000001</v>
      </c>
      <c r="I18" s="412">
        <f t="shared" si="6"/>
        <v>111837225.90000001</v>
      </c>
    </row>
    <row r="19" spans="1:21" x14ac:dyDescent="0.2">
      <c r="A19" s="28"/>
      <c r="B19" s="470" t="s">
        <v>481</v>
      </c>
      <c r="C19" s="51"/>
      <c r="D19" s="717">
        <f>D49*GenAssumptions!D16+D50*GenAssumptions!D17+(D51+D52)*GenAssumptions!D18</f>
        <v>2720943</v>
      </c>
      <c r="E19" s="413">
        <f>E49*GenAssumptions!E16+E50*GenAssumptions!E17+(E51+E52)*GenAssumptions!E18</f>
        <v>2720943</v>
      </c>
      <c r="F19" s="413">
        <f>F49*GenAssumptions!F16+F50*GenAssumptions!F17+(F51+F52)*GenAssumptions!F18</f>
        <v>2900525.2379999999</v>
      </c>
      <c r="G19" s="413">
        <f>G49*GenAssumptions!G16+G50*GenAssumptions!G17+(G51+G52)*GenAssumptions!G18</f>
        <v>3086158.853232</v>
      </c>
      <c r="H19" s="413">
        <f>H49*GenAssumptions!H16+H50*GenAssumptions!H17+(H51+H52)*GenAssumptions!H18</f>
        <v>2720943</v>
      </c>
      <c r="I19" s="414">
        <f>I49*GenAssumptions!I16+I50*GenAssumptions!I17+(I51+I52)*GenAssumptions!I18</f>
        <v>2720943</v>
      </c>
    </row>
    <row r="20" spans="1:21" x14ac:dyDescent="0.2">
      <c r="A20" s="28"/>
      <c r="B20" s="470" t="s">
        <v>623</v>
      </c>
      <c r="C20" s="51"/>
      <c r="D20" s="718">
        <f>D19*GenAssumptions!D10+D54+D55</f>
        <v>1930235.75</v>
      </c>
      <c r="E20" s="415">
        <f>E19*GenAssumptions!E10+E54+E55</f>
        <v>1930235.75</v>
      </c>
      <c r="F20" s="415">
        <f>F19*GenAssumptions!F10+F54+F55</f>
        <v>725131.30949999997</v>
      </c>
      <c r="G20" s="415">
        <f>G19*GenAssumptions!G10+G54+G55</f>
        <v>771539.71330800001</v>
      </c>
      <c r="H20" s="415">
        <f>H19*GenAssumptions!H10+H54+H55</f>
        <v>1930235.75</v>
      </c>
      <c r="I20" s="416">
        <f>I19*GenAssumptions!I10+I54+I55</f>
        <v>1930235.75</v>
      </c>
    </row>
    <row r="21" spans="1:21" x14ac:dyDescent="0.2">
      <c r="A21" s="28"/>
      <c r="B21" s="470" t="s">
        <v>624</v>
      </c>
      <c r="C21" s="51"/>
      <c r="D21" s="720">
        <f t="shared" ref="D21:I21" si="7">D57+D62+D69</f>
        <v>107050000</v>
      </c>
      <c r="E21" s="419">
        <f t="shared" si="7"/>
        <v>107050000</v>
      </c>
      <c r="F21" s="419">
        <f t="shared" si="7"/>
        <v>110358000</v>
      </c>
      <c r="G21" s="419">
        <f t="shared" si="7"/>
        <v>113755032</v>
      </c>
      <c r="H21" s="419">
        <f t="shared" si="7"/>
        <v>107050000</v>
      </c>
      <c r="I21" s="420">
        <f t="shared" si="7"/>
        <v>107050000</v>
      </c>
    </row>
    <row r="22" spans="1:21" x14ac:dyDescent="0.2">
      <c r="A22" s="28"/>
      <c r="B22" s="470" t="s">
        <v>386</v>
      </c>
      <c r="C22" s="51"/>
      <c r="D22" s="721">
        <f>D19*GenAssumptions!D11</f>
        <v>136047.15</v>
      </c>
      <c r="E22" s="421">
        <f>E19*GenAssumptions!E11</f>
        <v>136047.15</v>
      </c>
      <c r="F22" s="421">
        <f>F19*GenAssumptions!F11</f>
        <v>145026.26190000001</v>
      </c>
      <c r="G22" s="421">
        <f>G19*GenAssumptions!G11</f>
        <v>154307.94266160001</v>
      </c>
      <c r="H22" s="421">
        <f>H19*GenAssumptions!H11</f>
        <v>136047.15</v>
      </c>
      <c r="I22" s="422">
        <f>I19*GenAssumptions!I11</f>
        <v>136047.15</v>
      </c>
    </row>
    <row r="23" spans="1:21" x14ac:dyDescent="0.2">
      <c r="A23" s="28"/>
      <c r="B23" s="490" t="s">
        <v>625</v>
      </c>
      <c r="C23" s="409"/>
      <c r="D23" s="722">
        <f>SUM(D24:D27)</f>
        <v>23062946.300000001</v>
      </c>
      <c r="E23" s="423">
        <f>SUM(E24:E27)</f>
        <v>23062946.300000001</v>
      </c>
      <c r="F23" s="423">
        <f t="shared" ref="F23:I23" si="8">SUM(F24:F27)</f>
        <v>8590100.7557999995</v>
      </c>
      <c r="G23" s="423">
        <f t="shared" si="8"/>
        <v>9134587.2041712012</v>
      </c>
      <c r="H23" s="423">
        <f t="shared" si="8"/>
        <v>23062946.300000001</v>
      </c>
      <c r="I23" s="423">
        <f t="shared" si="8"/>
        <v>23062946.300000001</v>
      </c>
    </row>
    <row r="24" spans="1:21" x14ac:dyDescent="0.2">
      <c r="A24" s="28"/>
      <c r="B24" s="470" t="s">
        <v>481</v>
      </c>
      <c r="C24" s="51"/>
      <c r="D24" s="717">
        <f>D72*GenAssumptions!D16+D73*GenAssumptions!D17+D74*GenAssumptions!D18+D75*GenAssumptions!D19</f>
        <v>5817651</v>
      </c>
      <c r="E24" s="413">
        <f>E72*GenAssumptions!E16+E73*GenAssumptions!E17+E74*GenAssumptions!E18+E75*GenAssumptions!E19</f>
        <v>5817651</v>
      </c>
      <c r="F24" s="413">
        <f>F72*GenAssumptions!F16+F73*GenAssumptions!F17+F74*GenAssumptions!F18+F75*GenAssumptions!F19</f>
        <v>6201615.966</v>
      </c>
      <c r="G24" s="413">
        <f>G72*GenAssumptions!G16+G73*GenAssumptions!G17+G74*GenAssumptions!G18+G75*GenAssumptions!G19</f>
        <v>6598519.3878240008</v>
      </c>
      <c r="H24" s="413">
        <f>H72*GenAssumptions!H16+H73*GenAssumptions!H17+H74*GenAssumptions!H18+H75*GenAssumptions!H19</f>
        <v>5817651</v>
      </c>
      <c r="I24" s="414">
        <f>I72*GenAssumptions!I16+I73*GenAssumptions!I17+I74*GenAssumptions!I18+I75*GenAssumptions!I19</f>
        <v>5817651</v>
      </c>
    </row>
    <row r="25" spans="1:21" x14ac:dyDescent="0.2">
      <c r="A25" s="28"/>
      <c r="B25" s="470" t="s">
        <v>642</v>
      </c>
      <c r="C25" s="51"/>
      <c r="D25" s="718">
        <f>D24*GenAssumptions!D10</f>
        <v>1454412.75</v>
      </c>
      <c r="E25" s="415">
        <f>E24*GenAssumptions!E10</f>
        <v>1454412.75</v>
      </c>
      <c r="F25" s="415">
        <f>F24*GenAssumptions!F10</f>
        <v>1550403.9915</v>
      </c>
      <c r="G25" s="415">
        <f>G24*GenAssumptions!G10</f>
        <v>1649629.8469560002</v>
      </c>
      <c r="H25" s="415">
        <f>H24*GenAssumptions!H10</f>
        <v>1454412.75</v>
      </c>
      <c r="I25" s="416">
        <f>I24*GenAssumptions!I10</f>
        <v>1454412.75</v>
      </c>
    </row>
    <row r="26" spans="1:21" x14ac:dyDescent="0.2">
      <c r="A26" s="28"/>
      <c r="B26" s="470" t="s">
        <v>638</v>
      </c>
      <c r="C26" s="51"/>
      <c r="D26" s="718">
        <f>D76</f>
        <v>15500000</v>
      </c>
      <c r="E26" s="415">
        <f>E76</f>
        <v>15500000</v>
      </c>
      <c r="F26" s="415">
        <f t="shared" ref="F26:I26" si="9">F76</f>
        <v>528000</v>
      </c>
      <c r="G26" s="415">
        <f t="shared" si="9"/>
        <v>556512</v>
      </c>
      <c r="H26" s="415">
        <f t="shared" si="9"/>
        <v>15500000</v>
      </c>
      <c r="I26" s="416">
        <f t="shared" si="9"/>
        <v>15500000</v>
      </c>
    </row>
    <row r="27" spans="1:21" x14ac:dyDescent="0.2">
      <c r="A27" s="28"/>
      <c r="B27" s="470" t="s">
        <v>386</v>
      </c>
      <c r="C27" s="51"/>
      <c r="D27" s="721">
        <f>D24*GenAssumptions!D11</f>
        <v>290882.55</v>
      </c>
      <c r="E27" s="421">
        <f>E24*GenAssumptions!E11</f>
        <v>290882.55</v>
      </c>
      <c r="F27" s="421">
        <f>F24*GenAssumptions!F11</f>
        <v>310080.79830000002</v>
      </c>
      <c r="G27" s="421">
        <f>G24*GenAssumptions!G11</f>
        <v>329925.96939120005</v>
      </c>
      <c r="H27" s="421">
        <f>H24*GenAssumptions!H11</f>
        <v>290882.55</v>
      </c>
      <c r="I27" s="422">
        <f>I24*GenAssumptions!I11</f>
        <v>290882.55</v>
      </c>
    </row>
    <row r="28" spans="1:21" x14ac:dyDescent="0.2">
      <c r="A28" s="28"/>
      <c r="B28" s="490" t="s">
        <v>643</v>
      </c>
      <c r="C28" s="409"/>
      <c r="D28" s="723">
        <f>SUM(D29:D32)</f>
        <v>20446605</v>
      </c>
      <c r="E28" s="424">
        <f>SUM(E29:E32)</f>
        <v>20446605</v>
      </c>
      <c r="F28" s="424">
        <f t="shared" ref="F28:I28" si="10">SUM(F29:F32)</f>
        <v>20964480.93</v>
      </c>
      <c r="G28" s="424">
        <f t="shared" si="10"/>
        <v>21499807.709520001</v>
      </c>
      <c r="H28" s="424">
        <f t="shared" si="10"/>
        <v>20446605</v>
      </c>
      <c r="I28" s="424">
        <f t="shared" si="10"/>
        <v>20446605</v>
      </c>
    </row>
    <row r="29" spans="1:21" x14ac:dyDescent="0.2">
      <c r="A29" s="28"/>
      <c r="B29" s="470" t="s">
        <v>481</v>
      </c>
      <c r="C29" s="51"/>
      <c r="D29" s="717">
        <f>D81*GenAssumptions!D17+D82*GenAssumptions!D17+D83*GenAssumptions!D18+D84*GenAssumptions!D19</f>
        <v>6035850</v>
      </c>
      <c r="E29" s="413">
        <f>E81*GenAssumptions!E17+E82*GenAssumptions!E17+E83*GenAssumptions!E18+E84*GenAssumptions!E19</f>
        <v>6035850</v>
      </c>
      <c r="F29" s="413">
        <f>F81*GenAssumptions!F17+F82*GenAssumptions!F17+F83*GenAssumptions!F18+F84*GenAssumptions!F19</f>
        <v>6434216.1000000006</v>
      </c>
      <c r="G29" s="413">
        <f>G81*GenAssumptions!G17+G82*GenAssumptions!G17+G83*GenAssumptions!G18+G84*GenAssumptions!G19</f>
        <v>6846005.9304000009</v>
      </c>
      <c r="H29" s="413">
        <f>H81*GenAssumptions!H17+H82*GenAssumptions!H17+H83*GenAssumptions!H18+H84*GenAssumptions!H19</f>
        <v>6035850</v>
      </c>
      <c r="I29" s="414">
        <f>I81*GenAssumptions!I17+I82*GenAssumptions!I17+I83*GenAssumptions!I18+I84*GenAssumptions!I19</f>
        <v>6035850</v>
      </c>
    </row>
    <row r="30" spans="1:21" x14ac:dyDescent="0.2">
      <c r="A30" s="28"/>
      <c r="B30" s="470" t="s">
        <v>642</v>
      </c>
      <c r="C30" s="51"/>
      <c r="D30" s="718">
        <f>D29*GenAssumptions!D10</f>
        <v>1508962.5</v>
      </c>
      <c r="E30" s="415">
        <f>E29*GenAssumptions!E10</f>
        <v>1508962.5</v>
      </c>
      <c r="F30" s="415">
        <f>F29*GenAssumptions!F10</f>
        <v>1608554.0250000001</v>
      </c>
      <c r="G30" s="415">
        <f>G29*GenAssumptions!G10</f>
        <v>1711501.4826000002</v>
      </c>
      <c r="H30" s="415">
        <f>H29*GenAssumptions!H10</f>
        <v>1508962.5</v>
      </c>
      <c r="I30" s="416">
        <f>I29*GenAssumptions!I10</f>
        <v>1508962.5</v>
      </c>
    </row>
    <row r="31" spans="1:21" x14ac:dyDescent="0.2">
      <c r="A31" s="28"/>
      <c r="B31" s="470" t="s">
        <v>631</v>
      </c>
      <c r="C31" s="51"/>
      <c r="D31" s="718">
        <f>D85</f>
        <v>12600000</v>
      </c>
      <c r="E31" s="415">
        <f>E85</f>
        <v>12600000</v>
      </c>
      <c r="F31" s="415">
        <f t="shared" ref="F31:I31" si="11">F85</f>
        <v>12600000</v>
      </c>
      <c r="G31" s="415">
        <f t="shared" si="11"/>
        <v>12600000</v>
      </c>
      <c r="H31" s="415">
        <f t="shared" si="11"/>
        <v>12600000</v>
      </c>
      <c r="I31" s="416">
        <f t="shared" si="11"/>
        <v>12600000</v>
      </c>
    </row>
    <row r="32" spans="1:21" x14ac:dyDescent="0.2">
      <c r="A32" s="28"/>
      <c r="B32" s="470" t="s">
        <v>386</v>
      </c>
      <c r="C32" s="51"/>
      <c r="D32" s="724">
        <f>D29*GenAssumptions!D11</f>
        <v>301792.5</v>
      </c>
      <c r="E32" s="425">
        <f>E29*GenAssumptions!E11</f>
        <v>301792.5</v>
      </c>
      <c r="F32" s="425">
        <f>F29*GenAssumptions!F11</f>
        <v>321710.80500000005</v>
      </c>
      <c r="G32" s="425">
        <f>G29*GenAssumptions!G11</f>
        <v>342300.29652000009</v>
      </c>
      <c r="H32" s="425">
        <f>H29*GenAssumptions!H11</f>
        <v>301792.5</v>
      </c>
      <c r="I32" s="426">
        <f>I29*GenAssumptions!I11</f>
        <v>301792.5</v>
      </c>
    </row>
    <row r="33" spans="1:21" x14ac:dyDescent="0.2">
      <c r="A33" s="28"/>
      <c r="B33" s="485" t="s">
        <v>482</v>
      </c>
      <c r="C33" s="486"/>
      <c r="D33" s="725">
        <f>D14+D18+D23+D28</f>
        <v>167555871.5</v>
      </c>
      <c r="E33" s="427">
        <f>E14+E18+E23+E28</f>
        <v>167555871.5</v>
      </c>
      <c r="F33" s="427">
        <f t="shared" ref="F33:I33" si="12">F14+F18+F23+F28</f>
        <v>156698159.01899999</v>
      </c>
      <c r="G33" s="427">
        <f t="shared" si="12"/>
        <v>162249281.19621602</v>
      </c>
      <c r="H33" s="427">
        <f t="shared" si="12"/>
        <v>167555871.5</v>
      </c>
      <c r="I33" s="427">
        <f t="shared" si="12"/>
        <v>167555871.5</v>
      </c>
      <c r="U33" s="3" t="s">
        <v>547</v>
      </c>
    </row>
    <row r="34" spans="1:21" ht="6.75" customHeight="1" x14ac:dyDescent="0.2">
      <c r="A34" s="28"/>
      <c r="B34" s="487"/>
      <c r="C34" s="409"/>
      <c r="D34" s="726"/>
      <c r="E34" s="428"/>
      <c r="F34" s="428"/>
      <c r="G34" s="428"/>
      <c r="H34" s="428"/>
      <c r="I34" s="428"/>
    </row>
    <row r="35" spans="1:21" x14ac:dyDescent="0.2">
      <c r="A35" s="28"/>
      <c r="B35" s="491" t="s">
        <v>483</v>
      </c>
      <c r="C35" s="491"/>
      <c r="D35" s="727"/>
      <c r="E35" s="429"/>
      <c r="F35" s="429"/>
      <c r="G35" s="429"/>
      <c r="H35" s="429"/>
      <c r="I35" s="429"/>
    </row>
    <row r="36" spans="1:21" x14ac:dyDescent="0.2">
      <c r="A36" s="28"/>
      <c r="B36" s="488" t="str">
        <f>B8</f>
        <v>A. Management of INSET policy and performance</v>
      </c>
      <c r="C36" s="28"/>
      <c r="D36" s="679"/>
      <c r="E36" s="34"/>
      <c r="F36" s="34"/>
      <c r="G36" s="34"/>
      <c r="H36" s="34"/>
      <c r="I36" s="34"/>
    </row>
    <row r="37" spans="1:21" x14ac:dyDescent="0.2">
      <c r="A37" s="28"/>
      <c r="B37" s="492" t="s">
        <v>484</v>
      </c>
      <c r="C37" s="28"/>
      <c r="D37" s="586"/>
    </row>
    <row r="38" spans="1:21" x14ac:dyDescent="0.2">
      <c r="A38" s="28"/>
      <c r="B38" s="493" t="s">
        <v>712</v>
      </c>
      <c r="C38" s="28"/>
      <c r="D38" s="540">
        <v>0.33</v>
      </c>
      <c r="E38" s="634">
        <v>0.33</v>
      </c>
      <c r="F38" s="634">
        <v>0.33</v>
      </c>
      <c r="G38" s="634">
        <v>0.33</v>
      </c>
      <c r="H38" s="634">
        <v>0.33</v>
      </c>
      <c r="I38" s="634">
        <v>0.33</v>
      </c>
    </row>
    <row r="39" spans="1:21" x14ac:dyDescent="0.2">
      <c r="D39" s="586"/>
    </row>
    <row r="40" spans="1:21" x14ac:dyDescent="0.2">
      <c r="A40" s="28"/>
      <c r="B40" s="494" t="str">
        <f>B13</f>
        <v>B. NICPD</v>
      </c>
      <c r="C40" s="495"/>
      <c r="D40" s="728"/>
      <c r="E40" s="430"/>
      <c r="F40" s="430"/>
      <c r="G40" s="430"/>
      <c r="H40" s="431"/>
      <c r="I40" s="431"/>
    </row>
    <row r="41" spans="1:21" x14ac:dyDescent="0.2">
      <c r="A41" s="28"/>
      <c r="B41" s="492" t="s">
        <v>646</v>
      </c>
      <c r="C41" s="496"/>
      <c r="D41" s="586"/>
    </row>
    <row r="42" spans="1:21" x14ac:dyDescent="0.2">
      <c r="A42" s="28"/>
      <c r="B42" s="497" t="s">
        <v>414</v>
      </c>
      <c r="D42" s="581">
        <v>1</v>
      </c>
      <c r="E42" s="641">
        <v>1</v>
      </c>
      <c r="F42" s="641">
        <v>1</v>
      </c>
      <c r="G42" s="641">
        <v>1</v>
      </c>
      <c r="H42" s="641">
        <v>1</v>
      </c>
      <c r="I42" s="641">
        <v>1</v>
      </c>
    </row>
    <row r="43" spans="1:21" x14ac:dyDescent="0.2">
      <c r="A43" s="28"/>
      <c r="B43" s="497" t="s">
        <v>648</v>
      </c>
      <c r="D43" s="581">
        <v>3</v>
      </c>
      <c r="E43" s="641">
        <v>3</v>
      </c>
      <c r="F43" s="641">
        <v>3</v>
      </c>
      <c r="G43" s="641">
        <v>3</v>
      </c>
      <c r="H43" s="641">
        <v>3</v>
      </c>
      <c r="I43" s="641">
        <v>3</v>
      </c>
    </row>
    <row r="44" spans="1:21" x14ac:dyDescent="0.2">
      <c r="A44" s="28"/>
      <c r="B44" s="498" t="s">
        <v>647</v>
      </c>
      <c r="D44" s="581">
        <v>9</v>
      </c>
      <c r="E44" s="641">
        <v>9</v>
      </c>
      <c r="F44" s="641">
        <v>9</v>
      </c>
      <c r="G44" s="641">
        <v>9</v>
      </c>
      <c r="H44" s="641">
        <v>9</v>
      </c>
      <c r="I44" s="641">
        <v>9</v>
      </c>
    </row>
    <row r="45" spans="1:21" x14ac:dyDescent="0.2">
      <c r="A45" s="28"/>
      <c r="B45" s="498" t="s">
        <v>415</v>
      </c>
      <c r="D45" s="581">
        <v>0</v>
      </c>
      <c r="E45" s="641">
        <v>0</v>
      </c>
      <c r="F45" s="641">
        <v>0</v>
      </c>
      <c r="G45" s="641">
        <v>0</v>
      </c>
      <c r="H45" s="641">
        <v>0</v>
      </c>
      <c r="I45" s="641">
        <v>0</v>
      </c>
    </row>
    <row r="46" spans="1:21" x14ac:dyDescent="0.2">
      <c r="A46" s="28"/>
      <c r="B46" s="498" t="s">
        <v>416</v>
      </c>
      <c r="D46" s="581">
        <v>4</v>
      </c>
      <c r="E46" s="641">
        <v>4</v>
      </c>
      <c r="F46" s="641">
        <v>4</v>
      </c>
      <c r="G46" s="641">
        <v>4</v>
      </c>
      <c r="H46" s="641">
        <v>4</v>
      </c>
      <c r="I46" s="641">
        <v>4</v>
      </c>
    </row>
    <row r="47" spans="1:21" s="319" customFormat="1" x14ac:dyDescent="0.2">
      <c r="A47" s="231"/>
      <c r="C47" s="499"/>
      <c r="D47" s="558"/>
      <c r="E47" s="231"/>
      <c r="F47" s="231"/>
      <c r="G47" s="231"/>
      <c r="H47" s="231"/>
      <c r="I47" s="231"/>
    </row>
    <row r="48" spans="1:21" s="319" customFormat="1" x14ac:dyDescent="0.2">
      <c r="A48" s="231"/>
      <c r="B48" s="492" t="s">
        <v>621</v>
      </c>
      <c r="C48" s="499"/>
      <c r="D48" s="558"/>
      <c r="E48" s="231"/>
      <c r="F48" s="231"/>
      <c r="G48" s="231"/>
      <c r="H48" s="231"/>
      <c r="I48" s="231"/>
    </row>
    <row r="49" spans="1:10" s="319" customFormat="1" x14ac:dyDescent="0.2">
      <c r="A49" s="231"/>
      <c r="B49" s="497" t="s">
        <v>606</v>
      </c>
      <c r="C49" s="499"/>
      <c r="D49" s="581">
        <v>1</v>
      </c>
      <c r="E49" s="641">
        <v>1</v>
      </c>
      <c r="F49" s="641">
        <v>1</v>
      </c>
      <c r="G49" s="641">
        <v>1</v>
      </c>
      <c r="H49" s="641">
        <v>1</v>
      </c>
      <c r="I49" s="641">
        <v>1</v>
      </c>
    </row>
    <row r="50" spans="1:10" s="319" customFormat="1" x14ac:dyDescent="0.2">
      <c r="A50" s="231"/>
      <c r="B50" s="497" t="s">
        <v>607</v>
      </c>
      <c r="C50" s="499"/>
      <c r="D50" s="581">
        <v>1</v>
      </c>
      <c r="E50" s="641">
        <v>1</v>
      </c>
      <c r="F50" s="641">
        <v>1</v>
      </c>
      <c r="G50" s="641">
        <v>1</v>
      </c>
      <c r="H50" s="641">
        <v>1</v>
      </c>
      <c r="I50" s="641">
        <v>1</v>
      </c>
    </row>
    <row r="51" spans="1:10" s="319" customFormat="1" x14ac:dyDescent="0.2">
      <c r="A51" s="231"/>
      <c r="B51" s="497" t="s">
        <v>608</v>
      </c>
      <c r="C51" s="499"/>
      <c r="D51" s="581">
        <v>3</v>
      </c>
      <c r="E51" s="641">
        <v>3</v>
      </c>
      <c r="F51" s="641">
        <v>3</v>
      </c>
      <c r="G51" s="641">
        <v>3</v>
      </c>
      <c r="H51" s="641">
        <v>3</v>
      </c>
      <c r="I51" s="641">
        <v>3</v>
      </c>
    </row>
    <row r="52" spans="1:10" s="319" customFormat="1" x14ac:dyDescent="0.2">
      <c r="A52" s="231"/>
      <c r="B52" s="497" t="s">
        <v>611</v>
      </c>
      <c r="C52" s="499"/>
      <c r="D52" s="581">
        <v>1</v>
      </c>
      <c r="E52" s="641">
        <v>1</v>
      </c>
      <c r="F52" s="641">
        <v>1</v>
      </c>
      <c r="G52" s="641">
        <v>1</v>
      </c>
      <c r="H52" s="641">
        <v>1</v>
      </c>
      <c r="I52" s="641">
        <v>1</v>
      </c>
    </row>
    <row r="53" spans="1:10" s="319" customFormat="1" x14ac:dyDescent="0.2">
      <c r="A53" s="231"/>
      <c r="B53" s="500" t="s">
        <v>609</v>
      </c>
      <c r="C53" s="499"/>
      <c r="D53" s="558"/>
      <c r="E53" s="231"/>
      <c r="F53" s="231"/>
      <c r="G53" s="231"/>
      <c r="H53" s="231"/>
      <c r="I53" s="231"/>
    </row>
    <row r="54" spans="1:10" s="319" customFormat="1" x14ac:dyDescent="0.2">
      <c r="A54" s="231"/>
      <c r="B54" s="501" t="s">
        <v>616</v>
      </c>
      <c r="C54" s="499"/>
      <c r="D54" s="729">
        <v>800000</v>
      </c>
      <c r="E54" s="711">
        <v>800000</v>
      </c>
      <c r="F54" s="711"/>
      <c r="G54" s="711"/>
      <c r="H54" s="711">
        <v>800000</v>
      </c>
      <c r="I54" s="711">
        <v>800000</v>
      </c>
    </row>
    <row r="55" spans="1:10" s="319" customFormat="1" x14ac:dyDescent="0.2">
      <c r="A55" s="231"/>
      <c r="B55" s="501" t="s">
        <v>610</v>
      </c>
      <c r="C55" s="499"/>
      <c r="D55" s="729">
        <v>450000</v>
      </c>
      <c r="E55" s="711">
        <v>450000</v>
      </c>
      <c r="F55" s="711"/>
      <c r="G55" s="711"/>
      <c r="H55" s="711">
        <v>450000</v>
      </c>
      <c r="I55" s="711">
        <v>450000</v>
      </c>
    </row>
    <row r="56" spans="1:10" s="319" customFormat="1" x14ac:dyDescent="0.2">
      <c r="A56" s="231"/>
      <c r="B56" s="502" t="s">
        <v>612</v>
      </c>
      <c r="C56" s="499"/>
      <c r="D56" s="558"/>
      <c r="E56" s="231"/>
      <c r="F56" s="231"/>
      <c r="G56" s="231"/>
      <c r="H56" s="231"/>
      <c r="I56" s="231"/>
    </row>
    <row r="57" spans="1:10" x14ac:dyDescent="0.2">
      <c r="A57" s="28"/>
      <c r="B57" s="501" t="s">
        <v>709</v>
      </c>
      <c r="C57" s="496"/>
      <c r="D57" s="730">
        <f t="shared" ref="D57:I57" si="13">D58*D59+D58*D61</f>
        <v>43000000</v>
      </c>
      <c r="E57" s="432">
        <f t="shared" si="13"/>
        <v>43000000</v>
      </c>
      <c r="F57" s="432">
        <f t="shared" si="13"/>
        <v>45408000</v>
      </c>
      <c r="G57" s="432">
        <f t="shared" si="13"/>
        <v>47860032</v>
      </c>
      <c r="H57" s="432">
        <f t="shared" si="13"/>
        <v>43000000</v>
      </c>
      <c r="I57" s="432">
        <f t="shared" si="13"/>
        <v>43000000</v>
      </c>
      <c r="J57" s="319"/>
    </row>
    <row r="58" spans="1:10" x14ac:dyDescent="0.2">
      <c r="A58" s="28"/>
      <c r="B58" s="503" t="s">
        <v>613</v>
      </c>
      <c r="C58" s="496"/>
      <c r="D58" s="581">
        <v>4</v>
      </c>
      <c r="E58" s="641">
        <v>4</v>
      </c>
      <c r="F58" s="641">
        <v>4</v>
      </c>
      <c r="G58" s="641">
        <v>4</v>
      </c>
      <c r="H58" s="641">
        <v>4</v>
      </c>
      <c r="I58" s="641">
        <v>4</v>
      </c>
      <c r="J58" s="319"/>
    </row>
    <row r="59" spans="1:10" x14ac:dyDescent="0.2">
      <c r="A59" s="28"/>
      <c r="B59" s="503" t="s">
        <v>614</v>
      </c>
      <c r="C59" s="496"/>
      <c r="D59" s="731">
        <v>750000</v>
      </c>
      <c r="E59" s="711">
        <v>750000</v>
      </c>
      <c r="F59" s="432">
        <f>E59*(1+GenAssumptions!F6)</f>
        <v>792000</v>
      </c>
      <c r="G59" s="432">
        <f>F59*(1+GenAssumptions!G6)</f>
        <v>834768</v>
      </c>
      <c r="H59" s="711">
        <v>750000</v>
      </c>
      <c r="I59" s="641">
        <v>750000</v>
      </c>
      <c r="J59" s="319"/>
    </row>
    <row r="60" spans="1:10" x14ac:dyDescent="0.2">
      <c r="A60" s="28"/>
      <c r="B60" s="503" t="s">
        <v>710</v>
      </c>
      <c r="C60" s="496"/>
      <c r="D60" s="731">
        <v>400</v>
      </c>
      <c r="E60" s="711">
        <v>400</v>
      </c>
      <c r="F60" s="432">
        <f>E60*(1+GenAssumptions!F6)</f>
        <v>422.40000000000003</v>
      </c>
      <c r="G60" s="432">
        <f>F60*(1+GenAssumptions!G6)</f>
        <v>445.20960000000008</v>
      </c>
      <c r="H60" s="711">
        <v>400</v>
      </c>
      <c r="I60" s="641">
        <v>400</v>
      </c>
      <c r="J60" s="319"/>
    </row>
    <row r="61" spans="1:10" x14ac:dyDescent="0.2">
      <c r="A61" s="28"/>
      <c r="B61" s="503" t="s">
        <v>617</v>
      </c>
      <c r="C61" s="496"/>
      <c r="D61" s="730">
        <f>25000*D60</f>
        <v>10000000</v>
      </c>
      <c r="E61" s="405">
        <f>25000*E60</f>
        <v>10000000</v>
      </c>
      <c r="F61" s="432">
        <f>E61*(1+GenAssumptions!F6)</f>
        <v>10560000</v>
      </c>
      <c r="G61" s="432">
        <f>F61*(1+GenAssumptions!G6)</f>
        <v>11130240</v>
      </c>
      <c r="H61" s="405">
        <f>25000*H60</f>
        <v>10000000</v>
      </c>
      <c r="I61" s="404">
        <f>25000*I60</f>
        <v>10000000</v>
      </c>
      <c r="J61" s="319"/>
    </row>
    <row r="62" spans="1:10" x14ac:dyDescent="0.2">
      <c r="A62" s="28"/>
      <c r="B62" s="501" t="s">
        <v>618</v>
      </c>
      <c r="C62" s="496"/>
      <c r="D62" s="730">
        <f>(D63*(D64+D65))+(D68*D66)</f>
        <v>64000000</v>
      </c>
      <c r="E62" s="432">
        <f>(E63*(E64+E65))+(E68*E66)</f>
        <v>64000000</v>
      </c>
      <c r="F62" s="432">
        <f t="shared" ref="F62:I62" si="14">(F63*(F64+F65))+(F68*F66)</f>
        <v>64900000</v>
      </c>
      <c r="G62" s="432">
        <f t="shared" si="14"/>
        <v>65845000</v>
      </c>
      <c r="H62" s="432">
        <f t="shared" si="14"/>
        <v>64000000</v>
      </c>
      <c r="I62" s="432">
        <f t="shared" si="14"/>
        <v>64000000</v>
      </c>
      <c r="J62" s="319"/>
    </row>
    <row r="63" spans="1:10" x14ac:dyDescent="0.2">
      <c r="A63" s="28"/>
      <c r="B63" s="503" t="s">
        <v>613</v>
      </c>
      <c r="C63" s="496"/>
      <c r="D63" s="581">
        <v>24</v>
      </c>
      <c r="E63" s="641">
        <v>24</v>
      </c>
      <c r="F63" s="641">
        <v>24</v>
      </c>
      <c r="G63" s="641">
        <v>24</v>
      </c>
      <c r="H63" s="641">
        <v>24</v>
      </c>
      <c r="I63" s="641">
        <v>24</v>
      </c>
      <c r="J63" s="319"/>
    </row>
    <row r="64" spans="1:10" x14ac:dyDescent="0.2">
      <c r="A64" s="28"/>
      <c r="B64" s="503" t="s">
        <v>619</v>
      </c>
      <c r="C64" s="496"/>
      <c r="D64" s="731">
        <v>250000</v>
      </c>
      <c r="E64" s="711">
        <v>250000</v>
      </c>
      <c r="F64" s="711">
        <v>250000</v>
      </c>
      <c r="G64" s="711">
        <v>250000</v>
      </c>
      <c r="H64" s="711">
        <v>250000</v>
      </c>
      <c r="I64" s="711">
        <v>250000</v>
      </c>
      <c r="J64" s="319"/>
    </row>
    <row r="65" spans="1:10" x14ac:dyDescent="0.2">
      <c r="A65" s="28"/>
      <c r="B65" s="503" t="s">
        <v>614</v>
      </c>
      <c r="C65" s="496"/>
      <c r="D65" s="731">
        <v>750000</v>
      </c>
      <c r="E65" s="711">
        <v>750000</v>
      </c>
      <c r="F65" s="432">
        <f>E65*(1+GenAssumptions!F11)</f>
        <v>787500</v>
      </c>
      <c r="G65" s="432">
        <f>F65*(1+GenAssumptions!G11)</f>
        <v>826875</v>
      </c>
      <c r="H65" s="711">
        <v>750000</v>
      </c>
      <c r="I65" s="711">
        <v>750000</v>
      </c>
      <c r="J65" s="319"/>
    </row>
    <row r="66" spans="1:10" x14ac:dyDescent="0.2">
      <c r="A66" s="28"/>
      <c r="B66" s="503" t="s">
        <v>711</v>
      </c>
      <c r="C66" s="496"/>
      <c r="D66" s="581">
        <v>4</v>
      </c>
      <c r="E66" s="641">
        <v>4</v>
      </c>
      <c r="F66" s="641">
        <v>4</v>
      </c>
      <c r="G66" s="641">
        <v>4</v>
      </c>
      <c r="H66" s="641">
        <v>4</v>
      </c>
      <c r="I66" s="641">
        <v>4</v>
      </c>
      <c r="J66" s="319"/>
    </row>
    <row r="67" spans="1:10" x14ac:dyDescent="0.2">
      <c r="A67" s="28"/>
      <c r="B67" s="503" t="s">
        <v>710</v>
      </c>
      <c r="C67" s="496"/>
      <c r="D67" s="731">
        <v>400</v>
      </c>
      <c r="E67" s="711">
        <v>400</v>
      </c>
      <c r="F67" s="432">
        <f>E67*(1+GenAssumptions!F13)</f>
        <v>400</v>
      </c>
      <c r="G67" s="432">
        <f>F67*(1+GenAssumptions!G13)</f>
        <v>400</v>
      </c>
      <c r="H67" s="711">
        <v>400</v>
      </c>
      <c r="I67" s="711">
        <v>400</v>
      </c>
      <c r="J67" s="319"/>
    </row>
    <row r="68" spans="1:10" x14ac:dyDescent="0.2">
      <c r="A68" s="28"/>
      <c r="B68" s="503" t="s">
        <v>615</v>
      </c>
      <c r="C68" s="496"/>
      <c r="D68" s="731">
        <f>25000*D67</f>
        <v>10000000</v>
      </c>
      <c r="E68" s="711">
        <f>25000*E67</f>
        <v>10000000</v>
      </c>
      <c r="F68" s="432">
        <f>E68*(1+GenAssumptions!F13)</f>
        <v>10000000</v>
      </c>
      <c r="G68" s="432">
        <f>F68*(1+GenAssumptions!G13)</f>
        <v>10000000</v>
      </c>
      <c r="H68" s="711">
        <f>25000*H67</f>
        <v>10000000</v>
      </c>
      <c r="I68" s="711">
        <f>25000*I67</f>
        <v>10000000</v>
      </c>
      <c r="J68" s="319"/>
    </row>
    <row r="69" spans="1:10" x14ac:dyDescent="0.2">
      <c r="A69" s="28"/>
      <c r="B69" s="501" t="s">
        <v>620</v>
      </c>
      <c r="C69" s="496"/>
      <c r="D69" s="731">
        <v>50000</v>
      </c>
      <c r="E69" s="711">
        <v>50000</v>
      </c>
      <c r="F69" s="711">
        <v>50000</v>
      </c>
      <c r="G69" s="711">
        <v>50000</v>
      </c>
      <c r="H69" s="711">
        <v>50000</v>
      </c>
      <c r="I69" s="711">
        <v>50000</v>
      </c>
      <c r="J69" s="319"/>
    </row>
    <row r="70" spans="1:10" x14ac:dyDescent="0.2">
      <c r="A70" s="28"/>
      <c r="C70" s="496"/>
      <c r="D70" s="558"/>
      <c r="E70" s="231"/>
      <c r="F70" s="231"/>
      <c r="G70" s="231"/>
      <c r="H70" s="231"/>
      <c r="I70" s="231"/>
      <c r="J70" s="319"/>
    </row>
    <row r="71" spans="1:10" x14ac:dyDescent="0.2">
      <c r="A71" s="28"/>
      <c r="B71" s="492" t="s">
        <v>636</v>
      </c>
      <c r="C71" s="28"/>
      <c r="D71" s="586"/>
      <c r="J71" s="319"/>
    </row>
    <row r="72" spans="1:10" x14ac:dyDescent="0.2">
      <c r="A72" s="28"/>
      <c r="B72" s="497" t="s">
        <v>627</v>
      </c>
      <c r="D72" s="581">
        <v>1</v>
      </c>
      <c r="E72" s="641">
        <v>1</v>
      </c>
      <c r="F72" s="641">
        <v>1</v>
      </c>
      <c r="G72" s="641">
        <v>1</v>
      </c>
      <c r="H72" s="641">
        <v>1</v>
      </c>
      <c r="I72" s="641">
        <v>1</v>
      </c>
    </row>
    <row r="73" spans="1:10" x14ac:dyDescent="0.2">
      <c r="A73" s="28"/>
      <c r="B73" s="497" t="s">
        <v>637</v>
      </c>
      <c r="D73" s="581">
        <v>4</v>
      </c>
      <c r="E73" s="641">
        <v>4</v>
      </c>
      <c r="F73" s="641">
        <v>4</v>
      </c>
      <c r="G73" s="641">
        <v>4</v>
      </c>
      <c r="H73" s="641">
        <v>4</v>
      </c>
      <c r="I73" s="641">
        <v>4</v>
      </c>
    </row>
    <row r="74" spans="1:10" x14ac:dyDescent="0.2">
      <c r="A74" s="28"/>
      <c r="B74" s="497" t="s">
        <v>645</v>
      </c>
      <c r="D74" s="581">
        <v>2</v>
      </c>
      <c r="E74" s="641">
        <v>2</v>
      </c>
      <c r="F74" s="641">
        <v>2</v>
      </c>
      <c r="G74" s="641">
        <v>2</v>
      </c>
      <c r="H74" s="641">
        <v>2</v>
      </c>
      <c r="I74" s="641">
        <v>2</v>
      </c>
    </row>
    <row r="75" spans="1:10" x14ac:dyDescent="0.2">
      <c r="A75" s="28"/>
      <c r="B75" s="497" t="s">
        <v>641</v>
      </c>
      <c r="D75" s="581">
        <v>8</v>
      </c>
      <c r="E75" s="641">
        <v>8</v>
      </c>
      <c r="F75" s="641">
        <v>8</v>
      </c>
      <c r="G75" s="641">
        <v>8</v>
      </c>
      <c r="H75" s="641">
        <v>8</v>
      </c>
      <c r="I75" s="641">
        <v>8</v>
      </c>
    </row>
    <row r="76" spans="1:10" x14ac:dyDescent="0.2">
      <c r="A76" s="28"/>
      <c r="B76" s="497" t="s">
        <v>638</v>
      </c>
      <c r="D76" s="730">
        <f>SUM(D77:D78)</f>
        <v>15500000</v>
      </c>
      <c r="E76" s="432">
        <f>SUM(E77:E78)</f>
        <v>15500000</v>
      </c>
      <c r="F76" s="432">
        <f t="shared" ref="F76:I76" si="15">SUM(F77:F78)</f>
        <v>528000</v>
      </c>
      <c r="G76" s="432">
        <f t="shared" si="15"/>
        <v>556512</v>
      </c>
      <c r="H76" s="432">
        <f t="shared" si="15"/>
        <v>15500000</v>
      </c>
      <c r="I76" s="432">
        <f t="shared" si="15"/>
        <v>15500000</v>
      </c>
    </row>
    <row r="77" spans="1:10" x14ac:dyDescent="0.2">
      <c r="A77" s="28"/>
      <c r="B77" s="504" t="s">
        <v>639</v>
      </c>
      <c r="D77" s="731">
        <v>15000000</v>
      </c>
      <c r="E77" s="711">
        <v>15000000</v>
      </c>
      <c r="F77" s="402"/>
      <c r="G77" s="402"/>
      <c r="H77" s="711">
        <v>15000000</v>
      </c>
      <c r="I77" s="711">
        <v>15000000</v>
      </c>
    </row>
    <row r="78" spans="1:10" x14ac:dyDescent="0.2">
      <c r="A78" s="28"/>
      <c r="B78" s="504" t="s">
        <v>640</v>
      </c>
      <c r="D78" s="731">
        <v>500000</v>
      </c>
      <c r="E78" s="711">
        <v>500000</v>
      </c>
      <c r="F78" s="432">
        <f>E78*(1+GenAssumptions!F6)</f>
        <v>528000</v>
      </c>
      <c r="G78" s="432">
        <f>F78*(1+GenAssumptions!G6)</f>
        <v>556512</v>
      </c>
      <c r="H78" s="711">
        <v>500000</v>
      </c>
      <c r="I78" s="711">
        <v>500000</v>
      </c>
    </row>
    <row r="79" spans="1:10" x14ac:dyDescent="0.2">
      <c r="A79" s="28"/>
      <c r="B79" s="505"/>
      <c r="D79" s="586"/>
    </row>
    <row r="80" spans="1:10" x14ac:dyDescent="0.2">
      <c r="A80" s="28"/>
      <c r="B80" s="492" t="s">
        <v>630</v>
      </c>
      <c r="D80" s="586"/>
    </row>
    <row r="81" spans="1:9" x14ac:dyDescent="0.2">
      <c r="A81" s="28"/>
      <c r="B81" s="497" t="s">
        <v>628</v>
      </c>
      <c r="D81" s="581">
        <v>2</v>
      </c>
      <c r="E81" s="641">
        <v>2</v>
      </c>
      <c r="F81" s="641">
        <v>2</v>
      </c>
      <c r="G81" s="641">
        <v>2</v>
      </c>
      <c r="H81" s="641">
        <v>2</v>
      </c>
      <c r="I81" s="641">
        <v>2</v>
      </c>
    </row>
    <row r="82" spans="1:9" x14ac:dyDescent="0.2">
      <c r="A82" s="28"/>
      <c r="B82" s="497" t="s">
        <v>629</v>
      </c>
      <c r="D82" s="581">
        <v>6</v>
      </c>
      <c r="E82" s="641">
        <v>6</v>
      </c>
      <c r="F82" s="641">
        <v>6</v>
      </c>
      <c r="G82" s="641">
        <v>6</v>
      </c>
      <c r="H82" s="641">
        <v>6</v>
      </c>
      <c r="I82" s="641">
        <v>6</v>
      </c>
    </row>
    <row r="83" spans="1:9" x14ac:dyDescent="0.2">
      <c r="A83" s="28"/>
      <c r="B83" s="497" t="s">
        <v>644</v>
      </c>
      <c r="D83" s="581">
        <v>2</v>
      </c>
      <c r="E83" s="641">
        <v>2</v>
      </c>
      <c r="F83" s="641">
        <v>2</v>
      </c>
      <c r="G83" s="641">
        <v>2</v>
      </c>
      <c r="H83" s="641">
        <v>2</v>
      </c>
      <c r="I83" s="641">
        <v>2</v>
      </c>
    </row>
    <row r="84" spans="1:9" x14ac:dyDescent="0.2">
      <c r="A84" s="28"/>
      <c r="B84" s="497" t="s">
        <v>626</v>
      </c>
      <c r="D84" s="581">
        <v>4</v>
      </c>
      <c r="E84" s="641">
        <v>4</v>
      </c>
      <c r="F84" s="641">
        <v>4</v>
      </c>
      <c r="G84" s="641">
        <v>4</v>
      </c>
      <c r="H84" s="641">
        <v>4</v>
      </c>
      <c r="I84" s="641">
        <v>4</v>
      </c>
    </row>
    <row r="85" spans="1:9" x14ac:dyDescent="0.2">
      <c r="A85" s="28"/>
      <c r="B85" s="497" t="s">
        <v>631</v>
      </c>
      <c r="D85" s="732">
        <f t="shared" ref="D85:I85" si="16">D87*(D88+D89+D90)</f>
        <v>12600000</v>
      </c>
      <c r="E85" s="433">
        <f t="shared" si="16"/>
        <v>12600000</v>
      </c>
      <c r="F85" s="433">
        <f t="shared" si="16"/>
        <v>12600000</v>
      </c>
      <c r="G85" s="433">
        <f t="shared" si="16"/>
        <v>12600000</v>
      </c>
      <c r="H85" s="433">
        <f t="shared" si="16"/>
        <v>12600000</v>
      </c>
      <c r="I85" s="433">
        <f t="shared" si="16"/>
        <v>12600000</v>
      </c>
    </row>
    <row r="86" spans="1:9" x14ac:dyDescent="0.2">
      <c r="A86" s="28"/>
      <c r="B86" s="497"/>
      <c r="D86" s="733"/>
      <c r="E86" s="231" t="s">
        <v>767</v>
      </c>
    </row>
    <row r="87" spans="1:9" x14ac:dyDescent="0.2">
      <c r="A87" s="28"/>
      <c r="B87" s="504" t="s">
        <v>632</v>
      </c>
      <c r="D87" s="734">
        <v>12</v>
      </c>
      <c r="E87" s="434">
        <f>'Totals and Scenarios'!E64</f>
        <v>12</v>
      </c>
      <c r="F87" s="434">
        <f>'Totals and Scenarios'!F64</f>
        <v>12</v>
      </c>
      <c r="G87" s="434">
        <f>'Totals and Scenarios'!G64</f>
        <v>12</v>
      </c>
      <c r="H87" s="434">
        <f>'Totals and Scenarios'!H64</f>
        <v>12</v>
      </c>
      <c r="I87" s="434">
        <f>'Totals and Scenarios'!I64</f>
        <v>12</v>
      </c>
    </row>
    <row r="88" spans="1:9" x14ac:dyDescent="0.2">
      <c r="A88" s="28"/>
      <c r="B88" s="504" t="s">
        <v>713</v>
      </c>
      <c r="D88" s="735">
        <v>500000</v>
      </c>
      <c r="E88" s="711">
        <v>500000</v>
      </c>
      <c r="F88" s="711">
        <v>500000</v>
      </c>
      <c r="G88" s="711">
        <v>500000</v>
      </c>
      <c r="H88" s="711">
        <v>500000</v>
      </c>
      <c r="I88" s="711">
        <v>500000</v>
      </c>
    </row>
    <row r="89" spans="1:9" x14ac:dyDescent="0.2">
      <c r="A89" s="28"/>
      <c r="B89" s="504" t="s">
        <v>634</v>
      </c>
      <c r="D89" s="735">
        <v>500000</v>
      </c>
      <c r="E89" s="711">
        <v>500000</v>
      </c>
      <c r="F89" s="711">
        <v>500000</v>
      </c>
      <c r="G89" s="711">
        <v>500000</v>
      </c>
      <c r="H89" s="711">
        <v>500000</v>
      </c>
      <c r="I89" s="711">
        <v>500000</v>
      </c>
    </row>
    <row r="90" spans="1:9" x14ac:dyDescent="0.2">
      <c r="A90" s="28"/>
      <c r="B90" s="504" t="s">
        <v>633</v>
      </c>
      <c r="D90" s="736">
        <v>50000</v>
      </c>
      <c r="E90" s="711">
        <v>50000</v>
      </c>
      <c r="F90" s="711">
        <v>50000</v>
      </c>
      <c r="G90" s="711">
        <v>50000</v>
      </c>
      <c r="H90" s="711">
        <v>50000</v>
      </c>
      <c r="I90" s="711">
        <v>50000</v>
      </c>
    </row>
    <row r="111" spans="1:4" ht="15" hidden="1" x14ac:dyDescent="0.25">
      <c r="A111" s="2" t="s">
        <v>280</v>
      </c>
      <c r="B111" s="10"/>
      <c r="C111" s="10"/>
      <c r="D111" s="10"/>
    </row>
    <row r="112" spans="1:4" hidden="1" x14ac:dyDescent="0.2">
      <c r="A112" s="10"/>
    </row>
    <row r="113" spans="1:9" hidden="1" x14ac:dyDescent="0.2">
      <c r="A113" s="10"/>
    </row>
    <row r="114" spans="1:9" hidden="1" x14ac:dyDescent="0.2">
      <c r="A114" s="10"/>
    </row>
    <row r="115" spans="1:9" hidden="1" x14ac:dyDescent="0.2">
      <c r="A115" s="10"/>
    </row>
    <row r="116" spans="1:9" hidden="1" x14ac:dyDescent="0.2">
      <c r="A116" s="10"/>
    </row>
    <row r="117" spans="1:9" hidden="1" x14ac:dyDescent="0.2">
      <c r="A117" s="10"/>
    </row>
    <row r="118" spans="1:9" hidden="1" x14ac:dyDescent="0.2">
      <c r="A118" s="10"/>
    </row>
    <row r="119" spans="1:9" hidden="1" x14ac:dyDescent="0.2">
      <c r="A119" s="10"/>
      <c r="B119" s="10"/>
      <c r="C119" s="10"/>
      <c r="D119" s="10"/>
    </row>
    <row r="120" spans="1:9" hidden="1" x14ac:dyDescent="0.2">
      <c r="B120" s="45" t="s">
        <v>296</v>
      </c>
      <c r="C120" s="45"/>
      <c r="D120" s="45"/>
    </row>
    <row r="121" spans="1:9" hidden="1" x14ac:dyDescent="0.2">
      <c r="B121" s="44" t="s">
        <v>297</v>
      </c>
      <c r="C121" s="44"/>
      <c r="D121" s="44"/>
      <c r="E121" s="439" t="e">
        <f>#REF!*#REF!</f>
        <v>#REF!</v>
      </c>
      <c r="F121" s="439"/>
      <c r="G121" s="439"/>
      <c r="H121" s="439" t="e">
        <f>#REF!*#REF!</f>
        <v>#REF!</v>
      </c>
      <c r="I121" s="439" t="e">
        <f>#REF!*#REF!</f>
        <v>#REF!</v>
      </c>
    </row>
    <row r="122" spans="1:9" hidden="1" x14ac:dyDescent="0.2">
      <c r="B122" s="44" t="s">
        <v>298</v>
      </c>
      <c r="C122" s="44"/>
      <c r="D122" s="44"/>
      <c r="E122" s="439" t="e">
        <f>#REF!+E121</f>
        <v>#REF!</v>
      </c>
      <c r="F122" s="439"/>
      <c r="G122" s="439"/>
      <c r="H122" s="439" t="e">
        <f>#REF!+H121</f>
        <v>#REF!</v>
      </c>
      <c r="I122" s="439" t="e">
        <f>#REF!+I121</f>
        <v>#REF!</v>
      </c>
    </row>
    <row r="123" spans="1:9" hidden="1" x14ac:dyDescent="0.2"/>
    <row r="124" spans="1:9" hidden="1" x14ac:dyDescent="0.2">
      <c r="B124" s="44"/>
      <c r="C124" s="44"/>
      <c r="D124" s="44"/>
      <c r="E124" s="439"/>
      <c r="F124" s="439"/>
      <c r="G124" s="439"/>
      <c r="H124" s="439"/>
      <c r="I124" s="439"/>
    </row>
    <row r="125" spans="1:9" ht="15" hidden="1" x14ac:dyDescent="0.25">
      <c r="B125" s="2" t="s">
        <v>1</v>
      </c>
      <c r="C125" s="2"/>
      <c r="D125" s="29"/>
    </row>
    <row r="126" spans="1:9" hidden="1" x14ac:dyDescent="0.2">
      <c r="B126" s="10" t="s">
        <v>299</v>
      </c>
      <c r="C126" s="10"/>
      <c r="D126" s="10"/>
      <c r="E126" s="439" t="e">
        <f>#REF!+E57*#REF!+E69*#REF!</f>
        <v>#REF!</v>
      </c>
      <c r="F126" s="439"/>
      <c r="G126" s="439"/>
      <c r="H126" s="439" t="e">
        <f>#REF!+H57*#REF!+H69*#REF!</f>
        <v>#REF!</v>
      </c>
      <c r="I126" s="439" t="e">
        <f>#REF!+I57*#REF!+I69*#REF!</f>
        <v>#REF!</v>
      </c>
    </row>
    <row r="127" spans="1:9" hidden="1" x14ac:dyDescent="0.2"/>
    <row r="128" spans="1:9" hidden="1" x14ac:dyDescent="0.2"/>
    <row r="129" spans="2:9" hidden="1" x14ac:dyDescent="0.2">
      <c r="B129" s="3" t="s">
        <v>300</v>
      </c>
      <c r="E129" s="439" t="e">
        <f>#REF!/#REF!</f>
        <v>#REF!</v>
      </c>
      <c r="F129" s="439"/>
      <c r="G129" s="439"/>
      <c r="H129" s="439" t="e">
        <f>#REF!/H43</f>
        <v>#REF!</v>
      </c>
      <c r="I129" s="439" t="e">
        <f>#REF!/I43</f>
        <v>#REF!</v>
      </c>
    </row>
    <row r="130" spans="2:9" hidden="1" x14ac:dyDescent="0.2">
      <c r="B130" s="352" t="s">
        <v>301</v>
      </c>
      <c r="C130" s="352"/>
      <c r="D130" s="440"/>
      <c r="E130" s="441" t="e">
        <f>E129*E41</f>
        <v>#REF!</v>
      </c>
      <c r="F130" s="441"/>
      <c r="G130" s="441"/>
      <c r="H130" s="441" t="e">
        <f>H129*H41</f>
        <v>#REF!</v>
      </c>
      <c r="I130" s="441" t="e">
        <f>I129*I41</f>
        <v>#REF!</v>
      </c>
    </row>
    <row r="131" spans="2:9" hidden="1" x14ac:dyDescent="0.2"/>
  </sheetData>
  <mergeCells count="1">
    <mergeCell ref="E1:G1"/>
  </mergeCells>
  <conditionalFormatting sqref="E38">
    <cfRule type="expression" dxfId="325" priority="135">
      <formula>E38&lt;$D38</formula>
    </cfRule>
    <cfRule type="expression" dxfId="324" priority="136">
      <formula>E38&gt;$D38</formula>
    </cfRule>
  </conditionalFormatting>
  <conditionalFormatting sqref="F38:I38">
    <cfRule type="expression" dxfId="323" priority="133">
      <formula>F38&lt;$D38</formula>
    </cfRule>
    <cfRule type="expression" dxfId="322" priority="134">
      <formula>F38&gt;$D38</formula>
    </cfRule>
  </conditionalFormatting>
  <conditionalFormatting sqref="E42">
    <cfRule type="expression" dxfId="321" priority="131">
      <formula>E42&lt;$D42</formula>
    </cfRule>
    <cfRule type="expression" dxfId="320" priority="132">
      <formula>E42&gt;$D42</formula>
    </cfRule>
  </conditionalFormatting>
  <conditionalFormatting sqref="F42:I42">
    <cfRule type="expression" dxfId="319" priority="129">
      <formula>F42&lt;$D42</formula>
    </cfRule>
    <cfRule type="expression" dxfId="318" priority="130">
      <formula>F42&gt;$D42</formula>
    </cfRule>
  </conditionalFormatting>
  <conditionalFormatting sqref="E43">
    <cfRule type="expression" dxfId="317" priority="127">
      <formula>E43&lt;$D43</formula>
    </cfRule>
    <cfRule type="expression" dxfId="316" priority="128">
      <formula>E43&gt;$D43</formula>
    </cfRule>
  </conditionalFormatting>
  <conditionalFormatting sqref="F43:I43">
    <cfRule type="expression" dxfId="315" priority="125">
      <formula>F43&lt;$D43</formula>
    </cfRule>
    <cfRule type="expression" dxfId="314" priority="126">
      <formula>F43&gt;$D43</formula>
    </cfRule>
  </conditionalFormatting>
  <conditionalFormatting sqref="E44">
    <cfRule type="expression" dxfId="313" priority="123">
      <formula>E44&lt;$D44</formula>
    </cfRule>
    <cfRule type="expression" dxfId="312" priority="124">
      <formula>E44&gt;$D44</formula>
    </cfRule>
  </conditionalFormatting>
  <conditionalFormatting sqref="F44:I44">
    <cfRule type="expression" dxfId="311" priority="121">
      <formula>F44&lt;$D44</formula>
    </cfRule>
    <cfRule type="expression" dxfId="310" priority="122">
      <formula>F44&gt;$D44</formula>
    </cfRule>
  </conditionalFormatting>
  <conditionalFormatting sqref="E45">
    <cfRule type="expression" dxfId="309" priority="119">
      <formula>E45&lt;$D45</formula>
    </cfRule>
    <cfRule type="expression" dxfId="308" priority="120">
      <formula>E45&gt;$D45</formula>
    </cfRule>
  </conditionalFormatting>
  <conditionalFormatting sqref="F45:I45">
    <cfRule type="expression" dxfId="307" priority="117">
      <formula>F45&lt;$D45</formula>
    </cfRule>
    <cfRule type="expression" dxfId="306" priority="118">
      <formula>F45&gt;$D45</formula>
    </cfRule>
  </conditionalFormatting>
  <conditionalFormatting sqref="E46">
    <cfRule type="expression" dxfId="305" priority="115">
      <formula>E46&lt;$D46</formula>
    </cfRule>
    <cfRule type="expression" dxfId="304" priority="116">
      <formula>E46&gt;$D46</formula>
    </cfRule>
  </conditionalFormatting>
  <conditionalFormatting sqref="F46:I46">
    <cfRule type="expression" dxfId="303" priority="113">
      <formula>F46&lt;$D46</formula>
    </cfRule>
    <cfRule type="expression" dxfId="302" priority="114">
      <formula>F46&gt;$D46</formula>
    </cfRule>
  </conditionalFormatting>
  <conditionalFormatting sqref="E49">
    <cfRule type="expression" dxfId="301" priority="111">
      <formula>E49&lt;$D49</formula>
    </cfRule>
    <cfRule type="expression" dxfId="300" priority="112">
      <formula>E49&gt;$D49</formula>
    </cfRule>
  </conditionalFormatting>
  <conditionalFormatting sqref="F49:I49">
    <cfRule type="expression" dxfId="299" priority="109">
      <formula>F49&lt;$D49</formula>
    </cfRule>
    <cfRule type="expression" dxfId="298" priority="110">
      <formula>F49&gt;$D49</formula>
    </cfRule>
  </conditionalFormatting>
  <conditionalFormatting sqref="E50">
    <cfRule type="expression" dxfId="297" priority="107">
      <formula>E50&lt;$D50</formula>
    </cfRule>
    <cfRule type="expression" dxfId="296" priority="108">
      <formula>E50&gt;$D50</formula>
    </cfRule>
  </conditionalFormatting>
  <conditionalFormatting sqref="F50:I50">
    <cfRule type="expression" dxfId="295" priority="105">
      <formula>F50&lt;$D50</formula>
    </cfRule>
    <cfRule type="expression" dxfId="294" priority="106">
      <formula>F50&gt;$D50</formula>
    </cfRule>
  </conditionalFormatting>
  <conditionalFormatting sqref="E51">
    <cfRule type="expression" dxfId="293" priority="103">
      <formula>E51&lt;$D51</formula>
    </cfRule>
    <cfRule type="expression" dxfId="292" priority="104">
      <formula>E51&gt;$D51</formula>
    </cfRule>
  </conditionalFormatting>
  <conditionalFormatting sqref="F51:I51">
    <cfRule type="expression" dxfId="291" priority="101">
      <formula>F51&lt;$D51</formula>
    </cfRule>
    <cfRule type="expression" dxfId="290" priority="102">
      <formula>F51&gt;$D51</formula>
    </cfRule>
  </conditionalFormatting>
  <conditionalFormatting sqref="E52">
    <cfRule type="expression" dxfId="289" priority="99">
      <formula>E52&lt;$D52</formula>
    </cfRule>
    <cfRule type="expression" dxfId="288" priority="100">
      <formula>E52&gt;$D52</formula>
    </cfRule>
  </conditionalFormatting>
  <conditionalFormatting sqref="F52:I52">
    <cfRule type="expression" dxfId="287" priority="97">
      <formula>F52&lt;$D52</formula>
    </cfRule>
    <cfRule type="expression" dxfId="286" priority="98">
      <formula>F52&gt;$D52</formula>
    </cfRule>
  </conditionalFormatting>
  <conditionalFormatting sqref="E54">
    <cfRule type="expression" dxfId="285" priority="95">
      <formula>E54&lt;$D54</formula>
    </cfRule>
    <cfRule type="expression" dxfId="284" priority="96">
      <formula>E54&gt;$D54</formula>
    </cfRule>
  </conditionalFormatting>
  <conditionalFormatting sqref="F54:I54">
    <cfRule type="expression" dxfId="283" priority="93">
      <formula>F54&lt;$D54</formula>
    </cfRule>
    <cfRule type="expression" dxfId="282" priority="94">
      <formula>F54&gt;$D54</formula>
    </cfRule>
  </conditionalFormatting>
  <conditionalFormatting sqref="E55">
    <cfRule type="expression" dxfId="281" priority="91">
      <formula>E55&lt;$D55</formula>
    </cfRule>
    <cfRule type="expression" dxfId="280" priority="92">
      <formula>E55&gt;$D55</formula>
    </cfRule>
  </conditionalFormatting>
  <conditionalFormatting sqref="F55:I55">
    <cfRule type="expression" dxfId="279" priority="89">
      <formula>F55&lt;$D55</formula>
    </cfRule>
    <cfRule type="expression" dxfId="278" priority="90">
      <formula>F55&gt;$D55</formula>
    </cfRule>
  </conditionalFormatting>
  <conditionalFormatting sqref="E58">
    <cfRule type="expression" dxfId="277" priority="87">
      <formula>E58&lt;$D58</formula>
    </cfRule>
    <cfRule type="expression" dxfId="276" priority="88">
      <formula>E58&gt;$D58</formula>
    </cfRule>
  </conditionalFormatting>
  <conditionalFormatting sqref="F58:I58">
    <cfRule type="expression" dxfId="275" priority="85">
      <formula>F58&lt;$D58</formula>
    </cfRule>
    <cfRule type="expression" dxfId="274" priority="86">
      <formula>F58&gt;$D58</formula>
    </cfRule>
  </conditionalFormatting>
  <conditionalFormatting sqref="E59:E61">
    <cfRule type="expression" dxfId="273" priority="83">
      <formula>E59&lt;$D59</formula>
    </cfRule>
    <cfRule type="expression" dxfId="272" priority="84">
      <formula>E59&gt;$D59</formula>
    </cfRule>
  </conditionalFormatting>
  <conditionalFormatting sqref="I59:I61">
    <cfRule type="expression" dxfId="271" priority="81">
      <formula>I59&lt;$D59</formula>
    </cfRule>
    <cfRule type="expression" dxfId="270" priority="82">
      <formula>I59&gt;$D59</formula>
    </cfRule>
  </conditionalFormatting>
  <conditionalFormatting sqref="H59:H61">
    <cfRule type="expression" dxfId="269" priority="79">
      <formula>H59&lt;$D59</formula>
    </cfRule>
    <cfRule type="expression" dxfId="268" priority="80">
      <formula>H59&gt;$D59</formula>
    </cfRule>
  </conditionalFormatting>
  <conditionalFormatting sqref="E63">
    <cfRule type="expression" dxfId="267" priority="73">
      <formula>E63&lt;$D63</formula>
    </cfRule>
    <cfRule type="expression" dxfId="266" priority="74">
      <formula>E63&gt;$D63</formula>
    </cfRule>
  </conditionalFormatting>
  <conditionalFormatting sqref="F63:I63">
    <cfRule type="expression" dxfId="265" priority="71">
      <formula>F63&lt;$D63</formula>
    </cfRule>
    <cfRule type="expression" dxfId="264" priority="72">
      <formula>F63&gt;$D63</formula>
    </cfRule>
  </conditionalFormatting>
  <conditionalFormatting sqref="E64:I64">
    <cfRule type="expression" dxfId="263" priority="69">
      <formula>E64&lt;$D64</formula>
    </cfRule>
    <cfRule type="expression" dxfId="262" priority="70">
      <formula>E64&gt;$D64</formula>
    </cfRule>
  </conditionalFormatting>
  <conditionalFormatting sqref="E65">
    <cfRule type="expression" dxfId="261" priority="67">
      <formula>E65&lt;$D65</formula>
    </cfRule>
    <cfRule type="expression" dxfId="260" priority="68">
      <formula>E65&gt;$D65</formula>
    </cfRule>
  </conditionalFormatting>
  <conditionalFormatting sqref="H65:I65">
    <cfRule type="expression" dxfId="259" priority="65">
      <formula>H65&lt;$D65</formula>
    </cfRule>
    <cfRule type="expression" dxfId="258" priority="66">
      <formula>H65&gt;$D65</formula>
    </cfRule>
  </conditionalFormatting>
  <conditionalFormatting sqref="E69:G69">
    <cfRule type="expression" dxfId="257" priority="63">
      <formula>E69&lt;$D69</formula>
    </cfRule>
    <cfRule type="expression" dxfId="256" priority="64">
      <formula>E69&gt;$D69</formula>
    </cfRule>
  </conditionalFormatting>
  <conditionalFormatting sqref="E67:E68">
    <cfRule type="expression" dxfId="255" priority="61">
      <formula>E67&lt;$D67</formula>
    </cfRule>
    <cfRule type="expression" dxfId="254" priority="62">
      <formula>E67&gt;$D67</formula>
    </cfRule>
  </conditionalFormatting>
  <conditionalFormatting sqref="H67:H69">
    <cfRule type="expression" dxfId="253" priority="59">
      <formula>H67&lt;$D67</formula>
    </cfRule>
    <cfRule type="expression" dxfId="252" priority="60">
      <formula>H67&gt;$D67</formula>
    </cfRule>
  </conditionalFormatting>
  <conditionalFormatting sqref="I67:I69">
    <cfRule type="expression" dxfId="251" priority="57">
      <formula>I67&lt;$D67</formula>
    </cfRule>
    <cfRule type="expression" dxfId="250" priority="58">
      <formula>I67&gt;$D67</formula>
    </cfRule>
  </conditionalFormatting>
  <conditionalFormatting sqref="E66">
    <cfRule type="expression" dxfId="249" priority="55">
      <formula>E66&lt;$D66</formula>
    </cfRule>
    <cfRule type="expression" dxfId="248" priority="56">
      <formula>E66&gt;$D66</formula>
    </cfRule>
  </conditionalFormatting>
  <conditionalFormatting sqref="F66:I66">
    <cfRule type="expression" dxfId="247" priority="53">
      <formula>F66&lt;$D66</formula>
    </cfRule>
    <cfRule type="expression" dxfId="246" priority="54">
      <formula>F66&gt;$D66</formula>
    </cfRule>
  </conditionalFormatting>
  <conditionalFormatting sqref="E72">
    <cfRule type="expression" dxfId="245" priority="51">
      <formula>E72&lt;$D72</formula>
    </cfRule>
    <cfRule type="expression" dxfId="244" priority="52">
      <formula>E72&gt;$D72</formula>
    </cfRule>
  </conditionalFormatting>
  <conditionalFormatting sqref="F72:I72">
    <cfRule type="expression" dxfId="243" priority="49">
      <formula>F72&lt;$D72</formula>
    </cfRule>
    <cfRule type="expression" dxfId="242" priority="50">
      <formula>F72&gt;$D72</formula>
    </cfRule>
  </conditionalFormatting>
  <conditionalFormatting sqref="E73">
    <cfRule type="expression" dxfId="241" priority="47">
      <formula>E73&lt;$D73</formula>
    </cfRule>
    <cfRule type="expression" dxfId="240" priority="48">
      <formula>E73&gt;$D73</formula>
    </cfRule>
  </conditionalFormatting>
  <conditionalFormatting sqref="F73:I73">
    <cfRule type="expression" dxfId="239" priority="45">
      <formula>F73&lt;$D73</formula>
    </cfRule>
    <cfRule type="expression" dxfId="238" priority="46">
      <formula>F73&gt;$D73</formula>
    </cfRule>
  </conditionalFormatting>
  <conditionalFormatting sqref="E74">
    <cfRule type="expression" dxfId="237" priority="43">
      <formula>E74&lt;$D74</formula>
    </cfRule>
    <cfRule type="expression" dxfId="236" priority="44">
      <formula>E74&gt;$D74</formula>
    </cfRule>
  </conditionalFormatting>
  <conditionalFormatting sqref="F74:I74">
    <cfRule type="expression" dxfId="235" priority="41">
      <formula>F74&lt;$D74</formula>
    </cfRule>
    <cfRule type="expression" dxfId="234" priority="42">
      <formula>F74&gt;$D74</formula>
    </cfRule>
  </conditionalFormatting>
  <conditionalFormatting sqref="E75">
    <cfRule type="expression" dxfId="233" priority="39">
      <formula>E75&lt;$D75</formula>
    </cfRule>
    <cfRule type="expression" dxfId="232" priority="40">
      <formula>E75&gt;$D75</formula>
    </cfRule>
  </conditionalFormatting>
  <conditionalFormatting sqref="F75:I75">
    <cfRule type="expression" dxfId="231" priority="37">
      <formula>F75&lt;$D75</formula>
    </cfRule>
    <cfRule type="expression" dxfId="230" priority="38">
      <formula>F75&gt;$D75</formula>
    </cfRule>
  </conditionalFormatting>
  <conditionalFormatting sqref="E77:G77">
    <cfRule type="expression" dxfId="229" priority="35">
      <formula>E77&lt;$D77</formula>
    </cfRule>
    <cfRule type="expression" dxfId="228" priority="36">
      <formula>E77&gt;$D77</formula>
    </cfRule>
  </conditionalFormatting>
  <conditionalFormatting sqref="E78">
    <cfRule type="expression" dxfId="227" priority="29">
      <formula>E78&lt;$D78</formula>
    </cfRule>
    <cfRule type="expression" dxfId="226" priority="30">
      <formula>E78&gt;$D78</formula>
    </cfRule>
  </conditionalFormatting>
  <conditionalFormatting sqref="H77">
    <cfRule type="expression" dxfId="225" priority="27">
      <formula>H77&lt;$D77</formula>
    </cfRule>
    <cfRule type="expression" dxfId="224" priority="28">
      <formula>H77&gt;$D77</formula>
    </cfRule>
  </conditionalFormatting>
  <conditionalFormatting sqref="H78">
    <cfRule type="expression" dxfId="223" priority="25">
      <formula>H78&lt;$D78</formula>
    </cfRule>
    <cfRule type="expression" dxfId="222" priority="26">
      <formula>H78&gt;$D78</formula>
    </cfRule>
  </conditionalFormatting>
  <conditionalFormatting sqref="I77:I78">
    <cfRule type="expression" dxfId="221" priority="23">
      <formula>I77&lt;$D77</formula>
    </cfRule>
    <cfRule type="expression" dxfId="220" priority="24">
      <formula>I77&gt;$D77</formula>
    </cfRule>
  </conditionalFormatting>
  <conditionalFormatting sqref="E81">
    <cfRule type="expression" dxfId="219" priority="21">
      <formula>E81&lt;$D81</formula>
    </cfRule>
    <cfRule type="expression" dxfId="218" priority="22">
      <formula>E81&gt;$D81</formula>
    </cfRule>
  </conditionalFormatting>
  <conditionalFormatting sqref="F81:I81">
    <cfRule type="expression" dxfId="217" priority="19">
      <formula>F81&lt;$D81</formula>
    </cfRule>
    <cfRule type="expression" dxfId="216" priority="20">
      <formula>F81&gt;$D81</formula>
    </cfRule>
  </conditionalFormatting>
  <conditionalFormatting sqref="E82">
    <cfRule type="expression" dxfId="215" priority="17">
      <formula>E82&lt;$D82</formula>
    </cfRule>
    <cfRule type="expression" dxfId="214" priority="18">
      <formula>E82&gt;$D82</formula>
    </cfRule>
  </conditionalFormatting>
  <conditionalFormatting sqref="F82:I82">
    <cfRule type="expression" dxfId="213" priority="15">
      <formula>F82&lt;$D82</formula>
    </cfRule>
    <cfRule type="expression" dxfId="212" priority="16">
      <formula>F82&gt;$D82</formula>
    </cfRule>
  </conditionalFormatting>
  <conditionalFormatting sqref="E83">
    <cfRule type="expression" dxfId="211" priority="13">
      <formula>E83&lt;$D83</formula>
    </cfRule>
    <cfRule type="expression" dxfId="210" priority="14">
      <formula>E83&gt;$D83</formula>
    </cfRule>
  </conditionalFormatting>
  <conditionalFormatting sqref="F83:I83">
    <cfRule type="expression" dxfId="209" priority="11">
      <formula>F83&lt;$D83</formula>
    </cfRule>
    <cfRule type="expression" dxfId="208" priority="12">
      <formula>F83&gt;$D83</formula>
    </cfRule>
  </conditionalFormatting>
  <conditionalFormatting sqref="E84">
    <cfRule type="expression" dxfId="207" priority="9">
      <formula>E84&lt;$D84</formula>
    </cfRule>
    <cfRule type="expression" dxfId="206" priority="10">
      <formula>E84&gt;$D84</formula>
    </cfRule>
  </conditionalFormatting>
  <conditionalFormatting sqref="F84:I84">
    <cfRule type="expression" dxfId="205" priority="7">
      <formula>F84&lt;$D84</formula>
    </cfRule>
    <cfRule type="expression" dxfId="204" priority="8">
      <formula>F84&gt;$D84</formula>
    </cfRule>
  </conditionalFormatting>
  <conditionalFormatting sqref="E88:I88">
    <cfRule type="expression" dxfId="203" priority="5">
      <formula>E88&lt;$D88</formula>
    </cfRule>
    <cfRule type="expression" dxfId="202" priority="6">
      <formula>E88&gt;$D88</formula>
    </cfRule>
  </conditionalFormatting>
  <conditionalFormatting sqref="E89:I89">
    <cfRule type="expression" dxfId="201" priority="3">
      <formula>E89&lt;$D89</formula>
    </cfRule>
    <cfRule type="expression" dxfId="200" priority="4">
      <formula>E89&gt;$D89</formula>
    </cfRule>
  </conditionalFormatting>
  <conditionalFormatting sqref="E90:I90">
    <cfRule type="expression" dxfId="199" priority="1">
      <formula>E90&lt;$D90</formula>
    </cfRule>
    <cfRule type="expression" dxfId="198" priority="2">
      <formula>E90&gt;$D90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80DC62D227E241A06A23B437F65E54" ma:contentTypeVersion="2" ma:contentTypeDescription="Create a new document." ma:contentTypeScope="" ma:versionID="17061442032aa63aaa5c83ecdcabcf8e">
  <xsd:schema xmlns:xsd="http://www.w3.org/2001/XMLSchema" xmlns:xs="http://www.w3.org/2001/XMLSchema" xmlns:p="http://schemas.microsoft.com/office/2006/metadata/properties" xmlns:ns2="248278ac-8b35-4549-bcbe-7275929347ac" targetNamespace="http://schemas.microsoft.com/office/2006/metadata/properties" ma:root="true" ma:fieldsID="d0bdb4b7f9fe8f2c661e63966651a10b" ns2:_="">
    <xsd:import namespace="248278ac-8b35-4549-bcbe-7275929347ac"/>
    <xsd:element name="properties">
      <xsd:complexType>
        <xsd:sequence>
          <xsd:element name="documentManagement">
            <xsd:complexType>
              <xsd:all>
                <xsd:element ref="ns2:Order0" minOccurs="0"/>
                <xsd:element ref="ns2:Ste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8278ac-8b35-4549-bcbe-7275929347ac" elementFormDefault="qualified">
    <xsd:import namespace="http://schemas.microsoft.com/office/2006/documentManagement/types"/>
    <xsd:import namespace="http://schemas.microsoft.com/office/infopath/2007/PartnerControls"/>
    <xsd:element name="Order0" ma:index="8" nillable="true" ma:displayName="Order" ma:internalName="Order0">
      <xsd:simpleType>
        <xsd:restriction base="dms:Text">
          <xsd:maxLength value="255"/>
        </xsd:restriction>
      </xsd:simpleType>
    </xsd:element>
    <xsd:element name="Step" ma:index="9" nillable="true" ma:displayName="Step" ma:format="Dropdown" ma:internalName="Step">
      <xsd:simpleType>
        <xsd:restriction base="dms:Choice">
          <xsd:enumeration value="Step 1"/>
          <xsd:enumeration value="Step 2"/>
          <xsd:enumeration value="Step 3"/>
          <xsd:enumeration value="Step 4"/>
          <xsd:enumeration value="Step 5"/>
          <xsd:enumeration value="Step 6"/>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rder0 xmlns="248278ac-8b35-4549-bcbe-7275929347ac">4</Order0>
    <Step xmlns="248278ac-8b35-4549-bcbe-7275929347ac">Step 5</Step>
  </documentManagement>
</p:properties>
</file>

<file path=customXml/itemProps1.xml><?xml version="1.0" encoding="utf-8"?>
<ds:datastoreItem xmlns:ds="http://schemas.openxmlformats.org/officeDocument/2006/customXml" ds:itemID="{C3C2F3AB-5348-4F9B-BAD9-E86DBC5C826D}"/>
</file>

<file path=customXml/itemProps2.xml><?xml version="1.0" encoding="utf-8"?>
<ds:datastoreItem xmlns:ds="http://schemas.openxmlformats.org/officeDocument/2006/customXml" ds:itemID="{58919562-F7F4-4246-B401-7C794401F73A}"/>
</file>

<file path=customXml/itemProps3.xml><?xml version="1.0" encoding="utf-8"?>
<ds:datastoreItem xmlns:ds="http://schemas.openxmlformats.org/officeDocument/2006/customXml" ds:itemID="{DFF6EC10-4F38-4C03-81CE-CF8943777E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Front</vt:lpstr>
      <vt:lpstr>Contents</vt:lpstr>
      <vt:lpstr>Service Descriptions</vt:lpstr>
      <vt:lpstr>Summary Opex</vt:lpstr>
      <vt:lpstr>Summary Capex</vt:lpstr>
      <vt:lpstr>Summary Outputs</vt:lpstr>
      <vt:lpstr>GenAssumptions</vt:lpstr>
      <vt:lpstr>Totals and Scenarios</vt:lpstr>
      <vt:lpstr>DBE</vt:lpstr>
      <vt:lpstr>PED</vt:lpstr>
      <vt:lpstr>DISTRICT</vt:lpstr>
      <vt:lpstr>4.2.1</vt:lpstr>
      <vt:lpstr>4.2.2</vt:lpstr>
      <vt:lpstr>4.2.3</vt:lpstr>
      <vt:lpstr>4.3.1</vt:lpstr>
      <vt:lpstr>4.3.2</vt:lpstr>
      <vt:lpstr>4.3.3</vt:lpstr>
      <vt:lpstr>4.3.4</vt:lpstr>
      <vt:lpstr>Teachers</vt:lpstr>
      <vt:lpstr>Demand</vt:lpstr>
      <vt:lpstr>Sheet4</vt:lpstr>
      <vt:lpstr>Soc Dev (2)</vt:lpstr>
      <vt:lpstr>Sheet2</vt:lpstr>
      <vt:lpstr>_SD_District_Management</vt:lpstr>
      <vt:lpstr>_SD_National_Management</vt:lpstr>
      <vt:lpstr>_SD_Provincial_Management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c.2013.11.12 INSET EPR Costing Model v6a</dc:title>
  <dc:creator>CER002</dc:creator>
  <cp:lastModifiedBy>Conrad</cp:lastModifiedBy>
  <dcterms:created xsi:type="dcterms:W3CDTF">2013-06-10T07:12:01Z</dcterms:created>
  <dcterms:modified xsi:type="dcterms:W3CDTF">2013-12-01T20:17:20Z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0x010100A680DC62D227E241A06A23B437F65E54</vt:lpwstr>
  </property>
</Properties>
</file>