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worksheets/sheet19.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8.xml" ContentType="application/vnd.openxmlformats-officedocument.spreadsheetml.worksheet+xml"/>
  <Override PartName="/xl/worksheets/sheet25.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docProps/app.xml" ContentType="application/vnd.openxmlformats-officedocument.extended-properties+xml"/>
  <Override PartName="/xl/comments3.xml" ContentType="application/vnd.openxmlformats-officedocument.spreadsheetml.comment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C:\Users\Conrad\Dropbox\CER Projects\2013 projects\DPME ECD\Final Model\"/>
    </mc:Choice>
  </mc:AlternateContent>
  <bookViews>
    <workbookView xWindow="240" yWindow="255" windowWidth="11760" windowHeight="5370" firstSheet="7" activeTab="16"/>
  </bookViews>
  <sheets>
    <sheet name="Front" sheetId="28" r:id="rId1"/>
    <sheet name="Contents" sheetId="27" r:id="rId2"/>
    <sheet name="Service Descriptions" sheetId="26" r:id="rId3"/>
    <sheet name="Summary Opex" sheetId="7" r:id="rId4"/>
    <sheet name="Summary Capex" sheetId="25" r:id="rId5"/>
    <sheet name="Summary Outputs" sheetId="24" r:id="rId6"/>
    <sheet name="Summary Personnel" sheetId="29" r:id="rId7"/>
    <sheet name="4.1.1" sheetId="1" r:id="rId8"/>
    <sheet name="4.1.2" sheetId="8" r:id="rId9"/>
    <sheet name="4.1.3" sheetId="9" r:id="rId10"/>
    <sheet name="4.1.4" sheetId="10" r:id="rId11"/>
    <sheet name="4.1.5" sheetId="11" r:id="rId12"/>
    <sheet name="4.1.6" sheetId="12" r:id="rId13"/>
    <sheet name="4.1.7" sheetId="13" r:id="rId14"/>
    <sheet name="4.1.8" sheetId="14" r:id="rId15"/>
    <sheet name="4.1.9" sheetId="15" r:id="rId16"/>
    <sheet name="4.1.10" sheetId="16" r:id="rId17"/>
    <sheet name="4.2.1" sheetId="2" r:id="rId18"/>
    <sheet name="4.2.2" sheetId="17" r:id="rId19"/>
    <sheet name="4.2.3" sheetId="18" r:id="rId20"/>
    <sheet name="4.3.1" sheetId="3" r:id="rId21"/>
    <sheet name="4.3.2" sheetId="19" r:id="rId22"/>
    <sheet name="4.3.3" sheetId="20" r:id="rId23"/>
    <sheet name="4.3.4" sheetId="21" r:id="rId24"/>
    <sheet name="Population" sheetId="22" r:id="rId25"/>
    <sheet name="IES" sheetId="23" r:id="rId26"/>
    <sheet name="Sheet1" sheetId="5" state="hidden" r:id="rId27"/>
    <sheet name="Sheet4" sheetId="4" state="hidden" r:id="rId28"/>
    <sheet name="Soc Dev (2)" sheetId="6" state="hidden" r:id="rId29"/>
  </sheets>
  <definedNames>
    <definedName name="_Toc357873800" localSheetId="2">'Service Descriptions'!$B$48</definedName>
    <definedName name="_Toc357873805" localSheetId="2">'Service Descriptions'!$B$106</definedName>
    <definedName name="_Toc357873810" localSheetId="2">'Service Descriptions'!$B$131</definedName>
    <definedName name="_Toc357873818" localSheetId="2">'Service Descriptions'!$B$187</definedName>
    <definedName name="_Toc357873819" localSheetId="2">'Service Descriptions'!$B$190</definedName>
    <definedName name="Age_Quin_Matrix">Population!$B$136:$E$141</definedName>
    <definedName name="birth_occurences2013">'4.3.2'!$C$42</definedName>
    <definedName name="ECD_centres_subsidised">'4.1.3'!$C$31</definedName>
    <definedName name="ECD_Facilities">'4.1.1'!$C$46</definedName>
    <definedName name="ECD_Facilities_registered">'4.1.2'!$C$9</definedName>
    <definedName name="_xlnm.Print_Area" localSheetId="20">'4.3.1'!$A$1:$E$30</definedName>
    <definedName name="_xlnm.Print_Area" localSheetId="22">'4.3.3'!$A$1:$E$22</definedName>
    <definedName name="_xlnm.Print_Area" localSheetId="23">'4.3.4'!$A$1:$E$45</definedName>
    <definedName name="Q_0to4_split_by4">Population!$B$62:$C$66</definedName>
    <definedName name="Q_0to5">Population!$B$34:$C$38</definedName>
    <definedName name="Q_2to5">Population!$B$48:$C$52</definedName>
    <definedName name="Q_2to6">Population!$B$55:$C$59</definedName>
    <definedName name="Q_3to5">Population!$B$41:$C$45</definedName>
    <definedName name="Subsidy_tgt_grp">Population!$F$136:$I$141</definedName>
  </definedNames>
  <calcPr calcId="162913"/>
</workbook>
</file>

<file path=xl/calcChain.xml><?xml version="1.0" encoding="utf-8"?>
<calcChain xmlns="http://schemas.openxmlformats.org/spreadsheetml/2006/main">
  <c r="C40" i="29" l="1"/>
  <c r="C33" i="29"/>
  <c r="C31" i="29"/>
  <c r="C30" i="29"/>
  <c r="C28" i="29"/>
  <c r="C27" i="29"/>
  <c r="C25" i="29"/>
  <c r="C16" i="29"/>
  <c r="C17" i="29"/>
  <c r="C18" i="29"/>
  <c r="C15" i="29"/>
  <c r="C19" i="29"/>
  <c r="C13" i="29"/>
  <c r="C12" i="29"/>
  <c r="C7" i="29"/>
  <c r="C5" i="29"/>
  <c r="C10" i="29"/>
  <c r="C44" i="29"/>
  <c r="C43" i="29"/>
  <c r="C49" i="24" l="1"/>
  <c r="G114" i="19"/>
  <c r="G113" i="19"/>
  <c r="D105" i="19"/>
  <c r="E105" i="19"/>
  <c r="C105" i="19"/>
  <c r="G107" i="19"/>
  <c r="D101" i="19"/>
  <c r="E101" i="19"/>
  <c r="C101" i="19"/>
  <c r="C117" i="19"/>
  <c r="C22" i="24" l="1"/>
  <c r="C29" i="24" l="1"/>
  <c r="C9" i="14"/>
  <c r="D29" i="24" s="1"/>
  <c r="D9" i="14"/>
  <c r="E29" i="24" s="1"/>
  <c r="E9" i="14"/>
  <c r="F29" i="24" s="1"/>
  <c r="C50" i="24" l="1"/>
  <c r="H20" i="7"/>
  <c r="C7" i="12"/>
  <c r="C6" i="19"/>
  <c r="D6" i="18"/>
  <c r="E6" i="18"/>
  <c r="C6" i="18"/>
  <c r="D7" i="12"/>
  <c r="I20" i="7" s="1"/>
  <c r="E7" i="12"/>
  <c r="J20" i="7" s="1"/>
  <c r="D21" i="11"/>
  <c r="I19" i="7" s="1"/>
  <c r="E21" i="11"/>
  <c r="J19" i="7" s="1"/>
  <c r="J17" i="7" s="1"/>
  <c r="C21" i="11"/>
  <c r="H19" i="7" s="1"/>
  <c r="D14" i="11"/>
  <c r="I18" i="7" s="1"/>
  <c r="E14" i="11"/>
  <c r="J18" i="7" s="1"/>
  <c r="C14" i="11"/>
  <c r="H18" i="7" s="1"/>
  <c r="C6" i="11"/>
  <c r="D6" i="10"/>
  <c r="E6" i="10"/>
  <c r="C6" i="10"/>
  <c r="D6" i="9"/>
  <c r="E6" i="9"/>
  <c r="C6" i="9"/>
  <c r="H17" i="7" l="1"/>
  <c r="I17" i="7"/>
  <c r="C59" i="24"/>
  <c r="C58" i="24"/>
  <c r="C56" i="24"/>
  <c r="C54" i="24"/>
  <c r="C53" i="24"/>
  <c r="C51" i="24"/>
  <c r="C45" i="24"/>
  <c r="C46" i="24"/>
  <c r="C44" i="24"/>
  <c r="C42" i="24"/>
  <c r="C40" i="24"/>
  <c r="C39" i="24"/>
  <c r="C35" i="24"/>
  <c r="C36" i="24"/>
  <c r="C34" i="24"/>
  <c r="C32" i="24"/>
  <c r="C30" i="24"/>
  <c r="C27" i="24"/>
  <c r="C24" i="24"/>
  <c r="C25" i="24"/>
  <c r="C23" i="24"/>
  <c r="C19" i="24"/>
  <c r="C20" i="24"/>
  <c r="C18" i="24"/>
  <c r="C15" i="24"/>
  <c r="C16" i="24"/>
  <c r="C14" i="24"/>
  <c r="C11" i="24"/>
  <c r="C12" i="24"/>
  <c r="C10" i="24"/>
  <c r="C8" i="24"/>
  <c r="C6" i="24"/>
  <c r="C5" i="24"/>
  <c r="E8" i="25"/>
  <c r="F4" i="25"/>
  <c r="E4" i="25"/>
  <c r="D4" i="25"/>
  <c r="E18" i="7"/>
  <c r="F18" i="7"/>
  <c r="E19" i="7"/>
  <c r="E17" i="7" s="1"/>
  <c r="F19" i="7"/>
  <c r="E20" i="7"/>
  <c r="F20" i="7"/>
  <c r="D20" i="7"/>
  <c r="D19" i="7"/>
  <c r="D18" i="7"/>
  <c r="D17" i="7" s="1"/>
  <c r="D60" i="11"/>
  <c r="E60" i="11"/>
  <c r="C60" i="11"/>
  <c r="D91" i="16"/>
  <c r="D22" i="16" s="1"/>
  <c r="E91" i="16"/>
  <c r="E22" i="16" s="1"/>
  <c r="D93" i="16"/>
  <c r="E93" i="16"/>
  <c r="D95" i="16"/>
  <c r="E95" i="16"/>
  <c r="D99" i="16"/>
  <c r="D21" i="16" s="1"/>
  <c r="E99" i="16"/>
  <c r="E21" i="16" s="1"/>
  <c r="D86" i="15"/>
  <c r="E86" i="15"/>
  <c r="E92" i="15"/>
  <c r="D4" i="14"/>
  <c r="E4" i="14"/>
  <c r="D5" i="14"/>
  <c r="E5" i="14"/>
  <c r="D10" i="14"/>
  <c r="E10" i="14"/>
  <c r="E86" i="14" s="1"/>
  <c r="D87" i="14"/>
  <c r="E87" i="14"/>
  <c r="D4" i="13"/>
  <c r="E4" i="13"/>
  <c r="D5" i="13"/>
  <c r="E5" i="13"/>
  <c r="D3" i="11"/>
  <c r="E3" i="11"/>
  <c r="D6" i="11"/>
  <c r="E6" i="11"/>
  <c r="D4" i="10"/>
  <c r="E4" i="10"/>
  <c r="D4" i="9"/>
  <c r="E4" i="9"/>
  <c r="D6" i="1"/>
  <c r="E6" i="1"/>
  <c r="D10" i="18"/>
  <c r="D14" i="18" s="1"/>
  <c r="I29" i="7" s="1"/>
  <c r="E10" i="18"/>
  <c r="E14" i="18" s="1"/>
  <c r="J29" i="7" s="1"/>
  <c r="D19" i="18"/>
  <c r="E19" i="18"/>
  <c r="D45" i="18"/>
  <c r="E45" i="18"/>
  <c r="D64" i="18"/>
  <c r="E64" i="18"/>
  <c r="D65" i="18"/>
  <c r="D18" i="18" s="1"/>
  <c r="E30" i="25" s="1"/>
  <c r="E65" i="18"/>
  <c r="E18" i="18" s="1"/>
  <c r="F30" i="25" s="1"/>
  <c r="D5" i="17"/>
  <c r="E5" i="17"/>
  <c r="D5" i="2"/>
  <c r="E5" i="2"/>
  <c r="D6" i="21"/>
  <c r="E6" i="21"/>
  <c r="D30" i="21"/>
  <c r="E30" i="21"/>
  <c r="D96" i="21"/>
  <c r="E96" i="21"/>
  <c r="D97" i="21"/>
  <c r="E97" i="21"/>
  <c r="D98" i="21"/>
  <c r="E98" i="21"/>
  <c r="D99" i="21"/>
  <c r="E99" i="21"/>
  <c r="D100" i="21"/>
  <c r="E100" i="21"/>
  <c r="D80" i="20"/>
  <c r="D81" i="20" s="1"/>
  <c r="D84" i="20" s="1"/>
  <c r="E80" i="20"/>
  <c r="E81" i="20" s="1"/>
  <c r="D6" i="19"/>
  <c r="E6" i="19"/>
  <c r="D98" i="19"/>
  <c r="E98" i="19"/>
  <c r="D99" i="19"/>
  <c r="D114" i="19" s="1"/>
  <c r="E99" i="19"/>
  <c r="E126" i="19" s="1"/>
  <c r="D109" i="19"/>
  <c r="E109" i="19"/>
  <c r="D117" i="19"/>
  <c r="E117" i="19"/>
  <c r="C99" i="16"/>
  <c r="C91" i="16"/>
  <c r="C22" i="16" s="1"/>
  <c r="E84" i="14" l="1"/>
  <c r="E9" i="15"/>
  <c r="F32" i="24" s="1"/>
  <c r="E24" i="15"/>
  <c r="F31" i="29" s="1"/>
  <c r="E23" i="15"/>
  <c r="D23" i="15"/>
  <c r="D24" i="15"/>
  <c r="E31" i="29" s="1"/>
  <c r="F29" i="7"/>
  <c r="E29" i="7"/>
  <c r="F30" i="24"/>
  <c r="E24" i="14"/>
  <c r="F27" i="29" s="1"/>
  <c r="E25" i="14"/>
  <c r="F28" i="29" s="1"/>
  <c r="D84" i="14"/>
  <c r="D24" i="14"/>
  <c r="E27" i="29" s="1"/>
  <c r="D25" i="14"/>
  <c r="E28" i="29" s="1"/>
  <c r="E102" i="19"/>
  <c r="E103" i="19" s="1"/>
  <c r="E106" i="19"/>
  <c r="E107" i="19" s="1"/>
  <c r="D8" i="25"/>
  <c r="D102" i="19"/>
  <c r="D103" i="19" s="1"/>
  <c r="D106" i="19"/>
  <c r="D107" i="19" s="1"/>
  <c r="C21" i="16"/>
  <c r="C116" i="16"/>
  <c r="F8" i="25"/>
  <c r="E30" i="24"/>
  <c r="D126" i="19"/>
  <c r="D127" i="19" s="1"/>
  <c r="D128" i="19" s="1"/>
  <c r="D103" i="21"/>
  <c r="E96" i="16"/>
  <c r="E20" i="16" s="1"/>
  <c r="D92" i="15"/>
  <c r="D89" i="15"/>
  <c r="D5" i="15" s="1"/>
  <c r="I23" i="25" s="1"/>
  <c r="E88" i="15"/>
  <c r="E4" i="15" s="1"/>
  <c r="F23" i="25" s="1"/>
  <c r="E85" i="14"/>
  <c r="E3" i="14" s="1"/>
  <c r="E7" i="14" s="1"/>
  <c r="J22" i="7" s="1"/>
  <c r="F17" i="7"/>
  <c r="D110" i="19"/>
  <c r="D111" i="19" s="1"/>
  <c r="D85" i="14"/>
  <c r="E93" i="15"/>
  <c r="E89" i="15"/>
  <c r="E5" i="15" s="1"/>
  <c r="J23" i="25" s="1"/>
  <c r="E37" i="19"/>
  <c r="E118" i="19"/>
  <c r="E113" i="19"/>
  <c r="E127" i="19"/>
  <c r="E128" i="19" s="1"/>
  <c r="E21" i="3"/>
  <c r="E26" i="3" s="1"/>
  <c r="D118" i="19"/>
  <c r="D113" i="19"/>
  <c r="E114" i="19"/>
  <c r="E110" i="19"/>
  <c r="E111" i="19" s="1"/>
  <c r="D37" i="19"/>
  <c r="D85" i="20"/>
  <c r="D90" i="20" s="1"/>
  <c r="D96" i="16"/>
  <c r="D102" i="16" s="1"/>
  <c r="E102" i="16"/>
  <c r="E103" i="16" s="1"/>
  <c r="E104" i="16" s="1"/>
  <c r="D9" i="15"/>
  <c r="E32" i="24" s="1"/>
  <c r="D93" i="15"/>
  <c r="D88" i="15"/>
  <c r="D4" i="15" s="1"/>
  <c r="E23" i="25" s="1"/>
  <c r="D86" i="14"/>
  <c r="E103" i="21"/>
  <c r="D89" i="20"/>
  <c r="E85" i="20"/>
  <c r="E90" i="20" s="1"/>
  <c r="E84" i="20"/>
  <c r="E86" i="20"/>
  <c r="E91" i="20" s="1"/>
  <c r="D86" i="20"/>
  <c r="D91" i="20" s="1"/>
  <c r="C93" i="16"/>
  <c r="C3" i="11"/>
  <c r="C4" i="9"/>
  <c r="B1" i="21"/>
  <c r="B1" i="20"/>
  <c r="B1" i="19"/>
  <c r="B1" i="3"/>
  <c r="B1" i="10"/>
  <c r="B1" i="8"/>
  <c r="B1" i="1"/>
  <c r="C65" i="18"/>
  <c r="C18" i="18" s="1"/>
  <c r="D30" i="25" s="1"/>
  <c r="C64" i="18"/>
  <c r="C10" i="18"/>
  <c r="C19" i="18"/>
  <c r="B1" i="18"/>
  <c r="C5" i="17"/>
  <c r="B1" i="17"/>
  <c r="C5" i="2"/>
  <c r="B1" i="2"/>
  <c r="B1" i="16"/>
  <c r="C95" i="16"/>
  <c r="C86" i="15"/>
  <c r="B1" i="15"/>
  <c r="C87" i="14"/>
  <c r="C10" i="14"/>
  <c r="C5" i="14"/>
  <c r="C4" i="14"/>
  <c r="B1" i="14"/>
  <c r="B1" i="12"/>
  <c r="B1" i="11"/>
  <c r="B1" i="13"/>
  <c r="C5" i="13"/>
  <c r="C4" i="13"/>
  <c r="B20" i="12"/>
  <c r="C4" i="10"/>
  <c r="B1" i="9"/>
  <c r="C6" i="1"/>
  <c r="F30" i="29" l="1"/>
  <c r="E91" i="15"/>
  <c r="D112" i="16"/>
  <c r="D108" i="16" s="1"/>
  <c r="E9" i="16"/>
  <c r="E35" i="16"/>
  <c r="F33" i="29" s="1"/>
  <c r="C24" i="15"/>
  <c r="D31" i="29" s="1"/>
  <c r="C23" i="15"/>
  <c r="C25" i="14"/>
  <c r="D28" i="29" s="1"/>
  <c r="C24" i="14"/>
  <c r="D27" i="29" s="1"/>
  <c r="C14" i="18"/>
  <c r="H29" i="7" s="1"/>
  <c r="D29" i="7"/>
  <c r="E11" i="16"/>
  <c r="F36" i="24" s="1"/>
  <c r="E30" i="29"/>
  <c r="D91" i="15"/>
  <c r="D21" i="3"/>
  <c r="D26" i="3" s="1"/>
  <c r="E10" i="19"/>
  <c r="D10" i="19"/>
  <c r="D14" i="19" s="1"/>
  <c r="I36" i="7" s="1"/>
  <c r="F53" i="24"/>
  <c r="E53" i="24"/>
  <c r="D20" i="16"/>
  <c r="E112" i="16"/>
  <c r="E108" i="16" s="1"/>
  <c r="E120" i="19"/>
  <c r="E20" i="3"/>
  <c r="E25" i="3" s="1"/>
  <c r="D119" i="19"/>
  <c r="D121" i="19" s="1"/>
  <c r="D20" i="3"/>
  <c r="D25" i="3" s="1"/>
  <c r="D9" i="3" s="1"/>
  <c r="D122" i="19"/>
  <c r="D120" i="19"/>
  <c r="E3" i="15"/>
  <c r="E2" i="15" s="1"/>
  <c r="D3" i="15"/>
  <c r="F22" i="7"/>
  <c r="E2" i="14"/>
  <c r="E10" i="16"/>
  <c r="F35" i="24" s="1"/>
  <c r="F34" i="24"/>
  <c r="C85" i="14"/>
  <c r="D30" i="24"/>
  <c r="D3" i="14"/>
  <c r="D2" i="14" s="1"/>
  <c r="F41" i="25"/>
  <c r="E119" i="19"/>
  <c r="E121" i="19" s="1"/>
  <c r="E122" i="19"/>
  <c r="E107" i="16"/>
  <c r="E113" i="16"/>
  <c r="E111" i="16"/>
  <c r="D103" i="16"/>
  <c r="D104" i="16" s="1"/>
  <c r="D107" i="16"/>
  <c r="D111" i="16"/>
  <c r="D113" i="16"/>
  <c r="C96" i="16"/>
  <c r="C92" i="15"/>
  <c r="C9" i="15"/>
  <c r="D32" i="24" s="1"/>
  <c r="C93" i="15"/>
  <c r="C89" i="15"/>
  <c r="C5" i="15" s="1"/>
  <c r="H23" i="25" s="1"/>
  <c r="C88" i="15"/>
  <c r="C4" i="15" s="1"/>
  <c r="D23" i="25" s="1"/>
  <c r="C86" i="14"/>
  <c r="D3" i="20"/>
  <c r="D9" i="20"/>
  <c r="E9" i="20"/>
  <c r="E89" i="20"/>
  <c r="E3" i="20" s="1"/>
  <c r="C84" i="14"/>
  <c r="C6" i="21"/>
  <c r="C100" i="21"/>
  <c r="C97" i="21"/>
  <c r="C98" i="21"/>
  <c r="C99" i="21"/>
  <c r="C96" i="21"/>
  <c r="D11" i="16" l="1"/>
  <c r="E36" i="24" s="1"/>
  <c r="D35" i="16"/>
  <c r="E33" i="29" s="1"/>
  <c r="C3" i="14"/>
  <c r="C7" i="14" s="1"/>
  <c r="H22" i="7" s="1"/>
  <c r="D30" i="29"/>
  <c r="C91" i="15"/>
  <c r="C3" i="15" s="1"/>
  <c r="C7" i="15" s="1"/>
  <c r="H23" i="7" s="1"/>
  <c r="E56" i="24"/>
  <c r="F56" i="24"/>
  <c r="E49" i="24"/>
  <c r="E43" i="29"/>
  <c r="C117" i="16"/>
  <c r="C118" i="16" s="1"/>
  <c r="C119" i="16" s="1"/>
  <c r="C112" i="16"/>
  <c r="C108" i="16" s="1"/>
  <c r="D9" i="16"/>
  <c r="E34" i="24" s="1"/>
  <c r="E3" i="16"/>
  <c r="F24" i="7" s="1"/>
  <c r="D17" i="19"/>
  <c r="D21" i="19" s="1"/>
  <c r="I37" i="7" s="1"/>
  <c r="E9" i="3"/>
  <c r="E22" i="7"/>
  <c r="D7" i="14"/>
  <c r="I22" i="7" s="1"/>
  <c r="E36" i="7"/>
  <c r="D2" i="20"/>
  <c r="D7" i="20"/>
  <c r="I40" i="7" s="1"/>
  <c r="E7" i="20"/>
  <c r="J40" i="7" s="1"/>
  <c r="E2" i="20"/>
  <c r="D9" i="19"/>
  <c r="E23" i="7"/>
  <c r="D7" i="15"/>
  <c r="I23" i="7" s="1"/>
  <c r="F23" i="7"/>
  <c r="E7" i="15"/>
  <c r="J23" i="7" s="1"/>
  <c r="E9" i="19"/>
  <c r="E14" i="19"/>
  <c r="J36" i="7" s="1"/>
  <c r="F36" i="7"/>
  <c r="D2" i="15"/>
  <c r="E4" i="16"/>
  <c r="D10" i="16"/>
  <c r="E35" i="24" s="1"/>
  <c r="E40" i="7"/>
  <c r="E17" i="19"/>
  <c r="E21" i="19" s="1"/>
  <c r="J37" i="7" s="1"/>
  <c r="E35" i="25"/>
  <c r="F40" i="7"/>
  <c r="E41" i="25"/>
  <c r="E5" i="16"/>
  <c r="J24" i="25" s="1"/>
  <c r="D3" i="16"/>
  <c r="D5" i="16"/>
  <c r="I24" i="25" s="1"/>
  <c r="D4" i="16"/>
  <c r="E24" i="25" s="1"/>
  <c r="C20" i="16"/>
  <c r="C35" i="16" s="1"/>
  <c r="D33" i="29" s="1"/>
  <c r="C102" i="16"/>
  <c r="C111" i="16" s="1"/>
  <c r="C109" i="19"/>
  <c r="C99" i="19"/>
  <c r="C114" i="19" s="1"/>
  <c r="C98" i="19"/>
  <c r="C80" i="20"/>
  <c r="C81" i="20" s="1"/>
  <c r="C2" i="14" l="1"/>
  <c r="D22" i="7"/>
  <c r="E2" i="16"/>
  <c r="C113" i="19"/>
  <c r="C106" i="19"/>
  <c r="C107" i="19" s="1"/>
  <c r="F49" i="24"/>
  <c r="F43" i="29"/>
  <c r="E7" i="16"/>
  <c r="J24" i="7" s="1"/>
  <c r="F24" i="25"/>
  <c r="E24" i="7"/>
  <c r="D7" i="16"/>
  <c r="I24" i="7" s="1"/>
  <c r="C102" i="19"/>
  <c r="C103" i="19" s="1"/>
  <c r="C37" i="19"/>
  <c r="C118" i="19"/>
  <c r="C20" i="3" s="1"/>
  <c r="C25" i="3" s="1"/>
  <c r="C9" i="3" s="1"/>
  <c r="E37" i="7"/>
  <c r="D16" i="19"/>
  <c r="D7" i="11"/>
  <c r="C2" i="15"/>
  <c r="D23" i="7"/>
  <c r="E16" i="19"/>
  <c r="F35" i="25"/>
  <c r="F33" i="25" s="1"/>
  <c r="F37" i="7"/>
  <c r="E33" i="25"/>
  <c r="D2" i="16"/>
  <c r="C113" i="16"/>
  <c r="C4" i="16" s="1"/>
  <c r="D24" i="25" s="1"/>
  <c r="C107" i="16"/>
  <c r="C103" i="16"/>
  <c r="C104" i="16" s="1"/>
  <c r="C11" i="16"/>
  <c r="D36" i="24" s="1"/>
  <c r="C9" i="16"/>
  <c r="C126" i="19"/>
  <c r="C5" i="16"/>
  <c r="H24" i="25" s="1"/>
  <c r="C110" i="19"/>
  <c r="C111" i="19" s="1"/>
  <c r="C85" i="20"/>
  <c r="C90" i="20" s="1"/>
  <c r="C84" i="20"/>
  <c r="C86" i="20"/>
  <c r="C91" i="20" s="1"/>
  <c r="D11" i="4"/>
  <c r="C10" i="19" l="1"/>
  <c r="C14" i="19" s="1"/>
  <c r="H36" i="7" s="1"/>
  <c r="D53" i="24"/>
  <c r="D49" i="24"/>
  <c r="D43" i="29"/>
  <c r="C10" i="16"/>
  <c r="D35" i="24" s="1"/>
  <c r="D34" i="24"/>
  <c r="C3" i="16"/>
  <c r="C7" i="16" s="1"/>
  <c r="H24" i="7" s="1"/>
  <c r="C89" i="20"/>
  <c r="C3" i="20" s="1"/>
  <c r="C9" i="20"/>
  <c r="C127" i="19"/>
  <c r="C128" i="19" s="1"/>
  <c r="C122" i="19"/>
  <c r="C120" i="19"/>
  <c r="C119" i="19"/>
  <c r="C121" i="19" s="1"/>
  <c r="C21" i="3"/>
  <c r="C26" i="3" s="1"/>
  <c r="C30" i="21"/>
  <c r="L127" i="22"/>
  <c r="K127" i="22"/>
  <c r="J127" i="22"/>
  <c r="I127" i="22"/>
  <c r="H127" i="22"/>
  <c r="G127" i="22"/>
  <c r="F127" i="22"/>
  <c r="E127" i="22"/>
  <c r="D127" i="22"/>
  <c r="L126" i="22"/>
  <c r="K126" i="22"/>
  <c r="J126" i="22"/>
  <c r="I126" i="22"/>
  <c r="H126" i="22"/>
  <c r="G126" i="22"/>
  <c r="F126" i="22"/>
  <c r="E126" i="22"/>
  <c r="D126" i="22"/>
  <c r="L125" i="22"/>
  <c r="K125" i="22"/>
  <c r="J125" i="22"/>
  <c r="I125" i="22"/>
  <c r="H125" i="22"/>
  <c r="G125" i="22"/>
  <c r="F125" i="22"/>
  <c r="E125" i="22"/>
  <c r="D125" i="22"/>
  <c r="L124" i="22"/>
  <c r="K124" i="22"/>
  <c r="J124" i="22"/>
  <c r="I124" i="22"/>
  <c r="H124" i="22"/>
  <c r="G124" i="22"/>
  <c r="F124" i="22"/>
  <c r="E124" i="22"/>
  <c r="D124" i="22"/>
  <c r="L123" i="22"/>
  <c r="K123" i="22"/>
  <c r="J123" i="22"/>
  <c r="I123" i="22"/>
  <c r="H123" i="22"/>
  <c r="G123" i="22"/>
  <c r="F123" i="22"/>
  <c r="E123" i="22"/>
  <c r="D123" i="22"/>
  <c r="L122" i="22"/>
  <c r="K122" i="22"/>
  <c r="J122" i="22"/>
  <c r="I122" i="22"/>
  <c r="H122" i="22"/>
  <c r="G122" i="22"/>
  <c r="F122" i="22"/>
  <c r="E122" i="22"/>
  <c r="D122" i="22"/>
  <c r="L121" i="22"/>
  <c r="K121" i="22"/>
  <c r="J121" i="22"/>
  <c r="I121" i="22"/>
  <c r="H121" i="22"/>
  <c r="G121" i="22"/>
  <c r="F121" i="22"/>
  <c r="E121" i="22"/>
  <c r="D121" i="22"/>
  <c r="L120" i="22"/>
  <c r="K120" i="22"/>
  <c r="J120" i="22"/>
  <c r="I120" i="22"/>
  <c r="H120" i="22"/>
  <c r="G120" i="22"/>
  <c r="F120" i="22"/>
  <c r="E120" i="22"/>
  <c r="D120" i="22"/>
  <c r="L119" i="22"/>
  <c r="K119" i="22"/>
  <c r="J119" i="22"/>
  <c r="I119" i="22"/>
  <c r="H119" i="22"/>
  <c r="G119" i="22"/>
  <c r="F119" i="22"/>
  <c r="E119" i="22"/>
  <c r="D119" i="22"/>
  <c r="L118" i="22"/>
  <c r="K118" i="22"/>
  <c r="J118" i="22"/>
  <c r="I118" i="22"/>
  <c r="H118" i="22"/>
  <c r="G118" i="22"/>
  <c r="F118" i="22"/>
  <c r="E118" i="22"/>
  <c r="D118" i="22"/>
  <c r="L117" i="22"/>
  <c r="K117" i="22"/>
  <c r="J117" i="22"/>
  <c r="I117" i="22"/>
  <c r="H117" i="22"/>
  <c r="G117" i="22"/>
  <c r="F117" i="22"/>
  <c r="E117" i="22"/>
  <c r="D117" i="22"/>
  <c r="L116" i="22"/>
  <c r="K116" i="22"/>
  <c r="J116" i="22"/>
  <c r="I116" i="22"/>
  <c r="H116" i="22"/>
  <c r="G116" i="22"/>
  <c r="F116" i="22"/>
  <c r="E116" i="22"/>
  <c r="D116" i="22"/>
  <c r="L115" i="22"/>
  <c r="K115" i="22"/>
  <c r="J115" i="22"/>
  <c r="I115" i="22"/>
  <c r="H115" i="22"/>
  <c r="G115" i="22"/>
  <c r="F115" i="22"/>
  <c r="E115" i="22"/>
  <c r="D115" i="22"/>
  <c r="L114" i="22"/>
  <c r="K114" i="22"/>
  <c r="J114" i="22"/>
  <c r="I114" i="22"/>
  <c r="H114" i="22"/>
  <c r="G114" i="22"/>
  <c r="F114" i="22"/>
  <c r="E114" i="22"/>
  <c r="D114" i="22"/>
  <c r="L113" i="22"/>
  <c r="K113" i="22"/>
  <c r="J113" i="22"/>
  <c r="I113" i="22"/>
  <c r="H113" i="22"/>
  <c r="G113" i="22"/>
  <c r="F113" i="22"/>
  <c r="E113" i="22"/>
  <c r="D113" i="22"/>
  <c r="L112" i="22"/>
  <c r="L5" i="22" s="1"/>
  <c r="L27" i="22" s="1"/>
  <c r="K112" i="22"/>
  <c r="K8" i="22" s="1"/>
  <c r="K28" i="22" s="1"/>
  <c r="J112" i="22"/>
  <c r="I112" i="22"/>
  <c r="I5" i="22" s="1"/>
  <c r="I27" i="22" s="1"/>
  <c r="H112" i="22"/>
  <c r="H8" i="22" s="1"/>
  <c r="H28" i="22" s="1"/>
  <c r="G112" i="22"/>
  <c r="G5" i="22" s="1"/>
  <c r="G27" i="22" s="1"/>
  <c r="F112" i="22"/>
  <c r="E112" i="22"/>
  <c r="E8" i="22" s="1"/>
  <c r="E28" i="22" s="1"/>
  <c r="D112" i="22"/>
  <c r="D17" i="22" s="1"/>
  <c r="D31" i="22" s="1"/>
  <c r="L111" i="22"/>
  <c r="K111" i="22"/>
  <c r="K10" i="22" s="1"/>
  <c r="K22" i="22" s="1"/>
  <c r="J111" i="22"/>
  <c r="J13" i="22" s="1"/>
  <c r="J23" i="22" s="1"/>
  <c r="I111" i="22"/>
  <c r="I4" i="22" s="1"/>
  <c r="I20" i="22" s="1"/>
  <c r="H111" i="22"/>
  <c r="G111" i="22"/>
  <c r="G13" i="22" s="1"/>
  <c r="G23" i="22" s="1"/>
  <c r="F111" i="22"/>
  <c r="F10" i="22" s="1"/>
  <c r="F22" i="22" s="1"/>
  <c r="E111" i="22"/>
  <c r="E10" i="22" s="1"/>
  <c r="E22" i="22" s="1"/>
  <c r="D111" i="22"/>
  <c r="D4" i="22" s="1"/>
  <c r="D20" i="22" s="1"/>
  <c r="M108" i="22"/>
  <c r="M107" i="22"/>
  <c r="M106" i="22"/>
  <c r="M105" i="22"/>
  <c r="M104" i="22"/>
  <c r="M103" i="22"/>
  <c r="M102" i="22"/>
  <c r="M101" i="22"/>
  <c r="M100" i="22"/>
  <c r="M99" i="22"/>
  <c r="M98" i="22"/>
  <c r="M97" i="22"/>
  <c r="M96" i="22"/>
  <c r="M95" i="22"/>
  <c r="M94" i="22"/>
  <c r="M93" i="22"/>
  <c r="M92" i="22"/>
  <c r="M91" i="22"/>
  <c r="M90" i="22"/>
  <c r="M89" i="22"/>
  <c r="M88" i="22"/>
  <c r="M87" i="22"/>
  <c r="M86" i="22"/>
  <c r="M85" i="22"/>
  <c r="M84" i="22"/>
  <c r="M83" i="22"/>
  <c r="M82" i="22"/>
  <c r="M81" i="22"/>
  <c r="M80" i="22"/>
  <c r="M79" i="22"/>
  <c r="M78" i="22"/>
  <c r="M77" i="22"/>
  <c r="M76" i="22"/>
  <c r="M75" i="22"/>
  <c r="L17" i="22"/>
  <c r="L31" i="22" s="1"/>
  <c r="K17" i="22"/>
  <c r="K31" i="22" s="1"/>
  <c r="E17" i="22"/>
  <c r="E31" i="22" s="1"/>
  <c r="I16" i="22"/>
  <c r="I24" i="22" s="1"/>
  <c r="G16" i="22"/>
  <c r="G24" i="22" s="1"/>
  <c r="F16" i="22"/>
  <c r="F24" i="22" s="1"/>
  <c r="L14" i="22"/>
  <c r="L30" i="22" s="1"/>
  <c r="K14" i="22"/>
  <c r="K30" i="22" s="1"/>
  <c r="E14" i="22"/>
  <c r="E30" i="22" s="1"/>
  <c r="K13" i="22"/>
  <c r="K23" i="22" s="1"/>
  <c r="K51" i="22" s="1"/>
  <c r="I13" i="22"/>
  <c r="I23" i="22" s="1"/>
  <c r="F13" i="22"/>
  <c r="F23" i="22" s="1"/>
  <c r="L11" i="22"/>
  <c r="L29" i="22" s="1"/>
  <c r="K11" i="22"/>
  <c r="K29" i="22" s="1"/>
  <c r="E11" i="22"/>
  <c r="E29" i="22" s="1"/>
  <c r="I10" i="22"/>
  <c r="I22" i="22" s="1"/>
  <c r="I8" i="22"/>
  <c r="I28" i="22" s="1"/>
  <c r="D8" i="22"/>
  <c r="D28" i="22" s="1"/>
  <c r="F7" i="22"/>
  <c r="F21" i="22" s="1"/>
  <c r="E7" i="22"/>
  <c r="E21" i="22" s="1"/>
  <c r="H5" i="22"/>
  <c r="H27" i="22" s="1"/>
  <c r="E5" i="22"/>
  <c r="E27" i="22" s="1"/>
  <c r="D5" i="22"/>
  <c r="D27" i="22" s="1"/>
  <c r="D34" i="22" s="1"/>
  <c r="G4" i="22"/>
  <c r="G20" i="22" s="1"/>
  <c r="G48" i="22" s="1"/>
  <c r="F4" i="22"/>
  <c r="F20" i="22" s="1"/>
  <c r="E4" i="22"/>
  <c r="E20" i="22" s="1"/>
  <c r="F48" i="22" l="1"/>
  <c r="E48" i="22"/>
  <c r="E49" i="22"/>
  <c r="J10" i="22"/>
  <c r="J22" i="22" s="1"/>
  <c r="J16" i="22"/>
  <c r="J24" i="22" s="1"/>
  <c r="E50" i="22"/>
  <c r="I48" i="22"/>
  <c r="F51" i="22"/>
  <c r="J7" i="22"/>
  <c r="J21" i="22" s="1"/>
  <c r="I11" i="22"/>
  <c r="I29" i="22" s="1"/>
  <c r="I14" i="22"/>
  <c r="I30" i="22" s="1"/>
  <c r="I44" i="22" s="1"/>
  <c r="I17" i="22"/>
  <c r="I31" i="22" s="1"/>
  <c r="K50" i="22"/>
  <c r="K57" i="22" s="1"/>
  <c r="J4" i="22"/>
  <c r="J20" i="22" s="1"/>
  <c r="I50" i="22"/>
  <c r="I52" i="22"/>
  <c r="I59" i="22" s="1"/>
  <c r="D41" i="22"/>
  <c r="D48" i="22"/>
  <c r="D55" i="22" s="1"/>
  <c r="M114" i="22"/>
  <c r="M118" i="22"/>
  <c r="M122" i="22"/>
  <c r="M126" i="22"/>
  <c r="K37" i="22"/>
  <c r="G34" i="22"/>
  <c r="K5" i="22"/>
  <c r="K27" i="22" s="1"/>
  <c r="I7" i="22"/>
  <c r="G8" i="22"/>
  <c r="G28" i="22" s="1"/>
  <c r="L8" i="22"/>
  <c r="L28" i="22" s="1"/>
  <c r="H11" i="22"/>
  <c r="H29" i="22" s="1"/>
  <c r="E13" i="22"/>
  <c r="H14" i="22"/>
  <c r="H30" i="22" s="1"/>
  <c r="E16" i="22"/>
  <c r="E24" i="22" s="1"/>
  <c r="E52" i="22" s="1"/>
  <c r="H17" i="22"/>
  <c r="H31" i="22" s="1"/>
  <c r="M112" i="22"/>
  <c r="M113" i="22"/>
  <c r="M116" i="22"/>
  <c r="M117" i="22"/>
  <c r="M120" i="22"/>
  <c r="M121" i="22"/>
  <c r="M124" i="22"/>
  <c r="M125" i="22"/>
  <c r="I35" i="22"/>
  <c r="G11" i="22"/>
  <c r="G29" i="22" s="1"/>
  <c r="G14" i="22"/>
  <c r="G30" i="22" s="1"/>
  <c r="G51" i="22" s="1"/>
  <c r="G58" i="22" s="1"/>
  <c r="G17" i="22"/>
  <c r="G31" i="22" s="1"/>
  <c r="G52" i="22" s="1"/>
  <c r="D11" i="22"/>
  <c r="D29" i="22" s="1"/>
  <c r="D14" i="22"/>
  <c r="D30" i="22" s="1"/>
  <c r="I41" i="22"/>
  <c r="I55" i="22"/>
  <c r="I62" i="22"/>
  <c r="F65" i="22"/>
  <c r="F66" i="22"/>
  <c r="K43" i="22"/>
  <c r="K36" i="22"/>
  <c r="K64" i="22"/>
  <c r="E41" i="22"/>
  <c r="E55" i="22"/>
  <c r="E62" i="22"/>
  <c r="E42" i="22"/>
  <c r="E56" i="22"/>
  <c r="E63" i="22"/>
  <c r="F64" i="22"/>
  <c r="I65" i="22"/>
  <c r="G38" i="22"/>
  <c r="G66" i="22"/>
  <c r="F62" i="22"/>
  <c r="I34" i="22"/>
  <c r="F63" i="22"/>
  <c r="E35" i="22"/>
  <c r="I43" i="22"/>
  <c r="I57" i="22"/>
  <c r="I64" i="22"/>
  <c r="I36" i="22"/>
  <c r="J65" i="22"/>
  <c r="G37" i="22"/>
  <c r="I45" i="22"/>
  <c r="I66" i="22"/>
  <c r="I38" i="22"/>
  <c r="D62" i="22"/>
  <c r="J63" i="22"/>
  <c r="E43" i="22"/>
  <c r="E57" i="22"/>
  <c r="E64" i="22"/>
  <c r="E36" i="22"/>
  <c r="G44" i="22"/>
  <c r="G65" i="22"/>
  <c r="J62" i="22"/>
  <c r="G41" i="22"/>
  <c r="G62" i="22"/>
  <c r="G55" i="22"/>
  <c r="E34" i="22"/>
  <c r="I63" i="22"/>
  <c r="E44" i="22"/>
  <c r="K44" i="22"/>
  <c r="K65" i="22"/>
  <c r="K58" i="22"/>
  <c r="E45" i="22"/>
  <c r="E59" i="22"/>
  <c r="E66" i="22"/>
  <c r="E38" i="22"/>
  <c r="J66" i="22"/>
  <c r="D56" i="24"/>
  <c r="C2" i="20"/>
  <c r="C7" i="20"/>
  <c r="H40" i="7" s="1"/>
  <c r="C2" i="16"/>
  <c r="D24" i="7"/>
  <c r="D40" i="7"/>
  <c r="D36" i="7"/>
  <c r="C17" i="19"/>
  <c r="C21" i="19" s="1"/>
  <c r="H37" i="7" s="1"/>
  <c r="C103" i="21"/>
  <c r="C9" i="19"/>
  <c r="K7" i="22"/>
  <c r="G10" i="22"/>
  <c r="G22" i="22" s="1"/>
  <c r="K4" i="22"/>
  <c r="K20" i="22" s="1"/>
  <c r="K48" i="22" s="1"/>
  <c r="G7" i="22"/>
  <c r="G21" i="22" s="1"/>
  <c r="K16" i="22"/>
  <c r="K24" i="22" s="1"/>
  <c r="K52" i="22" s="1"/>
  <c r="M115" i="22"/>
  <c r="M123" i="22"/>
  <c r="F17" i="22"/>
  <c r="F31" i="22" s="1"/>
  <c r="F45" i="22" s="1"/>
  <c r="F14" i="22"/>
  <c r="F30" i="22" s="1"/>
  <c r="F37" i="22" s="1"/>
  <c r="F11" i="22"/>
  <c r="F29" i="22" s="1"/>
  <c r="F8" i="22"/>
  <c r="F28" i="22" s="1"/>
  <c r="F35" i="22" s="1"/>
  <c r="F5" i="22"/>
  <c r="F27" i="22" s="1"/>
  <c r="F34" i="22" s="1"/>
  <c r="J17" i="22"/>
  <c r="J31" i="22" s="1"/>
  <c r="J38" i="22" s="1"/>
  <c r="J14" i="22"/>
  <c r="J30" i="22" s="1"/>
  <c r="J37" i="22" s="1"/>
  <c r="J11" i="22"/>
  <c r="J29" i="22" s="1"/>
  <c r="J8" i="22"/>
  <c r="J28" i="22" s="1"/>
  <c r="J35" i="22" s="1"/>
  <c r="J5" i="22"/>
  <c r="J27" i="22" s="1"/>
  <c r="J34" i="22" s="1"/>
  <c r="M111" i="22"/>
  <c r="D16" i="22"/>
  <c r="D24" i="22" s="1"/>
  <c r="D13" i="22"/>
  <c r="D23" i="22" s="1"/>
  <c r="D10" i="22"/>
  <c r="D22" i="22" s="1"/>
  <c r="D7" i="22"/>
  <c r="D21" i="22" s="1"/>
  <c r="H16" i="22"/>
  <c r="H24" i="22" s="1"/>
  <c r="H52" i="22" s="1"/>
  <c r="H13" i="22"/>
  <c r="H23" i="22" s="1"/>
  <c r="H10" i="22"/>
  <c r="H22" i="22" s="1"/>
  <c r="H50" i="22" s="1"/>
  <c r="H7" i="22"/>
  <c r="H21" i="22" s="1"/>
  <c r="H49" i="22" s="1"/>
  <c r="H4" i="22"/>
  <c r="L16" i="22"/>
  <c r="L24" i="22" s="1"/>
  <c r="L52" i="22" s="1"/>
  <c r="L13" i="22"/>
  <c r="L23" i="22" s="1"/>
  <c r="L51" i="22" s="1"/>
  <c r="L10" i="22"/>
  <c r="L22" i="22" s="1"/>
  <c r="L50" i="22" s="1"/>
  <c r="L7" i="22"/>
  <c r="L21" i="22" s="1"/>
  <c r="L49" i="22" s="1"/>
  <c r="L4" i="22"/>
  <c r="L20" i="22" s="1"/>
  <c r="L48" i="22" s="1"/>
  <c r="M119" i="22"/>
  <c r="M127" i="22"/>
  <c r="C45" i="18"/>
  <c r="H34" i="22" l="1"/>
  <c r="H20" i="22"/>
  <c r="J57" i="22"/>
  <c r="J50" i="22"/>
  <c r="H51" i="22"/>
  <c r="D51" i="22"/>
  <c r="D44" i="22"/>
  <c r="G49" i="22"/>
  <c r="J64" i="22"/>
  <c r="I37" i="22"/>
  <c r="F49" i="22"/>
  <c r="J49" i="22"/>
  <c r="J52" i="22"/>
  <c r="F52" i="22"/>
  <c r="F59" i="22" s="1"/>
  <c r="G50" i="22"/>
  <c r="E37" i="22"/>
  <c r="E23" i="22"/>
  <c r="E51" i="22" s="1"/>
  <c r="E58" i="22" s="1"/>
  <c r="I42" i="22"/>
  <c r="I21" i="22"/>
  <c r="I49" i="22" s="1"/>
  <c r="I56" i="22" s="1"/>
  <c r="I51" i="22"/>
  <c r="I58" i="22" s="1"/>
  <c r="J51" i="22"/>
  <c r="J58" i="22" s="1"/>
  <c r="D52" i="22"/>
  <c r="M24" i="22"/>
  <c r="D45" i="22"/>
  <c r="D42" i="22"/>
  <c r="D49" i="22"/>
  <c r="D43" i="22"/>
  <c r="D50" i="22"/>
  <c r="M22" i="22"/>
  <c r="K35" i="22"/>
  <c r="K21" i="22"/>
  <c r="K49" i="22" s="1"/>
  <c r="G59" i="22"/>
  <c r="J48" i="22"/>
  <c r="F50" i="22"/>
  <c r="F57" i="22" s="1"/>
  <c r="K34" i="22"/>
  <c r="J41" i="22"/>
  <c r="G45" i="22"/>
  <c r="J55" i="22"/>
  <c r="C69" i="22"/>
  <c r="J59" i="22"/>
  <c r="F42" i="22"/>
  <c r="F43" i="22"/>
  <c r="C68" i="22"/>
  <c r="G35" i="22"/>
  <c r="J45" i="22"/>
  <c r="E65" i="22"/>
  <c r="J43" i="22"/>
  <c r="H44" i="22"/>
  <c r="H58" i="22"/>
  <c r="H65" i="22"/>
  <c r="H41" i="22"/>
  <c r="H62" i="22"/>
  <c r="D66" i="22"/>
  <c r="J36" i="22"/>
  <c r="F41" i="22"/>
  <c r="F38" i="22"/>
  <c r="F58" i="22"/>
  <c r="L43" i="22"/>
  <c r="L57" i="22"/>
  <c r="L36" i="22"/>
  <c r="L64" i="22"/>
  <c r="H42" i="22"/>
  <c r="H56" i="22"/>
  <c r="H63" i="22"/>
  <c r="D63" i="22"/>
  <c r="G43" i="22"/>
  <c r="G36" i="22"/>
  <c r="G64" i="22"/>
  <c r="G57" i="22"/>
  <c r="H37" i="22"/>
  <c r="J56" i="22"/>
  <c r="F36" i="22"/>
  <c r="F44" i="22"/>
  <c r="L41" i="22"/>
  <c r="L55" i="22"/>
  <c r="L62" i="22"/>
  <c r="L45" i="22"/>
  <c r="M45" i="22" s="1"/>
  <c r="L59" i="22"/>
  <c r="L38" i="22"/>
  <c r="L66" i="22"/>
  <c r="D65" i="22"/>
  <c r="M65" i="22" s="1"/>
  <c r="G42" i="22"/>
  <c r="G63" i="22"/>
  <c r="G56" i="22"/>
  <c r="F55" i="22"/>
  <c r="L34" i="22"/>
  <c r="L42" i="22"/>
  <c r="L56" i="22"/>
  <c r="L63" i="22"/>
  <c r="H45" i="22"/>
  <c r="H59" i="22"/>
  <c r="H38" i="22"/>
  <c r="H66" i="22"/>
  <c r="K41" i="22"/>
  <c r="K62" i="22"/>
  <c r="K55" i="22"/>
  <c r="L35" i="22"/>
  <c r="L44" i="22"/>
  <c r="L58" i="22"/>
  <c r="L65" i="22"/>
  <c r="H43" i="22"/>
  <c r="H57" i="22"/>
  <c r="H36" i="22"/>
  <c r="H64" i="22"/>
  <c r="D64" i="22"/>
  <c r="K45" i="22"/>
  <c r="K38" i="22"/>
  <c r="K66" i="22"/>
  <c r="K59" i="22"/>
  <c r="K42" i="22"/>
  <c r="K63" i="22"/>
  <c r="K56" i="22"/>
  <c r="J42" i="22"/>
  <c r="L37" i="22"/>
  <c r="J44" i="22"/>
  <c r="F56" i="22"/>
  <c r="H35" i="22"/>
  <c r="D37" i="7"/>
  <c r="C16" i="19"/>
  <c r="D37" i="22"/>
  <c r="M43" i="22"/>
  <c r="M30" i="22"/>
  <c r="M29" i="22"/>
  <c r="D38" i="22"/>
  <c r="M16" i="22"/>
  <c r="M7" i="22"/>
  <c r="M5" i="22"/>
  <c r="M17" i="22"/>
  <c r="D36" i="22"/>
  <c r="M10" i="22"/>
  <c r="M4" i="22"/>
  <c r="M28" i="22"/>
  <c r="D35" i="22"/>
  <c r="M11" i="22"/>
  <c r="M8" i="22"/>
  <c r="M14" i="22"/>
  <c r="M13" i="22"/>
  <c r="D31" i="5"/>
  <c r="D27" i="5"/>
  <c r="D23" i="5"/>
  <c r="D17" i="5"/>
  <c r="D13" i="5"/>
  <c r="D6" i="5"/>
  <c r="M21" i="22" l="1"/>
  <c r="M23" i="22"/>
  <c r="H48" i="22"/>
  <c r="H55" i="22" s="1"/>
  <c r="M20" i="22"/>
  <c r="M62" i="22"/>
  <c r="M66" i="22"/>
  <c r="D44" i="1"/>
  <c r="E44" i="1"/>
  <c r="C44" i="1"/>
  <c r="E45" i="1"/>
  <c r="C45" i="1"/>
  <c r="D45" i="1"/>
  <c r="C62" i="22"/>
  <c r="M64" i="22"/>
  <c r="M63" i="22"/>
  <c r="M44" i="22"/>
  <c r="M41" i="22"/>
  <c r="M42" i="22"/>
  <c r="M37" i="22"/>
  <c r="D56" i="22"/>
  <c r="M56" i="22" s="1"/>
  <c r="M49" i="22"/>
  <c r="D58" i="22"/>
  <c r="M58" i="22" s="1"/>
  <c r="M51" i="22"/>
  <c r="M18" i="22"/>
  <c r="M36" i="22"/>
  <c r="M31" i="22"/>
  <c r="M52" i="22"/>
  <c r="D59" i="22"/>
  <c r="M35" i="22"/>
  <c r="M50" i="22"/>
  <c r="D57" i="22"/>
  <c r="M57" i="22" s="1"/>
  <c r="M34" i="22"/>
  <c r="C34" i="22" s="1"/>
  <c r="M27" i="22"/>
  <c r="M38" i="22"/>
  <c r="F11" i="4"/>
  <c r="G9" i="4" s="1"/>
  <c r="G10" i="4" s="1"/>
  <c r="E4" i="4"/>
  <c r="E5" i="4" s="1"/>
  <c r="E6" i="4" s="1"/>
  <c r="E7" i="4" s="1"/>
  <c r="E8" i="4" s="1"/>
  <c r="D12" i="4"/>
  <c r="F10" i="4"/>
  <c r="E11" i="4" l="1"/>
  <c r="E9" i="4"/>
  <c r="E10" i="4" s="1"/>
  <c r="C20" i="22"/>
  <c r="C21" i="22" s="1"/>
  <c r="C22" i="22" s="1"/>
  <c r="C23" i="22" s="1"/>
  <c r="C24" i="22" s="1"/>
  <c r="M25" i="22"/>
  <c r="C29" i="22"/>
  <c r="C30" i="22" s="1"/>
  <c r="C31" i="22" s="1"/>
  <c r="D80" i="18" s="1"/>
  <c r="C27" i="22"/>
  <c r="C28" i="22" s="1"/>
  <c r="M67" i="22"/>
  <c r="C63" i="22"/>
  <c r="C64" i="22" s="1"/>
  <c r="G137" i="22"/>
  <c r="H137" i="22"/>
  <c r="C35" i="22"/>
  <c r="B137" i="22"/>
  <c r="M46" i="22"/>
  <c r="C41" i="22"/>
  <c r="I137" i="22" s="1"/>
  <c r="M39" i="22"/>
  <c r="M59" i="22"/>
  <c r="M32" i="22"/>
  <c r="M55" i="22"/>
  <c r="C55" i="22" s="1"/>
  <c r="M48" i="22"/>
  <c r="H139" i="22" l="1"/>
  <c r="C130" i="19"/>
  <c r="C131" i="19" s="1"/>
  <c r="C65" i="22"/>
  <c r="D130" i="19"/>
  <c r="D131" i="19" s="1"/>
  <c r="G139" i="22"/>
  <c r="E111" i="21"/>
  <c r="D111" i="21"/>
  <c r="E130" i="19"/>
  <c r="E131" i="19" s="1"/>
  <c r="C111" i="21"/>
  <c r="C80" i="18"/>
  <c r="C81" i="18" s="1"/>
  <c r="C47" i="18" s="1"/>
  <c r="E80" i="18"/>
  <c r="E81" i="18" s="1"/>
  <c r="E47" i="18" s="1"/>
  <c r="G138" i="22"/>
  <c r="H138" i="22"/>
  <c r="C85" i="18"/>
  <c r="C31" i="21"/>
  <c r="D31" i="21"/>
  <c r="E31" i="21"/>
  <c r="E85" i="18"/>
  <c r="D81" i="18"/>
  <c r="D47" i="18" s="1"/>
  <c r="D85" i="18"/>
  <c r="C36" i="22"/>
  <c r="B138" i="22"/>
  <c r="C56" i="22"/>
  <c r="E138" i="22" s="1"/>
  <c r="E137" i="22"/>
  <c r="E43" i="1"/>
  <c r="D26" i="8"/>
  <c r="D43" i="1"/>
  <c r="C43" i="1"/>
  <c r="E26" i="8"/>
  <c r="C26" i="8"/>
  <c r="D137" i="22"/>
  <c r="C42" i="22"/>
  <c r="I138" i="22" s="1"/>
  <c r="M53" i="22"/>
  <c r="C48" i="22"/>
  <c r="M60" i="22"/>
  <c r="E22" i="3" l="1"/>
  <c r="E27" i="3" s="1"/>
  <c r="E133" i="19"/>
  <c r="E132" i="19"/>
  <c r="D132" i="19"/>
  <c r="D22" i="3"/>
  <c r="D27" i="3" s="1"/>
  <c r="D133" i="19"/>
  <c r="H140" i="22"/>
  <c r="C66" i="22"/>
  <c r="G140" i="22"/>
  <c r="C133" i="19"/>
  <c r="C22" i="3"/>
  <c r="C27" i="3" s="1"/>
  <c r="C132" i="19"/>
  <c r="C106" i="21"/>
  <c r="C10" i="21" s="1"/>
  <c r="C23" i="21"/>
  <c r="D58" i="24" s="1"/>
  <c r="D91" i="18"/>
  <c r="D17" i="18"/>
  <c r="D17" i="2"/>
  <c r="D21" i="2" s="1"/>
  <c r="D58" i="18"/>
  <c r="D90" i="18"/>
  <c r="D24" i="18" s="1"/>
  <c r="D72" i="18"/>
  <c r="D73" i="18" s="1"/>
  <c r="D95" i="18" s="1"/>
  <c r="E72" i="18"/>
  <c r="E91" i="18"/>
  <c r="E17" i="2"/>
  <c r="E21" i="2" s="1"/>
  <c r="E90" i="18"/>
  <c r="E17" i="18"/>
  <c r="E58" i="18"/>
  <c r="C83" i="18"/>
  <c r="C84" i="18"/>
  <c r="C37" i="18"/>
  <c r="D44" i="24" s="1"/>
  <c r="E84" i="18"/>
  <c r="E37" i="18"/>
  <c r="F44" i="24" s="1"/>
  <c r="E83" i="18"/>
  <c r="C57" i="22"/>
  <c r="D84" i="18"/>
  <c r="D83" i="18"/>
  <c r="D37" i="18"/>
  <c r="E44" i="24" s="1"/>
  <c r="E106" i="21"/>
  <c r="E10" i="21" s="1"/>
  <c r="E23" i="21"/>
  <c r="F58" i="24" s="1"/>
  <c r="C58" i="18"/>
  <c r="C91" i="18"/>
  <c r="C72" i="18"/>
  <c r="C73" i="18" s="1"/>
  <c r="C95" i="18" s="1"/>
  <c r="C90" i="18"/>
  <c r="C17" i="2"/>
  <c r="C21" i="2" s="1"/>
  <c r="C17" i="18"/>
  <c r="C49" i="22"/>
  <c r="C137" i="22"/>
  <c r="C37" i="22"/>
  <c r="B139" i="22"/>
  <c r="D106" i="21"/>
  <c r="D10" i="21" s="1"/>
  <c r="D23" i="21"/>
  <c r="E58" i="24" s="1"/>
  <c r="C43" i="22"/>
  <c r="I139" i="22" s="1"/>
  <c r="D138" i="22"/>
  <c r="C136" i="19"/>
  <c r="C137" i="19" s="1"/>
  <c r="C24" i="19" l="1"/>
  <c r="C28" i="19" s="1"/>
  <c r="H38" i="7" s="1"/>
  <c r="E41" i="1"/>
  <c r="D42" i="1"/>
  <c r="E42" i="1"/>
  <c r="H141" i="22"/>
  <c r="C42" i="1"/>
  <c r="C41" i="1"/>
  <c r="D24" i="8"/>
  <c r="G141" i="22"/>
  <c r="D25" i="8"/>
  <c r="E25" i="8"/>
  <c r="D41" i="1"/>
  <c r="C25" i="8"/>
  <c r="C24" i="8"/>
  <c r="E24" i="8"/>
  <c r="E9" i="8" s="1"/>
  <c r="F8" i="24" s="1"/>
  <c r="D24" i="19"/>
  <c r="E24" i="19"/>
  <c r="C23" i="19"/>
  <c r="D38" i="7"/>
  <c r="E24" i="18"/>
  <c r="F31" i="7" s="1"/>
  <c r="D20" i="12"/>
  <c r="E20" i="12"/>
  <c r="C20" i="12"/>
  <c r="C33" i="11"/>
  <c r="C39" i="11" s="1"/>
  <c r="D33" i="11"/>
  <c r="C24" i="18"/>
  <c r="C11" i="18"/>
  <c r="C12" i="18"/>
  <c r="E84" i="17"/>
  <c r="E88" i="17" s="1"/>
  <c r="E92" i="17" s="1"/>
  <c r="E10" i="2"/>
  <c r="F40" i="24" s="1"/>
  <c r="E91" i="2"/>
  <c r="E31" i="7"/>
  <c r="D28" i="18"/>
  <c r="I31" i="7" s="1"/>
  <c r="C14" i="21"/>
  <c r="H42" i="7" s="1"/>
  <c r="D42" i="7"/>
  <c r="C9" i="21"/>
  <c r="D41" i="9"/>
  <c r="C41" i="9"/>
  <c r="E41" i="9"/>
  <c r="D14" i="21"/>
  <c r="I42" i="7" s="1"/>
  <c r="E42" i="7"/>
  <c r="D9" i="21"/>
  <c r="C50" i="22"/>
  <c r="C138" i="22"/>
  <c r="C96" i="18"/>
  <c r="C38" i="18"/>
  <c r="D45" i="24" s="1"/>
  <c r="F42" i="7"/>
  <c r="E14" i="21"/>
  <c r="J42" i="7" s="1"/>
  <c r="E9" i="21"/>
  <c r="E88" i="18"/>
  <c r="E39" i="18"/>
  <c r="F46" i="24" s="1"/>
  <c r="D39" i="18"/>
  <c r="E46" i="24" s="1"/>
  <c r="D88" i="18"/>
  <c r="C21" i="18"/>
  <c r="H30" i="7" s="1"/>
  <c r="C55" i="18"/>
  <c r="D40" i="29" s="1"/>
  <c r="C16" i="18"/>
  <c r="D30" i="7"/>
  <c r="C58" i="22"/>
  <c r="D112" i="21"/>
  <c r="D136" i="19"/>
  <c r="E112" i="21"/>
  <c r="E136" i="19"/>
  <c r="E139" i="22"/>
  <c r="E55" i="18"/>
  <c r="F40" i="29" s="1"/>
  <c r="F30" i="7"/>
  <c r="E16" i="18"/>
  <c r="E21" i="18"/>
  <c r="J30" i="7" s="1"/>
  <c r="E73" i="18"/>
  <c r="E95" i="18" s="1"/>
  <c r="D10" i="2"/>
  <c r="E40" i="24" s="1"/>
  <c r="D84" i="17"/>
  <c r="D88" i="17" s="1"/>
  <c r="D92" i="17" s="1"/>
  <c r="D91" i="2"/>
  <c r="C112" i="21"/>
  <c r="C24" i="21" s="1"/>
  <c r="C38" i="22"/>
  <c r="B141" i="22" s="1"/>
  <c r="B140" i="22"/>
  <c r="C91" i="2"/>
  <c r="C84" i="17"/>
  <c r="C88" i="17" s="1"/>
  <c r="C92" i="17" s="1"/>
  <c r="C10" i="2"/>
  <c r="D40" i="24" s="1"/>
  <c r="C39" i="18"/>
  <c r="D46" i="24" s="1"/>
  <c r="C88" i="18"/>
  <c r="D11" i="18"/>
  <c r="D12" i="18"/>
  <c r="E12" i="18"/>
  <c r="E11" i="18"/>
  <c r="E28" i="18"/>
  <c r="J31" i="7" s="1"/>
  <c r="D38" i="18"/>
  <c r="E45" i="24" s="1"/>
  <c r="D96" i="18"/>
  <c r="D21" i="18"/>
  <c r="I30" i="7" s="1"/>
  <c r="D55" i="18"/>
  <c r="E40" i="29" s="1"/>
  <c r="E30" i="7"/>
  <c r="D16" i="18"/>
  <c r="C144" i="19"/>
  <c r="C38" i="19"/>
  <c r="C44" i="22"/>
  <c r="I140" i="22" s="1"/>
  <c r="D139" i="22"/>
  <c r="E33" i="11" s="1"/>
  <c r="C23" i="3"/>
  <c r="C28" i="3" s="1"/>
  <c r="C143" i="19"/>
  <c r="C139" i="19"/>
  <c r="C140" i="19" s="1"/>
  <c r="C141" i="19" s="1"/>
  <c r="E23" i="19" l="1"/>
  <c r="F38" i="7"/>
  <c r="E28" i="19"/>
  <c r="J38" i="7" s="1"/>
  <c r="E38" i="7"/>
  <c r="D23" i="19"/>
  <c r="D28" i="19"/>
  <c r="I38" i="7" s="1"/>
  <c r="D14" i="2"/>
  <c r="D20" i="2" s="1"/>
  <c r="D107" i="9"/>
  <c r="D46" i="1"/>
  <c r="D9" i="8"/>
  <c r="E8" i="24" s="1"/>
  <c r="C14" i="2"/>
  <c r="C20" i="2" s="1"/>
  <c r="C107" i="9"/>
  <c r="C46" i="1"/>
  <c r="C9" i="8"/>
  <c r="E107" i="9"/>
  <c r="E14" i="2"/>
  <c r="E20" i="2" s="1"/>
  <c r="E46" i="1"/>
  <c r="C114" i="21"/>
  <c r="C17" i="21" s="1"/>
  <c r="C21" i="21" s="1"/>
  <c r="H43" i="7" s="1"/>
  <c r="H41" i="7" s="1"/>
  <c r="E96" i="18"/>
  <c r="E38" i="18"/>
  <c r="F45" i="24" s="1"/>
  <c r="F29" i="25"/>
  <c r="E9" i="18"/>
  <c r="I29" i="25"/>
  <c r="E24" i="21"/>
  <c r="F59" i="24" s="1"/>
  <c r="E114" i="21"/>
  <c r="E17" i="21" s="1"/>
  <c r="C51" i="22"/>
  <c r="C139" i="22"/>
  <c r="D12" i="11"/>
  <c r="D39" i="11"/>
  <c r="D54" i="11"/>
  <c r="D56" i="11"/>
  <c r="D57" i="11"/>
  <c r="D94" i="11" s="1"/>
  <c r="D58" i="11"/>
  <c r="D95" i="11" s="1"/>
  <c r="D55" i="11"/>
  <c r="D91" i="12"/>
  <c r="D10" i="12"/>
  <c r="E23" i="24" s="1"/>
  <c r="D11" i="12"/>
  <c r="E24" i="24" s="1"/>
  <c r="D90" i="12"/>
  <c r="D12" i="12"/>
  <c r="E25" i="24" s="1"/>
  <c r="D89" i="12"/>
  <c r="J29" i="25"/>
  <c r="E29" i="25"/>
  <c r="D9" i="18"/>
  <c r="D137" i="19"/>
  <c r="E10" i="9"/>
  <c r="E30" i="9"/>
  <c r="F10" i="24" s="1"/>
  <c r="H29" i="25"/>
  <c r="C25" i="18"/>
  <c r="D31" i="25" s="1"/>
  <c r="C26" i="18"/>
  <c r="H31" i="25" s="1"/>
  <c r="D24" i="21"/>
  <c r="E59" i="24" s="1"/>
  <c r="D114" i="21"/>
  <c r="D17" i="21" s="1"/>
  <c r="E25" i="18"/>
  <c r="E26" i="18"/>
  <c r="J31" i="25" s="1"/>
  <c r="C31" i="18"/>
  <c r="C33" i="18"/>
  <c r="H32" i="25" s="1"/>
  <c r="C32" i="18"/>
  <c r="D32" i="25" s="1"/>
  <c r="C10" i="9"/>
  <c r="C30" i="9"/>
  <c r="D10" i="24" s="1"/>
  <c r="C9" i="18"/>
  <c r="D29" i="25"/>
  <c r="E12" i="11"/>
  <c r="J18" i="25" s="1"/>
  <c r="E58" i="11"/>
  <c r="E95" i="11" s="1"/>
  <c r="E56" i="11"/>
  <c r="E39" i="11"/>
  <c r="E54" i="11"/>
  <c r="E57" i="11"/>
  <c r="E94" i="11" s="1"/>
  <c r="E55" i="11"/>
  <c r="D31" i="18"/>
  <c r="D33" i="18"/>
  <c r="I32" i="25" s="1"/>
  <c r="D32" i="18"/>
  <c r="E32" i="25" s="1"/>
  <c r="E137" i="19"/>
  <c r="C59" i="22"/>
  <c r="E140" i="22"/>
  <c r="D25" i="18"/>
  <c r="D26" i="18"/>
  <c r="I31" i="25" s="1"/>
  <c r="D10" i="9"/>
  <c r="D30" i="9"/>
  <c r="E10" i="24" s="1"/>
  <c r="C28" i="18"/>
  <c r="H31" i="7" s="1"/>
  <c r="D31" i="7"/>
  <c r="E11" i="12"/>
  <c r="F24" i="24" s="1"/>
  <c r="E89" i="12"/>
  <c r="E10" i="12"/>
  <c r="F23" i="24" s="1"/>
  <c r="E90" i="12"/>
  <c r="E91" i="12"/>
  <c r="E12" i="12"/>
  <c r="F25" i="24" s="1"/>
  <c r="D59" i="24"/>
  <c r="D54" i="24"/>
  <c r="C10" i="3"/>
  <c r="C3" i="3"/>
  <c r="C7" i="3" s="1"/>
  <c r="H34" i="7" s="1"/>
  <c r="D41" i="25"/>
  <c r="C31" i="19"/>
  <c r="C35" i="19" s="1"/>
  <c r="H39" i="7" s="1"/>
  <c r="H35" i="7" s="1"/>
  <c r="C11" i="3"/>
  <c r="C45" i="22"/>
  <c r="D140" i="22"/>
  <c r="C16" i="21" l="1"/>
  <c r="D43" i="7"/>
  <c r="D41" i="7" s="1"/>
  <c r="C23" i="18"/>
  <c r="E88" i="2"/>
  <c r="E3" i="2" s="1"/>
  <c r="E2" i="2" s="1"/>
  <c r="E9" i="2"/>
  <c r="E83" i="17"/>
  <c r="E87" i="17" s="1"/>
  <c r="E91" i="17" s="1"/>
  <c r="D117" i="9"/>
  <c r="D108" i="9"/>
  <c r="D109" i="9" s="1"/>
  <c r="D32" i="9" s="1"/>
  <c r="E117" i="9"/>
  <c r="E108" i="9"/>
  <c r="E109" i="9" s="1"/>
  <c r="E32" i="9" s="1"/>
  <c r="C88" i="2"/>
  <c r="C3" i="2" s="1"/>
  <c r="D26" i="7" s="1"/>
  <c r="C83" i="17"/>
  <c r="C87" i="17" s="1"/>
  <c r="C91" i="17" s="1"/>
  <c r="C9" i="2"/>
  <c r="D121" i="10"/>
  <c r="E39" i="10"/>
  <c r="D8" i="24"/>
  <c r="D125" i="10"/>
  <c r="D126" i="10" s="1"/>
  <c r="D127" i="10" s="1"/>
  <c r="E121" i="10"/>
  <c r="D39" i="10"/>
  <c r="E125" i="10"/>
  <c r="E126" i="10" s="1"/>
  <c r="E127" i="10" s="1"/>
  <c r="C121" i="10"/>
  <c r="C122" i="10" s="1"/>
  <c r="C123" i="10" s="1"/>
  <c r="C125" i="10"/>
  <c r="C126" i="10" s="1"/>
  <c r="C127" i="10" s="1"/>
  <c r="C39" i="10"/>
  <c r="C108" i="9"/>
  <c r="C109" i="9" s="1"/>
  <c r="C32" i="9" s="1"/>
  <c r="C117" i="9"/>
  <c r="D88" i="2"/>
  <c r="D3" i="2" s="1"/>
  <c r="D2" i="2" s="1"/>
  <c r="D9" i="2"/>
  <c r="D83" i="17"/>
  <c r="D87" i="17" s="1"/>
  <c r="D91" i="17" s="1"/>
  <c r="E97" i="1"/>
  <c r="E98" i="1" s="1"/>
  <c r="E23" i="1" s="1"/>
  <c r="E102" i="1"/>
  <c r="E24" i="1" s="1"/>
  <c r="D59" i="1"/>
  <c r="E5" i="29" s="1"/>
  <c r="E37" i="10"/>
  <c r="C37" i="10"/>
  <c r="E59" i="1"/>
  <c r="F5" i="29" s="1"/>
  <c r="D139" i="10"/>
  <c r="C59" i="1"/>
  <c r="D5" i="29" s="1"/>
  <c r="E139" i="10"/>
  <c r="C102" i="1"/>
  <c r="C24" i="1" s="1"/>
  <c r="D37" i="10"/>
  <c r="C97" i="1"/>
  <c r="C98" i="1" s="1"/>
  <c r="C23" i="1" s="1"/>
  <c r="C139" i="10"/>
  <c r="D97" i="1"/>
  <c r="D98" i="1" s="1"/>
  <c r="D23" i="1" s="1"/>
  <c r="D102" i="1"/>
  <c r="D24" i="1" s="1"/>
  <c r="C3" i="21"/>
  <c r="C7" i="21" s="1"/>
  <c r="D28" i="25"/>
  <c r="D25" i="25" s="1"/>
  <c r="C4" i="18"/>
  <c r="E92" i="12"/>
  <c r="E31" i="25"/>
  <c r="E28" i="25" s="1"/>
  <c r="E25" i="25" s="1"/>
  <c r="D23" i="18"/>
  <c r="E38" i="19"/>
  <c r="F54" i="24" s="1"/>
  <c r="E143" i="19"/>
  <c r="E23" i="3"/>
  <c r="E28" i="3" s="1"/>
  <c r="E139" i="19"/>
  <c r="E140" i="19" s="1"/>
  <c r="E141" i="19" s="1"/>
  <c r="E144" i="19"/>
  <c r="D35" i="18"/>
  <c r="I32" i="7" s="1"/>
  <c r="I28" i="7" s="1"/>
  <c r="E32" i="7"/>
  <c r="E28" i="7" s="1"/>
  <c r="D30" i="18"/>
  <c r="D3" i="18"/>
  <c r="D7" i="18" s="1"/>
  <c r="E25" i="11"/>
  <c r="F20" i="24" s="1"/>
  <c r="E93" i="11"/>
  <c r="D9" i="7"/>
  <c r="C14" i="9"/>
  <c r="H9" i="7" s="1"/>
  <c r="D21" i="21"/>
  <c r="I43" i="7" s="1"/>
  <c r="I41" i="7" s="1"/>
  <c r="E43" i="7"/>
  <c r="E41" i="7" s="1"/>
  <c r="D16" i="21"/>
  <c r="D3" i="21"/>
  <c r="C5" i="18"/>
  <c r="D139" i="19"/>
  <c r="D140" i="19" s="1"/>
  <c r="D141" i="19" s="1"/>
  <c r="D23" i="3"/>
  <c r="D28" i="3" s="1"/>
  <c r="D144" i="19"/>
  <c r="D143" i="19"/>
  <c r="D38" i="19"/>
  <c r="E54" i="24" s="1"/>
  <c r="D93" i="11"/>
  <c r="D25" i="11"/>
  <c r="E20" i="24" s="1"/>
  <c r="E21" i="21"/>
  <c r="J43" i="7" s="1"/>
  <c r="J41" i="7" s="1"/>
  <c r="E16" i="21"/>
  <c r="F43" i="7"/>
  <c r="F41" i="7" s="1"/>
  <c r="E3" i="21"/>
  <c r="C2" i="2"/>
  <c r="F31" i="25"/>
  <c r="E23" i="18"/>
  <c r="D4" i="18"/>
  <c r="D91" i="11"/>
  <c r="D24" i="11"/>
  <c r="E19" i="24" s="1"/>
  <c r="D5" i="18"/>
  <c r="D14" i="9"/>
  <c r="I9" i="7" s="1"/>
  <c r="D9" i="9"/>
  <c r="E9" i="7"/>
  <c r="E141" i="22"/>
  <c r="E27" i="8"/>
  <c r="E28" i="8" s="1"/>
  <c r="C27" i="8"/>
  <c r="C28" i="8" s="1"/>
  <c r="D27" i="8"/>
  <c r="D28" i="8" s="1"/>
  <c r="E91" i="11"/>
  <c r="E24" i="11"/>
  <c r="F19" i="24" s="1"/>
  <c r="E14" i="9"/>
  <c r="J9" i="7" s="1"/>
  <c r="F9" i="7"/>
  <c r="E9" i="9"/>
  <c r="D11" i="11"/>
  <c r="D23" i="11"/>
  <c r="E18" i="24" s="1"/>
  <c r="C52" i="22"/>
  <c r="C141" i="22" s="1"/>
  <c r="C140" i="22"/>
  <c r="D141" i="22"/>
  <c r="I141" i="22"/>
  <c r="I28" i="25"/>
  <c r="I25" i="25" s="1"/>
  <c r="E23" i="11"/>
  <c r="F18" i="24" s="1"/>
  <c r="E11" i="11"/>
  <c r="D32" i="7"/>
  <c r="D28" i="7" s="1"/>
  <c r="C35" i="18"/>
  <c r="H32" i="7" s="1"/>
  <c r="H28" i="7" s="1"/>
  <c r="C30" i="18"/>
  <c r="C3" i="18"/>
  <c r="C7" i="18" s="1"/>
  <c r="H28" i="25"/>
  <c r="H25" i="25" s="1"/>
  <c r="D92" i="12"/>
  <c r="I18" i="25"/>
  <c r="E33" i="18"/>
  <c r="J32" i="25" s="1"/>
  <c r="J28" i="25" s="1"/>
  <c r="J25" i="25" s="1"/>
  <c r="E31" i="18"/>
  <c r="E32" i="18"/>
  <c r="F32" i="25" s="1"/>
  <c r="D51" i="24"/>
  <c r="D50" i="24"/>
  <c r="D44" i="29"/>
  <c r="H33" i="7"/>
  <c r="C2" i="3"/>
  <c r="D34" i="7"/>
  <c r="C3" i="19"/>
  <c r="D35" i="25"/>
  <c r="D33" i="25" s="1"/>
  <c r="D39" i="7"/>
  <c r="D35" i="7" s="1"/>
  <c r="C30" i="19"/>
  <c r="C57" i="11"/>
  <c r="C94" i="11" s="1"/>
  <c r="C54" i="11"/>
  <c r="C55" i="11"/>
  <c r="C56" i="11"/>
  <c r="C58" i="11"/>
  <c r="C95" i="11" s="1"/>
  <c r="C12" i="11"/>
  <c r="H18" i="25" s="1"/>
  <c r="C9" i="9"/>
  <c r="F26" i="7" l="1"/>
  <c r="C2" i="21"/>
  <c r="F28" i="25"/>
  <c r="F25" i="25" s="1"/>
  <c r="E7" i="2"/>
  <c r="J26" i="7" s="1"/>
  <c r="D7" i="2"/>
  <c r="I26" i="7" s="1"/>
  <c r="E26" i="7"/>
  <c r="D117" i="10"/>
  <c r="D49" i="10" s="1"/>
  <c r="E14" i="24"/>
  <c r="D140" i="10"/>
  <c r="D145" i="10"/>
  <c r="D146" i="10" s="1"/>
  <c r="D142" i="10"/>
  <c r="D148" i="10"/>
  <c r="D149" i="10" s="1"/>
  <c r="E39" i="24"/>
  <c r="E36" i="29"/>
  <c r="E16" i="24"/>
  <c r="D76" i="10"/>
  <c r="D10" i="1"/>
  <c r="E5" i="24"/>
  <c r="C105" i="1"/>
  <c r="C106" i="1" s="1"/>
  <c r="C17" i="1" s="1"/>
  <c r="D6" i="24"/>
  <c r="F6" i="24"/>
  <c r="E105" i="1"/>
  <c r="E106" i="1" s="1"/>
  <c r="E17" i="1" s="1"/>
  <c r="E122" i="10"/>
  <c r="E123" i="10" s="1"/>
  <c r="E62" i="10" s="1"/>
  <c r="F13" i="29" s="1"/>
  <c r="D122" i="10"/>
  <c r="D123" i="10" s="1"/>
  <c r="D62" i="10" s="1"/>
  <c r="E13" i="29" s="1"/>
  <c r="F12" i="24"/>
  <c r="E112" i="9"/>
  <c r="E53" i="9" s="1"/>
  <c r="E3" i="17"/>
  <c r="E9" i="17"/>
  <c r="C62" i="10"/>
  <c r="C17" i="10" s="1"/>
  <c r="C7" i="2"/>
  <c r="H26" i="7" s="1"/>
  <c r="C140" i="10"/>
  <c r="C148" i="10"/>
  <c r="C149" i="10" s="1"/>
  <c r="C142" i="10"/>
  <c r="C145" i="10"/>
  <c r="C146" i="10" s="1"/>
  <c r="E142" i="10"/>
  <c r="E145" i="10"/>
  <c r="E146" i="10" s="1"/>
  <c r="E140" i="10"/>
  <c r="E148" i="10"/>
  <c r="E149" i="10" s="1"/>
  <c r="C117" i="10"/>
  <c r="C49" i="10" s="1"/>
  <c r="D14" i="24"/>
  <c r="E10" i="1"/>
  <c r="F5" i="24"/>
  <c r="C120" i="9"/>
  <c r="C31" i="9"/>
  <c r="C119" i="9"/>
  <c r="D39" i="24"/>
  <c r="D36" i="29"/>
  <c r="E31" i="9"/>
  <c r="F11" i="24" s="1"/>
  <c r="E119" i="9"/>
  <c r="E120" i="9"/>
  <c r="F36" i="29"/>
  <c r="F39" i="24"/>
  <c r="E6" i="24"/>
  <c r="D105" i="1"/>
  <c r="D106" i="1" s="1"/>
  <c r="D17" i="1" s="1"/>
  <c r="D16" i="24"/>
  <c r="C76" i="10"/>
  <c r="E76" i="10"/>
  <c r="F16" i="24"/>
  <c r="D119" i="9"/>
  <c r="D31" i="9"/>
  <c r="E11" i="24" s="1"/>
  <c r="D120" i="9"/>
  <c r="C10" i="1"/>
  <c r="D5" i="24"/>
  <c r="E117" i="10"/>
  <c r="E49" i="10" s="1"/>
  <c r="F14" i="24"/>
  <c r="D9" i="17"/>
  <c r="D3" i="17"/>
  <c r="D12" i="24"/>
  <c r="C112" i="9"/>
  <c r="C53" i="9" s="1"/>
  <c r="D9" i="29" s="1"/>
  <c r="C9" i="17"/>
  <c r="C3" i="17"/>
  <c r="D112" i="9"/>
  <c r="D53" i="9" s="1"/>
  <c r="E12" i="24"/>
  <c r="E96" i="11"/>
  <c r="E97" i="11" s="1"/>
  <c r="E18" i="11" s="1"/>
  <c r="E5" i="18"/>
  <c r="E4" i="18"/>
  <c r="C17" i="9"/>
  <c r="C21" i="9" s="1"/>
  <c r="H10" i="7" s="1"/>
  <c r="E36" i="8"/>
  <c r="F7" i="29" s="1"/>
  <c r="E94" i="8"/>
  <c r="E95" i="8" s="1"/>
  <c r="E97" i="8" s="1"/>
  <c r="E98" i="8" s="1"/>
  <c r="E3" i="8" s="1"/>
  <c r="D96" i="11"/>
  <c r="D10" i="3"/>
  <c r="D3" i="3"/>
  <c r="D11" i="3"/>
  <c r="E51" i="24" s="1"/>
  <c r="C2" i="18"/>
  <c r="E31" i="19"/>
  <c r="F18" i="25"/>
  <c r="E9" i="11"/>
  <c r="E35" i="18"/>
  <c r="J32" i="7" s="1"/>
  <c r="J28" i="7" s="1"/>
  <c r="F32" i="7"/>
  <c r="F28" i="7" s="1"/>
  <c r="E30" i="18"/>
  <c r="E3" i="18"/>
  <c r="E7" i="18" s="1"/>
  <c r="D5" i="12"/>
  <c r="I20" i="25" s="1"/>
  <c r="D93" i="12"/>
  <c r="D4" i="12" s="1"/>
  <c r="E18" i="25"/>
  <c r="D9" i="11"/>
  <c r="D36" i="8"/>
  <c r="E7" i="29" s="1"/>
  <c r="D94" i="8"/>
  <c r="D95" i="8" s="1"/>
  <c r="D97" i="8" s="1"/>
  <c r="D98" i="8" s="1"/>
  <c r="D3" i="8" s="1"/>
  <c r="D31" i="19"/>
  <c r="E10" i="3"/>
  <c r="E3" i="3"/>
  <c r="E11" i="3"/>
  <c r="F51" i="24" s="1"/>
  <c r="C36" i="8"/>
  <c r="D7" i="29" s="1"/>
  <c r="C94" i="8"/>
  <c r="C95" i="8" s="1"/>
  <c r="C97" i="8" s="1"/>
  <c r="C98" i="8" s="1"/>
  <c r="C3" i="8" s="1"/>
  <c r="D2" i="18"/>
  <c r="E7" i="21"/>
  <c r="E2" i="21"/>
  <c r="D7" i="21"/>
  <c r="D2" i="21"/>
  <c r="E93" i="12"/>
  <c r="E4" i="12" s="1"/>
  <c r="E5" i="12"/>
  <c r="J20" i="25" s="1"/>
  <c r="C2" i="19"/>
  <c r="C7" i="19"/>
  <c r="E12" i="25"/>
  <c r="F12" i="25"/>
  <c r="D33" i="7"/>
  <c r="C93" i="11"/>
  <c r="C25" i="11"/>
  <c r="C11" i="11"/>
  <c r="C23" i="11"/>
  <c r="C89" i="12"/>
  <c r="C12" i="12"/>
  <c r="C11" i="12"/>
  <c r="C10" i="12"/>
  <c r="C91" i="11"/>
  <c r="C24" i="11"/>
  <c r="C90" i="12"/>
  <c r="C91" i="12"/>
  <c r="C96" i="11" l="1"/>
  <c r="D13" i="29"/>
  <c r="D17" i="10"/>
  <c r="E14" i="7" s="1"/>
  <c r="D121" i="9"/>
  <c r="D123" i="9" s="1"/>
  <c r="D63" i="9" s="1"/>
  <c r="E10" i="29" s="1"/>
  <c r="E121" i="9"/>
  <c r="E123" i="9" s="1"/>
  <c r="E63" i="9" s="1"/>
  <c r="F10" i="29" s="1"/>
  <c r="C16" i="10"/>
  <c r="C21" i="10"/>
  <c r="H14" i="7" s="1"/>
  <c r="D17" i="9"/>
  <c r="E9" i="29"/>
  <c r="E10" i="10"/>
  <c r="F12" i="29"/>
  <c r="D18" i="29"/>
  <c r="C133" i="10"/>
  <c r="C134" i="10"/>
  <c r="D15" i="29"/>
  <c r="C136" i="10"/>
  <c r="D16" i="29"/>
  <c r="C135" i="10"/>
  <c r="D17" i="29"/>
  <c r="C19" i="13"/>
  <c r="C3" i="13" s="1"/>
  <c r="E84" i="13"/>
  <c r="E9" i="13" s="1"/>
  <c r="F27" i="24" s="1"/>
  <c r="C84" i="13"/>
  <c r="C9" i="13" s="1"/>
  <c r="D27" i="24" s="1"/>
  <c r="D19" i="13"/>
  <c r="D11" i="24"/>
  <c r="E19" i="13"/>
  <c r="D84" i="13"/>
  <c r="D9" i="13" s="1"/>
  <c r="E27" i="24" s="1"/>
  <c r="F38" i="29"/>
  <c r="F42" i="24"/>
  <c r="F6" i="7"/>
  <c r="E21" i="1"/>
  <c r="J6" i="7" s="1"/>
  <c r="E16" i="1"/>
  <c r="D24" i="9"/>
  <c r="D3" i="9" s="1"/>
  <c r="C7" i="17"/>
  <c r="H27" i="7" s="1"/>
  <c r="H25" i="7" s="1"/>
  <c r="D27" i="7"/>
  <c r="D25" i="7" s="1"/>
  <c r="C2" i="17"/>
  <c r="D7" i="17"/>
  <c r="I27" i="7" s="1"/>
  <c r="I25" i="7" s="1"/>
  <c r="D2" i="17"/>
  <c r="E27" i="7"/>
  <c r="E25" i="7" s="1"/>
  <c r="C10" i="10"/>
  <c r="D12" i="29"/>
  <c r="E143" i="10"/>
  <c r="E96" i="10" s="1"/>
  <c r="F19" i="29" s="1"/>
  <c r="E38" i="10"/>
  <c r="F15" i="24" s="1"/>
  <c r="E2" i="17"/>
  <c r="E7" i="17"/>
  <c r="J27" i="7" s="1"/>
  <c r="J25" i="7" s="1"/>
  <c r="F27" i="7"/>
  <c r="F25" i="7" s="1"/>
  <c r="E5" i="7"/>
  <c r="D3" i="1"/>
  <c r="D14" i="1"/>
  <c r="I5" i="7" s="1"/>
  <c r="D9" i="1"/>
  <c r="D38" i="29"/>
  <c r="D42" i="24"/>
  <c r="E42" i="24"/>
  <c r="E38" i="29"/>
  <c r="C14" i="1"/>
  <c r="H5" i="7" s="1"/>
  <c r="C9" i="1"/>
  <c r="D5" i="7"/>
  <c r="C3" i="1"/>
  <c r="D16" i="1"/>
  <c r="E6" i="7"/>
  <c r="D21" i="1"/>
  <c r="I6" i="7" s="1"/>
  <c r="E17" i="9"/>
  <c r="F9" i="29"/>
  <c r="E17" i="10"/>
  <c r="E17" i="29"/>
  <c r="D136" i="10"/>
  <c r="E15" i="29"/>
  <c r="E16" i="29"/>
  <c r="E18" i="29"/>
  <c r="D133" i="10"/>
  <c r="D135" i="10"/>
  <c r="D134" i="10"/>
  <c r="F15" i="29"/>
  <c r="E136" i="10"/>
  <c r="F16" i="29"/>
  <c r="E134" i="10"/>
  <c r="F17" i="29"/>
  <c r="E135" i="10"/>
  <c r="F18" i="29"/>
  <c r="E133" i="10"/>
  <c r="C121" i="9"/>
  <c r="C123" i="9" s="1"/>
  <c r="C63" i="9" s="1"/>
  <c r="D10" i="29" s="1"/>
  <c r="E3" i="1"/>
  <c r="E9" i="1"/>
  <c r="F5" i="7"/>
  <c r="E14" i="1"/>
  <c r="J5" i="7" s="1"/>
  <c r="C38" i="10"/>
  <c r="D15" i="24" s="1"/>
  <c r="C143" i="10"/>
  <c r="C96" i="10" s="1"/>
  <c r="D19" i="29" s="1"/>
  <c r="C21" i="1"/>
  <c r="H6" i="7" s="1"/>
  <c r="C16" i="1"/>
  <c r="D6" i="7"/>
  <c r="D38" i="10"/>
  <c r="E15" i="24" s="1"/>
  <c r="D143" i="10"/>
  <c r="D96" i="10" s="1"/>
  <c r="E12" i="29"/>
  <c r="D10" i="10"/>
  <c r="D14" i="7"/>
  <c r="C16" i="9"/>
  <c r="E19" i="11"/>
  <c r="J19" i="25" s="1"/>
  <c r="J17" i="25" s="1"/>
  <c r="J3" i="25" s="1"/>
  <c r="J45" i="25" s="1"/>
  <c r="F49" i="7" s="1"/>
  <c r="D10" i="7"/>
  <c r="E2" i="18"/>
  <c r="E7" i="3"/>
  <c r="J34" i="7" s="1"/>
  <c r="E2" i="3"/>
  <c r="F34" i="7"/>
  <c r="D19" i="11"/>
  <c r="D97" i="11"/>
  <c r="D18" i="11" s="1"/>
  <c r="F50" i="24"/>
  <c r="F44" i="29"/>
  <c r="E16" i="11"/>
  <c r="E7" i="11" s="1"/>
  <c r="F19" i="25"/>
  <c r="F17" i="25" s="1"/>
  <c r="E4" i="11"/>
  <c r="E2" i="11" s="1"/>
  <c r="E2" i="12"/>
  <c r="F20" i="25"/>
  <c r="E35" i="19"/>
  <c r="J39" i="7" s="1"/>
  <c r="J35" i="7" s="1"/>
  <c r="E30" i="19"/>
  <c r="F39" i="7"/>
  <c r="F35" i="7" s="1"/>
  <c r="E3" i="19"/>
  <c r="E50" i="24"/>
  <c r="E44" i="29"/>
  <c r="E20" i="25"/>
  <c r="D2" i="12"/>
  <c r="E7" i="8"/>
  <c r="J7" i="7" s="1"/>
  <c r="E2" i="8"/>
  <c r="F7" i="7"/>
  <c r="D7" i="8"/>
  <c r="I7" i="7" s="1"/>
  <c r="D2" i="8"/>
  <c r="E7" i="7"/>
  <c r="C7" i="8"/>
  <c r="H7" i="7" s="1"/>
  <c r="D7" i="7"/>
  <c r="C2" i="8"/>
  <c r="D35" i="19"/>
  <c r="I39" i="7" s="1"/>
  <c r="I35" i="7" s="1"/>
  <c r="D30" i="19"/>
  <c r="E39" i="7"/>
  <c r="E35" i="7" s="1"/>
  <c r="D3" i="19"/>
  <c r="D7" i="3"/>
  <c r="I34" i="7" s="1"/>
  <c r="E34" i="7"/>
  <c r="D2" i="3"/>
  <c r="D19" i="24"/>
  <c r="D20" i="24"/>
  <c r="D23" i="24"/>
  <c r="D18" i="24"/>
  <c r="D24" i="24"/>
  <c r="D25" i="24"/>
  <c r="C9" i="11"/>
  <c r="D18" i="25"/>
  <c r="D12" i="25"/>
  <c r="C19" i="11"/>
  <c r="C97" i="11"/>
  <c r="C18" i="11" s="1"/>
  <c r="D19" i="25" s="1"/>
  <c r="C92" i="12"/>
  <c r="D16" i="10" l="1"/>
  <c r="D21" i="10"/>
  <c r="I14" i="7" s="1"/>
  <c r="E4" i="7"/>
  <c r="E24" i="9"/>
  <c r="E23" i="9" s="1"/>
  <c r="D2" i="9"/>
  <c r="D7" i="9"/>
  <c r="F4" i="7"/>
  <c r="E137" i="10"/>
  <c r="E24" i="10" s="1"/>
  <c r="E28" i="10" s="1"/>
  <c r="J15" i="7" s="1"/>
  <c r="D137" i="10"/>
  <c r="D24" i="10" s="1"/>
  <c r="D28" i="10" s="1"/>
  <c r="I15" i="7" s="1"/>
  <c r="C31" i="10"/>
  <c r="D4" i="7"/>
  <c r="J4" i="7"/>
  <c r="E16" i="9"/>
  <c r="F10" i="7"/>
  <c r="E21" i="9"/>
  <c r="J10" i="7" s="1"/>
  <c r="I4" i="7"/>
  <c r="E11" i="7"/>
  <c r="D28" i="9"/>
  <c r="I11" i="7" s="1"/>
  <c r="E14" i="10"/>
  <c r="J13" i="7" s="1"/>
  <c r="F13" i="7"/>
  <c r="E9" i="10"/>
  <c r="D23" i="9"/>
  <c r="C24" i="9"/>
  <c r="E21" i="10"/>
  <c r="J14" i="7" s="1"/>
  <c r="E16" i="10"/>
  <c r="F14" i="7"/>
  <c r="D2" i="1"/>
  <c r="D7" i="1"/>
  <c r="C14" i="10"/>
  <c r="H13" i="7" s="1"/>
  <c r="D13" i="7"/>
  <c r="C9" i="10"/>
  <c r="F25" i="29"/>
  <c r="E3" i="13"/>
  <c r="C137" i="10"/>
  <c r="C24" i="10" s="1"/>
  <c r="C7" i="1"/>
  <c r="C2" i="1"/>
  <c r="E25" i="29"/>
  <c r="D3" i="13"/>
  <c r="E19" i="29"/>
  <c r="D31" i="10"/>
  <c r="E13" i="7"/>
  <c r="D14" i="10"/>
  <c r="I13" i="7" s="1"/>
  <c r="D9" i="10"/>
  <c r="E2" i="1"/>
  <c r="E7" i="1"/>
  <c r="H4" i="7"/>
  <c r="E31" i="10"/>
  <c r="D25" i="29"/>
  <c r="E10" i="7"/>
  <c r="D16" i="9"/>
  <c r="D21" i="9"/>
  <c r="I10" i="7" s="1"/>
  <c r="E5" i="11"/>
  <c r="F3" i="25"/>
  <c r="F45" i="25" s="1"/>
  <c r="F46" i="7" s="1"/>
  <c r="J33" i="7"/>
  <c r="I33" i="7"/>
  <c r="D7" i="19"/>
  <c r="D2" i="19"/>
  <c r="D16" i="11"/>
  <c r="E19" i="25"/>
  <c r="E17" i="25" s="1"/>
  <c r="E3" i="25" s="1"/>
  <c r="E45" i="25" s="1"/>
  <c r="E46" i="7" s="1"/>
  <c r="D4" i="11"/>
  <c r="D2" i="11" s="1"/>
  <c r="I19" i="25"/>
  <c r="I17" i="25" s="1"/>
  <c r="I3" i="25" s="1"/>
  <c r="I45" i="25" s="1"/>
  <c r="E49" i="7" s="1"/>
  <c r="D5" i="11"/>
  <c r="E33" i="7"/>
  <c r="E7" i="19"/>
  <c r="E2" i="19"/>
  <c r="F33" i="7"/>
  <c r="C5" i="11"/>
  <c r="H19" i="25"/>
  <c r="H17" i="25" s="1"/>
  <c r="D17" i="25"/>
  <c r="C93" i="12"/>
  <c r="C4" i="12" s="1"/>
  <c r="D20" i="25" s="1"/>
  <c r="C5" i="12"/>
  <c r="H20" i="25" s="1"/>
  <c r="C16" i="11"/>
  <c r="C7" i="11" s="1"/>
  <c r="C4" i="11"/>
  <c r="C2" i="11" s="1"/>
  <c r="E3" i="9" l="1"/>
  <c r="E2" i="9" s="1"/>
  <c r="F15" i="7"/>
  <c r="E3" i="10"/>
  <c r="E7" i="10" s="1"/>
  <c r="E23" i="10"/>
  <c r="E15" i="7"/>
  <c r="E28" i="9"/>
  <c r="J11" i="7" s="1"/>
  <c r="J8" i="7" s="1"/>
  <c r="F11" i="7"/>
  <c r="F8" i="7" s="1"/>
  <c r="I8" i="7"/>
  <c r="D3" i="10"/>
  <c r="D2" i="10" s="1"/>
  <c r="D23" i="10"/>
  <c r="C35" i="10"/>
  <c r="H16" i="7" s="1"/>
  <c r="D16" i="7"/>
  <c r="C30" i="10"/>
  <c r="C7" i="13"/>
  <c r="H21" i="7" s="1"/>
  <c r="D21" i="7"/>
  <c r="C2" i="13"/>
  <c r="C28" i="9"/>
  <c r="H11" i="7" s="1"/>
  <c r="H8" i="7" s="1"/>
  <c r="D11" i="7"/>
  <c r="D8" i="7" s="1"/>
  <c r="C23" i="9"/>
  <c r="C3" i="9"/>
  <c r="D7" i="13"/>
  <c r="I21" i="7" s="1"/>
  <c r="E21" i="7"/>
  <c r="D2" i="13"/>
  <c r="C28" i="10"/>
  <c r="H15" i="7" s="1"/>
  <c r="C3" i="10"/>
  <c r="C23" i="10"/>
  <c r="D15" i="7"/>
  <c r="E35" i="10"/>
  <c r="J16" i="7" s="1"/>
  <c r="J12" i="7" s="1"/>
  <c r="F16" i="7"/>
  <c r="F12" i="7" s="1"/>
  <c r="E30" i="10"/>
  <c r="D35" i="10"/>
  <c r="I16" i="7" s="1"/>
  <c r="I12" i="7" s="1"/>
  <c r="D30" i="10"/>
  <c r="E16" i="7"/>
  <c r="E12" i="7" s="1"/>
  <c r="E7" i="13"/>
  <c r="J21" i="7" s="1"/>
  <c r="E2" i="13"/>
  <c r="F21" i="7"/>
  <c r="E8" i="7"/>
  <c r="H3" i="25"/>
  <c r="H45" i="25" s="1"/>
  <c r="D49" i="7" s="1"/>
  <c r="D3" i="25"/>
  <c r="D45" i="25" s="1"/>
  <c r="D46" i="7" s="1"/>
  <c r="C2" i="12"/>
  <c r="E2" i="10" l="1"/>
  <c r="E7" i="9"/>
  <c r="F3" i="7"/>
  <c r="F45" i="7" s="1"/>
  <c r="F47" i="7" s="1"/>
  <c r="I3" i="7"/>
  <c r="I51" i="7" s="1"/>
  <c r="D12" i="7"/>
  <c r="D3" i="7" s="1"/>
  <c r="D45" i="7" s="1"/>
  <c r="D47" i="7" s="1"/>
  <c r="D7" i="10"/>
  <c r="H12" i="7"/>
  <c r="J3" i="7"/>
  <c r="J51" i="7" s="1"/>
  <c r="C7" i="10"/>
  <c r="C2" i="10"/>
  <c r="H3" i="7"/>
  <c r="H51" i="7" s="1"/>
  <c r="E3" i="7"/>
  <c r="E45" i="7" s="1"/>
  <c r="E47" i="7" s="1"/>
  <c r="C7" i="9"/>
  <c r="C2" i="9"/>
</calcChain>
</file>

<file path=xl/comments1.xml><?xml version="1.0" encoding="utf-8"?>
<comments xmlns="http://schemas.openxmlformats.org/spreadsheetml/2006/main">
  <authors>
    <author>CER002</author>
  </authors>
  <commentList>
    <comment ref="C41" authorId="0" shapeId="0">
      <text>
        <r>
          <rPr>
            <b/>
            <sz val="9"/>
            <color indexed="81"/>
            <rFont val="Tahoma"/>
            <family val="2"/>
          </rPr>
          <t>CER002:</t>
        </r>
        <r>
          <rPr>
            <sz val="9"/>
            <color indexed="81"/>
            <rFont val="Tahoma"/>
            <family val="2"/>
          </rPr>
          <t xml:space="preserve">
The price of a 15 000mcg capsule, which is the smallest, is 43c</t>
        </r>
      </text>
    </comment>
  </commentList>
</comments>
</file>

<file path=xl/comments2.xml><?xml version="1.0" encoding="utf-8"?>
<comments xmlns="http://schemas.openxmlformats.org/spreadsheetml/2006/main">
  <authors>
    <author>CER002</author>
  </authors>
  <commentList>
    <comment ref="C103" authorId="0" shapeId="0">
      <text>
        <r>
          <rPr>
            <b/>
            <sz val="9"/>
            <color indexed="81"/>
            <rFont val="Tahoma"/>
            <family val="2"/>
          </rPr>
          <t>Price per dose is based on pack of 56 costing R2.02</t>
        </r>
      </text>
    </comment>
    <comment ref="C105" authorId="0" shapeId="0">
      <text>
        <r>
          <rPr>
            <b/>
            <sz val="9"/>
            <color indexed="81"/>
            <rFont val="Tahoma"/>
            <family val="2"/>
          </rPr>
          <t xml:space="preserve">This  total amount may cover a period longer than a year, but is multiplied by # birth occurences to cover both years each mother takes multivitamins for </t>
        </r>
      </text>
    </comment>
    <comment ref="C107" authorId="0" shapeId="0">
      <text>
        <r>
          <rPr>
            <b/>
            <sz val="9"/>
            <color indexed="81"/>
            <rFont val="Tahoma"/>
            <family val="2"/>
          </rPr>
          <t>CER002: Price is based on R261/1000 tablets:</t>
        </r>
        <r>
          <rPr>
            <sz val="9"/>
            <color indexed="81"/>
            <rFont val="Tahoma"/>
            <family val="2"/>
          </rPr>
          <t xml:space="preserve">
Prenatal Forte 1000’s                     R 261.63 Not on Tender (R 7.85 / 30) </t>
        </r>
      </text>
    </comment>
    <comment ref="C113" authorId="0" shapeId="0">
      <text>
        <r>
          <rPr>
            <b/>
            <sz val="9"/>
            <color indexed="81"/>
            <rFont val="Tahoma"/>
            <family val="2"/>
          </rPr>
          <t>CER002:</t>
        </r>
        <r>
          <rPr>
            <sz val="9"/>
            <color indexed="81"/>
            <rFont val="Tahoma"/>
            <family val="2"/>
          </rPr>
          <t xml:space="preserve">
Price is based on R32.91 for 50 tablets
</t>
        </r>
      </text>
    </comment>
    <comment ref="C114" authorId="0" shapeId="0">
      <text>
        <r>
          <rPr>
            <b/>
            <sz val="9"/>
            <color indexed="81"/>
            <rFont val="Tahoma"/>
            <family val="2"/>
          </rPr>
          <t>CER002:</t>
        </r>
        <r>
          <rPr>
            <sz val="9"/>
            <color indexed="81"/>
            <rFont val="Tahoma"/>
            <family val="2"/>
          </rPr>
          <t xml:space="preserve">
cost based on R21.66 for 50</t>
        </r>
      </text>
    </comment>
    <comment ref="C118" authorId="0" shapeId="0">
      <text>
        <r>
          <rPr>
            <b/>
            <sz val="9"/>
            <color indexed="81"/>
            <rFont val="Tahoma"/>
            <family val="2"/>
          </rPr>
          <t>CER002:</t>
        </r>
        <r>
          <rPr>
            <sz val="9"/>
            <color indexed="81"/>
            <rFont val="Tahoma"/>
            <family val="2"/>
          </rPr>
          <t xml:space="preserve">
This is total mother:nurse meetings required</t>
        </r>
      </text>
    </comment>
  </commentList>
</comments>
</file>

<file path=xl/comments3.xml><?xml version="1.0" encoding="utf-8"?>
<comments xmlns="http://schemas.openxmlformats.org/spreadsheetml/2006/main">
  <authors>
    <author>CER002</author>
  </authors>
  <commentList>
    <comment ref="C66" authorId="0" shapeId="0">
      <text>
        <r>
          <rPr>
            <b/>
            <sz val="9"/>
            <color indexed="81"/>
            <rFont val="Tahoma"/>
            <family val="2"/>
          </rPr>
          <t>CER002:</t>
        </r>
        <r>
          <rPr>
            <sz val="9"/>
            <color indexed="81"/>
            <rFont val="Tahoma"/>
            <family val="2"/>
          </rPr>
          <t xml:space="preserve">
Need to think this through - all ECD centres must be registered, regardless of income levels</t>
        </r>
      </text>
    </comment>
  </commentList>
</comments>
</file>

<file path=xl/sharedStrings.xml><?xml version="1.0" encoding="utf-8"?>
<sst xmlns="http://schemas.openxmlformats.org/spreadsheetml/2006/main" count="1911" uniqueCount="794">
  <si>
    <t>Municipal building and health clearance certificates</t>
  </si>
  <si>
    <t>Provincial DSD registration of partial care facilities</t>
  </si>
  <si>
    <t>Main types of partial care facilities</t>
  </si>
  <si>
    <t>Age cohort</t>
  </si>
  <si>
    <t>Assumed % of children in partial care</t>
  </si>
  <si>
    <t>Assumed average number of children in each type of facility</t>
  </si>
  <si>
    <t>Day care for babies</t>
  </si>
  <si>
    <t>0 – 1</t>
  </si>
  <si>
    <t>Day care for toddlers</t>
  </si>
  <si>
    <t>1 – 3</t>
  </si>
  <si>
    <t>ECD centres</t>
  </si>
  <si>
    <t>3 – 5</t>
  </si>
  <si>
    <t>After school care facilities</t>
  </si>
  <si>
    <t>5 – 13</t>
  </si>
  <si>
    <t>Other types of facilities</t>
  </si>
  <si>
    <t>0 – 18</t>
  </si>
  <si>
    <t>Percent Applications Turned Down</t>
  </si>
  <si>
    <t>Number of years the registration is valid for:</t>
  </si>
  <si>
    <t>Cost per inspection</t>
  </si>
  <si>
    <t>Registration of Partial Care facilities</t>
  </si>
  <si>
    <t>Percent applications that result in conditional registration</t>
  </si>
  <si>
    <t>Percent applications that are turned down</t>
  </si>
  <si>
    <t>Demand Assumptions</t>
  </si>
  <si>
    <t>Number of officials per team</t>
  </si>
  <si>
    <t>Number of applications the team processes per year</t>
  </si>
  <si>
    <t>Cost of application</t>
  </si>
  <si>
    <t>Registration of ECD programmes</t>
  </si>
  <si>
    <t>Other types of programmes</t>
  </si>
  <si>
    <t>0 – 6</t>
  </si>
  <si>
    <t>Subsidies to ECD centres</t>
  </si>
  <si>
    <t>The ECD subsidy</t>
  </si>
  <si>
    <t>Assumed % of children in ECD Centres</t>
  </si>
  <si>
    <t>Poverty Targeting</t>
  </si>
  <si>
    <t>No. of children falling in the poverty quintiles one, two and three</t>
  </si>
  <si>
    <t>Standardised daily subsidy rate per child</t>
  </si>
  <si>
    <t>Number of days the subsidy is paid</t>
  </si>
  <si>
    <t>NPO Registration</t>
  </si>
  <si>
    <t>Percent of registered ECD centres that will apply for NPO registration</t>
  </si>
  <si>
    <t>Percent of applications that have to be referred back</t>
  </si>
  <si>
    <t>Number of years over which applications are spread</t>
  </si>
  <si>
    <t>Percent of NPO registrations that must be cancelled due to non-compliance</t>
  </si>
  <si>
    <t>Number of officials in team that process applications</t>
  </si>
  <si>
    <t>Number of applications the team can process per year</t>
  </si>
  <si>
    <t>Cost per application</t>
  </si>
  <si>
    <t>ECD subsidy administration</t>
  </si>
  <si>
    <t>Percent of registered ECD centres that will apply for subsidies</t>
  </si>
  <si>
    <t>Percent of applications that must be referred back</t>
  </si>
  <si>
    <t>Percent of subsidy applications that will receive funding</t>
  </si>
  <si>
    <t>Cost per ECD subsidy application</t>
  </si>
  <si>
    <t>Cost of administration of ECD subsidy per subsidy paid</t>
  </si>
  <si>
    <t>Inspection, Monitoring and Assessment of Partial Care and ECD services</t>
  </si>
  <si>
    <t>Number of inspections per quarter</t>
  </si>
  <si>
    <t>Number of inspectors per team</t>
  </si>
  <si>
    <t>Number of inspections each team can make per year</t>
  </si>
  <si>
    <t>Monitoring</t>
  </si>
  <si>
    <t>Inspections</t>
  </si>
  <si>
    <t>Percent of ECD facilities that are inspected each year</t>
  </si>
  <si>
    <t>Oversight of annual and quarterly reports:</t>
  </si>
  <si>
    <t>Number of officials per inspection team</t>
  </si>
  <si>
    <t>Number of annual and quarterly reports reviewed per team per year</t>
  </si>
  <si>
    <t>On-site financial inspections</t>
  </si>
  <si>
    <t>Operating cost per report inspected</t>
  </si>
  <si>
    <t>Number of ECD sites the official can inpsect per year</t>
  </si>
  <si>
    <t>Operating cost per on-site inspection</t>
  </si>
  <si>
    <t>Assessment</t>
  </si>
  <si>
    <t>Number of officals per Development Quality Assurance (DQA) Team</t>
  </si>
  <si>
    <t>Nurse</t>
  </si>
  <si>
    <t>Social Worker</t>
  </si>
  <si>
    <t>Teacher</t>
  </si>
  <si>
    <t>Percent of registered facilities that will be inspected</t>
  </si>
  <si>
    <t>Occupational Therapist</t>
  </si>
  <si>
    <t>Number of ECD programmes a DQA team can assess each year</t>
  </si>
  <si>
    <t>Operating cost per DQA assessment</t>
  </si>
  <si>
    <t>Enforcement</t>
  </si>
  <si>
    <t>Percent of partial care facilities for which there will be complaints:</t>
  </si>
  <si>
    <t>Of the above facilities, the following percent of interventions will be required:</t>
  </si>
  <si>
    <t>light touch intervention</t>
  </si>
  <si>
    <t>medium touch intervention</t>
  </si>
  <si>
    <t>heavy handed intervention</t>
  </si>
  <si>
    <t>Investigating complaints</t>
  </si>
  <si>
    <t>Number of complaints one official can investigate per year</t>
  </si>
  <si>
    <t>Operational costs of each investigation</t>
  </si>
  <si>
    <t>Light touch intervention</t>
  </si>
  <si>
    <t>Medium touch intervention</t>
  </si>
  <si>
    <t>Heavy handed intervention</t>
  </si>
  <si>
    <t>Funding to establish ECD centres and improve infrastructure</t>
  </si>
  <si>
    <t>Building of new ECD centres</t>
  </si>
  <si>
    <t>Size of ECD centres</t>
  </si>
  <si>
    <t>Estimated % of existing ECD centres serving poor children</t>
  </si>
  <si>
    <t>80% of 12 250 centres</t>
  </si>
  <si>
    <t>Number of years the building will be phased over</t>
  </si>
  <si>
    <t>Capital cost per new ECD centre</t>
  </si>
  <si>
    <t>Upgrading existing ECD centre infrastructure</t>
  </si>
  <si>
    <t>Estimated no. of existing ECD Centres</t>
  </si>
  <si>
    <t>Connection to basic services</t>
  </si>
  <si>
    <t>Good condition – no upgrade</t>
  </si>
  <si>
    <t>Light touch upgrade</t>
  </si>
  <si>
    <t>Moderate upgrade</t>
  </si>
  <si>
    <t>Significant upgrade</t>
  </si>
  <si>
    <t>Percent of of existing ECD Centres requiring infrastructure upgrading</t>
  </si>
  <si>
    <t>Cost per service provision connection</t>
  </si>
  <si>
    <t>Percent of new building costs for different types of upgrades</t>
  </si>
  <si>
    <t>Targeting and demand assumptions</t>
  </si>
  <si>
    <t>Number of poorest income quintiles that will be targeted</t>
  </si>
  <si>
    <t>Equipment and LSM materials for ECD centres</t>
  </si>
  <si>
    <t>Percent of of existing ECD Centres to receive equipment sets</t>
  </si>
  <si>
    <t>Set-up furniture, kitchen appliances and a solar geyser</t>
  </si>
  <si>
    <t>Stock of toys and ECD materials</t>
  </si>
  <si>
    <t>Set of outdoor playground equipment</t>
  </si>
  <si>
    <t>Cost assumptions per type of equipment set:</t>
  </si>
  <si>
    <t>Set-up furniture, appliances and a solar geyser</t>
  </si>
  <si>
    <t>Set of outdoor equipment</t>
  </si>
  <si>
    <t>Caregiver capacity building courses</t>
  </si>
  <si>
    <t>Number of facilitators per course</t>
  </si>
  <si>
    <t>Number of people that attend each course</t>
  </si>
  <si>
    <t>Number of training session per intervention</t>
  </si>
  <si>
    <t>Number of courses a facilitator can present in one year</t>
  </si>
  <si>
    <t>Annual salary of facilitators</t>
  </si>
  <si>
    <t>Operational costs per courses</t>
  </si>
  <si>
    <t>Home-based visiting programme</t>
  </si>
  <si>
    <t>Number of home visitors one coordinator can oversee</t>
  </si>
  <si>
    <t>Number of families a home visitor can visit each week</t>
  </si>
  <si>
    <t>Number of families a home visitor is responsible for visiting</t>
  </si>
  <si>
    <t>Number of the poorest municipalities who will be allocated teams</t>
  </si>
  <si>
    <t>Number of teams per municipality</t>
  </si>
  <si>
    <t>Number of teams that will receive initial training</t>
  </si>
  <si>
    <t>Stipends and co-oridinator salary costs per team</t>
  </si>
  <si>
    <t>Annual operating cost per team</t>
  </si>
  <si>
    <t>Quarterly refresher training costs per team per year</t>
  </si>
  <si>
    <t>Initial training costs per team</t>
  </si>
  <si>
    <t>Community based playgroups</t>
  </si>
  <si>
    <t>Number of teams to be set up per year</t>
  </si>
  <si>
    <t>Annual salary costs of ECD facilitators and administors</t>
  </si>
  <si>
    <t>Operating costs per team per year</t>
  </si>
  <si>
    <t>Refreshment costs for children per team per year</t>
  </si>
  <si>
    <t>Set up costs:</t>
  </si>
  <si>
    <t>Bakkies</t>
  </si>
  <si>
    <t>ECD equipment</t>
  </si>
  <si>
    <t>Toy libraries</t>
  </si>
  <si>
    <t>Number of toy libraries to be established at each of the following facilities:</t>
  </si>
  <si>
    <t>Community libraries</t>
  </si>
  <si>
    <t>Municipal multiple purpose centres</t>
  </si>
  <si>
    <t>Primary schools</t>
  </si>
  <si>
    <t>Number of sets of outdoor equipment to be provided per community library</t>
  </si>
  <si>
    <t>Toy librarian salary per year</t>
  </si>
  <si>
    <t>Operating costs per year</t>
  </si>
  <si>
    <t>Replacement costs of toys and consumables</t>
  </si>
  <si>
    <t>Refreshments for children per year</t>
  </si>
  <si>
    <t>Set-up furniture per library</t>
  </si>
  <si>
    <t>Stock of toys and ECD materials per library</t>
  </si>
  <si>
    <t>Set of 10 themed ECD activity boxes per set</t>
  </si>
  <si>
    <r>
      <t>Set of outdoor equipment per library</t>
    </r>
    <r>
      <rPr>
        <sz val="8"/>
        <color theme="1"/>
        <rFont val="Arial"/>
        <family val="2"/>
      </rPr>
      <t> </t>
    </r>
  </si>
  <si>
    <t>Maintenance of outdoor equipment as a percent of equipment costs</t>
  </si>
  <si>
    <t>Number of Toy Library each Toy Librarian works at</t>
  </si>
  <si>
    <t>Training of ECD practitioners</t>
  </si>
  <si>
    <t>Cost of one-year ECD practitioners course</t>
  </si>
  <si>
    <t>Number of years to complete Grade R educator course</t>
  </si>
  <si>
    <t>Number of ECD facilities</t>
  </si>
  <si>
    <t>The payment of stipends to those in training</t>
  </si>
  <si>
    <t>Percentage of students that will qualify for a stipend</t>
  </si>
  <si>
    <t>Value of stipend per month</t>
  </si>
  <si>
    <t>Services for children in Grade R</t>
  </si>
  <si>
    <t>Grade R classrooms</t>
  </si>
  <si>
    <t>Percent of Grade R learners that will attend private or community facilities</t>
  </si>
  <si>
    <t>Percentage of Grade R learners that can be accommodated in existing classrooms</t>
  </si>
  <si>
    <t>Percent of Grade R learners for who new classrooms must be built</t>
  </si>
  <si>
    <t>Capital cost per Grade R classroom</t>
  </si>
  <si>
    <t>Maximum number of Grade R learners per class</t>
  </si>
  <si>
    <t>Grade R educator salaries</t>
  </si>
  <si>
    <t>Percentage of Grade R salaries that government will pay for</t>
  </si>
  <si>
    <t>Salary of the Grade R educator</t>
  </si>
  <si>
    <t>Grade R LSM</t>
  </si>
  <si>
    <t>Percentage of all Grade R classes that will receive LSM packages</t>
  </si>
  <si>
    <t>Percent of the non-consumable package that must be replaced every year</t>
  </si>
  <si>
    <t>Percent of basic package that are consumables</t>
  </si>
  <si>
    <t>Percentage of Grade R classroms government replenish LSM packages at</t>
  </si>
  <si>
    <t xml:space="preserve">Basic Grade R Pack </t>
  </si>
  <si>
    <t>Annual replacement costs of the consumable portion of the pack</t>
  </si>
  <si>
    <t>Annual maintenance costs of the non-consumable portion of the pack</t>
  </si>
  <si>
    <t>Grade R play-ground equipment</t>
  </si>
  <si>
    <t>Percentage of schools that are large enough to receive two sets of playground equipment</t>
  </si>
  <si>
    <t>Percentage of schools with Grade R classes that will receive playground equipment</t>
  </si>
  <si>
    <t>Cost of a set of playground equipment</t>
  </si>
  <si>
    <t>Maintence costs of playground equipment as a percent of initial cost</t>
  </si>
  <si>
    <t>Access to qualified nurses</t>
  </si>
  <si>
    <t>Salary of a qualified nurse</t>
  </si>
  <si>
    <t>Early antenatal care and maternal and child nutrition in the first 1,000 days</t>
  </si>
  <si>
    <t>Provision of supplements and multivitamins</t>
  </si>
  <si>
    <t>Birth occurences predicted in 2013</t>
  </si>
  <si>
    <t>Number of poorest quintiles in target group</t>
  </si>
  <si>
    <t>Percentage of mothers in target group to be covered</t>
  </si>
  <si>
    <t>Number of times new births receive high dosage Vitamin A capsules</t>
  </si>
  <si>
    <t>Percentage of children in target group to be covered</t>
  </si>
  <si>
    <t>Provision of antenatal care</t>
  </si>
  <si>
    <t>Number of times a pregnant mother should visit or be visited by a nurse each trimester:</t>
  </si>
  <si>
    <t>First trimester</t>
  </si>
  <si>
    <t>Second trimester</t>
  </si>
  <si>
    <t>Third trimester</t>
  </si>
  <si>
    <t>Percentage of the target group that will visit clinics for check ups</t>
  </si>
  <si>
    <t>Percentage of the target group that will be visited at home by nurses</t>
  </si>
  <si>
    <t>Nurse visits for children from birth to 24 months of age</t>
  </si>
  <si>
    <t>Number of times children from birth to one year should visit or be visited by a nurse:</t>
  </si>
  <si>
    <t>Number of times children from one year to two years should visit or be visited by a nurse:</t>
  </si>
  <si>
    <t xml:space="preserve">Nurse visits for children from 24 months to 6 years  </t>
  </si>
  <si>
    <t>Number of times per year children between 24 months and 6 years should be checked</t>
  </si>
  <si>
    <t>Percentage of target group that will be accessed at early childhood care facilities</t>
  </si>
  <si>
    <t>Average size of group that will be accessed at early childhood care facilities</t>
  </si>
  <si>
    <t>Percentage of target group that will be accessed at home</t>
  </si>
  <si>
    <t>Emergency obstetric care</t>
  </si>
  <si>
    <t>Immunisation, deworming and growth monitoring (Road to Health booklet)</t>
  </si>
  <si>
    <r>
      <t>PNEUMOCOCCAL VACCINE CONJUGATED</t>
    </r>
    <r>
      <rPr>
        <sz val="8"/>
        <color rgb="FF000000"/>
        <rFont val="Calibri"/>
        <family val="2"/>
        <scheme val="minor"/>
      </rPr>
      <t xml:space="preserve"> SUSPENSION;PREFILLED SYRINGE;0.5ML</t>
    </r>
  </si>
  <si>
    <r>
      <t xml:space="preserve">VACCINE </t>
    </r>
    <r>
      <rPr>
        <b/>
        <sz val="10"/>
        <color rgb="FF000000"/>
        <rFont val="Calibri"/>
        <family val="2"/>
        <scheme val="minor"/>
      </rPr>
      <t>DIPHTHERIA AND TETANUS</t>
    </r>
    <r>
      <rPr>
        <sz val="8"/>
        <color rgb="FF000000"/>
        <rFont val="Calibri"/>
        <family val="2"/>
        <scheme val="minor"/>
      </rPr>
      <t xml:space="preserve"> 10 DOSE</t>
    </r>
  </si>
  <si>
    <t>VACCINE HEPATITIS B;INTRAMUSCULAR;PAEDIATRIC;10 DOSE;1,5MCG/0,5ML;5ML;1'S</t>
  </si>
  <si>
    <r>
      <t xml:space="preserve">VACCINE </t>
    </r>
    <r>
      <rPr>
        <b/>
        <sz val="10"/>
        <color rgb="FF000000"/>
        <rFont val="Calibri"/>
        <family val="2"/>
        <scheme val="minor"/>
      </rPr>
      <t>POLIO/HAEMPHILUS/Diphtheria, tetanus, pertussis</t>
    </r>
    <r>
      <rPr>
        <sz val="8"/>
        <color rgb="FF000000"/>
        <rFont val="Calibri"/>
        <family val="2"/>
        <scheme val="minor"/>
      </rPr>
      <t xml:space="preserve"> PENTAXIM 0.5ML</t>
    </r>
  </si>
  <si>
    <r>
      <t xml:space="preserve">VACCINE </t>
    </r>
    <r>
      <rPr>
        <b/>
        <sz val="10"/>
        <color rgb="FF000000"/>
        <rFont val="Calibri"/>
        <family val="2"/>
        <scheme val="minor"/>
      </rPr>
      <t>POLIO</t>
    </r>
    <r>
      <rPr>
        <sz val="8"/>
        <color rgb="FF000000"/>
        <rFont val="Calibri"/>
        <family val="2"/>
        <scheme val="minor"/>
      </rPr>
      <t>MYELITIS;TRIVALENT;10 DOSE</t>
    </r>
  </si>
  <si>
    <r>
      <t xml:space="preserve">VACCINE </t>
    </r>
    <r>
      <rPr>
        <b/>
        <sz val="10"/>
        <color rgb="FF000000"/>
        <rFont val="Calibri"/>
        <family val="2"/>
        <scheme val="minor"/>
      </rPr>
      <t>ROTAVIRUS</t>
    </r>
    <r>
      <rPr>
        <sz val="8"/>
        <color rgb="FF000000"/>
        <rFont val="Calibri"/>
        <family val="2"/>
        <scheme val="minor"/>
      </rPr>
      <t xml:space="preserve"> ORAL SINGLE DOSE</t>
    </r>
  </si>
  <si>
    <r>
      <t xml:space="preserve">VACCINE, </t>
    </r>
    <r>
      <rPr>
        <b/>
        <sz val="10"/>
        <color rgb="FF000000"/>
        <rFont val="Calibri"/>
        <family val="2"/>
        <scheme val="minor"/>
      </rPr>
      <t>MEASLES</t>
    </r>
    <r>
      <rPr>
        <sz val="8"/>
        <color rgb="FF000000"/>
        <rFont val="Calibri"/>
        <family val="2"/>
        <scheme val="minor"/>
      </rPr>
      <t xml:space="preserve"> VIRUS; LIVE; ATTENUATED; MULTIDOSE; 10 DOSE5ML; 1'S</t>
    </r>
  </si>
  <si>
    <t>Birth</t>
  </si>
  <si>
    <r>
      <t>VACCINE</t>
    </r>
    <r>
      <rPr>
        <b/>
        <sz val="10"/>
        <color rgb="FF000000"/>
        <rFont val="Calibri"/>
        <family val="2"/>
        <scheme val="minor"/>
      </rPr>
      <t xml:space="preserve"> BCG</t>
    </r>
    <r>
      <rPr>
        <sz val="8"/>
        <color rgb="FF000000"/>
        <rFont val="Calibri"/>
        <family val="2"/>
        <scheme val="minor"/>
      </rPr>
      <t xml:space="preserve"> INTRADERMAL INJECTION </t>
    </r>
  </si>
  <si>
    <t>6 Weeks</t>
  </si>
  <si>
    <t>10 Weeks</t>
  </si>
  <si>
    <t>14 Weeks</t>
  </si>
  <si>
    <t>9 Months</t>
  </si>
  <si>
    <t>18 Months</t>
  </si>
  <si>
    <t>6 Years</t>
  </si>
  <si>
    <t>BCG and Polio vaccines</t>
  </si>
  <si>
    <t>Polio, Rotavirus, DTaP-IPV//HiB, Hepatitus B and PCV</t>
  </si>
  <si>
    <t>DTaP-IPV//HiB and Hepatitis vaccines</t>
  </si>
  <si>
    <t>Rotavirus, DTaP-IPV//HiB, Hepatitus B and PCV</t>
  </si>
  <si>
    <t>Measles and PVC Vaccines</t>
  </si>
  <si>
    <t>DTaP-IPV//HiB and Measles Vaccines</t>
  </si>
  <si>
    <t>Diptheria and Tetanus</t>
  </si>
  <si>
    <t>Birth: BCG and Polio vaccines</t>
  </si>
  <si>
    <t>6 Weeks: Polio, Rotavirus, DTaP-IPV//HiB, Hepatitus B and PCV</t>
  </si>
  <si>
    <t>14 Weeks: Rotavirus, DTaP-IPV//HiB, Hepatitus B and PCV</t>
  </si>
  <si>
    <t>9 Months: Measles and PVC Vaccines</t>
  </si>
  <si>
    <t>18 Months: DTaP-IPV//HiB and Measles Vaccines</t>
  </si>
  <si>
    <t>6 Years: Diptheria and Tetanus</t>
  </si>
  <si>
    <t>10 Weeks DTaP-IPV//HiB and Hepatitis vaccines</t>
  </si>
  <si>
    <t>Cost estimate per dosage per age/immunisation event:</t>
  </si>
  <si>
    <t>Number of 6 year old children</t>
  </si>
  <si>
    <t>Deworming of children</t>
  </si>
  <si>
    <t>Vaccines</t>
  </si>
  <si>
    <t>Number of tablets to be taken per age group per year</t>
  </si>
  <si>
    <t>Up to 24 months</t>
  </si>
  <si>
    <t>From 24 months to 6 years</t>
  </si>
  <si>
    <t>Sheet Name</t>
  </si>
  <si>
    <t>4.1.1</t>
  </si>
  <si>
    <t>Contents</t>
  </si>
  <si>
    <t>4.1.2</t>
  </si>
  <si>
    <t>4.1.3</t>
  </si>
  <si>
    <t>4.1.4</t>
  </si>
  <si>
    <t>4.1.5</t>
  </si>
  <si>
    <t>4.1.6</t>
  </si>
  <si>
    <t>4.1.7</t>
  </si>
  <si>
    <t>4.1.8</t>
  </si>
  <si>
    <t>4.1.9</t>
  </si>
  <si>
    <t>4.1.10</t>
  </si>
  <si>
    <t>Services in the social development sector</t>
  </si>
  <si>
    <t>Services in the Education Sector</t>
  </si>
  <si>
    <t>4.2.1</t>
  </si>
  <si>
    <t>4.2.2</t>
  </si>
  <si>
    <t>4.2.3</t>
  </si>
  <si>
    <t>Services in the Health Sector</t>
  </si>
  <si>
    <t>4.3.1</t>
  </si>
  <si>
    <t>4.3.2</t>
  </si>
  <si>
    <t>4.3.3</t>
  </si>
  <si>
    <t>4.3.4</t>
  </si>
  <si>
    <t>Eastern Cape</t>
  </si>
  <si>
    <t>Free State</t>
  </si>
  <si>
    <t>Gauteng</t>
  </si>
  <si>
    <t>KwaZulu-Natal</t>
  </si>
  <si>
    <t>Limpopo</t>
  </si>
  <si>
    <t>Mpumalanga</t>
  </si>
  <si>
    <t>Northern Cape</t>
  </si>
  <si>
    <t>North West</t>
  </si>
  <si>
    <t>Western Cape</t>
  </si>
  <si>
    <t>Country Total</t>
  </si>
  <si>
    <t>Quintile</t>
  </si>
  <si>
    <t>Age</t>
  </si>
  <si>
    <t>0-4</t>
  </si>
  <si>
    <t>5-9</t>
  </si>
  <si>
    <t>Number of Five or Six Year Olds by Quintile</t>
  </si>
  <si>
    <t>Number of 0-5 Year Olds by Quintile</t>
  </si>
  <si>
    <t>Number of 2-6 Year Olds by Quintile</t>
  </si>
  <si>
    <t>Statistics South Africa Mid Year Esimates June 2013</t>
  </si>
  <si>
    <t>Province</t>
  </si>
  <si>
    <t>By sex and age cohort</t>
  </si>
  <si>
    <t>Sex</t>
  </si>
  <si>
    <t>Male</t>
  </si>
  <si>
    <t>10-14</t>
  </si>
  <si>
    <t>15-19</t>
  </si>
  <si>
    <t>20-24</t>
  </si>
  <si>
    <t>25-29</t>
  </si>
  <si>
    <t>30-34</t>
  </si>
  <si>
    <t>35-39</t>
  </si>
  <si>
    <t>40-44</t>
  </si>
  <si>
    <t>45-49</t>
  </si>
  <si>
    <t>50-54</t>
  </si>
  <si>
    <t>55-59</t>
  </si>
  <si>
    <t>60-64</t>
  </si>
  <si>
    <t>65-69</t>
  </si>
  <si>
    <t>70-74</t>
  </si>
  <si>
    <t>75-79</t>
  </si>
  <si>
    <t>80+</t>
  </si>
  <si>
    <t>Female</t>
  </si>
  <si>
    <t>By Age Cohort</t>
  </si>
  <si>
    <t>Inkind Consumption quintile</t>
  </si>
  <si>
    <t>1st quintile</t>
  </si>
  <si>
    <t>2nd quintile</t>
  </si>
  <si>
    <t>3rd quintile</t>
  </si>
  <si>
    <t>4th quintile</t>
  </si>
  <si>
    <t>5th quintile</t>
  </si>
  <si>
    <t>KwaZulu Natal</t>
  </si>
  <si>
    <t>RSA</t>
  </si>
  <si>
    <t>Number of poorest quintiles targeted</t>
  </si>
  <si>
    <t>Number of hours per day a nurse is able to administer care</t>
  </si>
  <si>
    <t>Number of days per month a nurse works</t>
  </si>
  <si>
    <t>Emergency Obstetric Care</t>
  </si>
  <si>
    <t>Percentage of children in South Africa that will be covered by the EPI</t>
  </si>
  <si>
    <t>Number of children up to 18 months</t>
  </si>
  <si>
    <t>Up to 12 months</t>
  </si>
  <si>
    <t>12 - 24 months</t>
  </si>
  <si>
    <t>2 to 6 years</t>
  </si>
  <si>
    <t>Estimated operational costs of an emergnecy obstetric event per level of treatment:</t>
  </si>
  <si>
    <t>District Hospital</t>
  </si>
  <si>
    <t>Regional Hospital</t>
  </si>
  <si>
    <t>Central or Tertiary Hospital</t>
  </si>
  <si>
    <t>Percentage of total emergency obstetric events occuring at each level of treatment:</t>
  </si>
  <si>
    <t>Operational Expenditure</t>
  </si>
  <si>
    <t>Capital Expenditure</t>
  </si>
  <si>
    <t>Annual Costs</t>
  </si>
  <si>
    <t>Total Capital Cost</t>
  </si>
  <si>
    <t>Current level of provision</t>
  </si>
  <si>
    <t>Estimated percentages of birth occurrences at state hospitals</t>
  </si>
  <si>
    <t>Fixed Scenario</t>
  </si>
  <si>
    <t>Scenario 2</t>
  </si>
  <si>
    <t>Scenario 3</t>
  </si>
  <si>
    <t>Calculations</t>
  </si>
  <si>
    <t>Birth occurrences at state hospitals</t>
  </si>
  <si>
    <t xml:space="preserve">Birth occurences at state hospitals requiring emergency obstetric care </t>
  </si>
  <si>
    <t>Emergency obstetric events occuring at each level of treatment:</t>
  </si>
  <si>
    <t>Estimated operational costs of emergnecy obstetric events per level of treatment:</t>
  </si>
  <si>
    <t>Number of mothers in target group</t>
  </si>
  <si>
    <t>Multivitamins: number of days tablet must be taken per birth mother</t>
  </si>
  <si>
    <t>Folic Acid:  Number of days folic acid to be taken per birth mother</t>
  </si>
  <si>
    <t>Multivitamins: number of tablets to be taken by birth mothers each year</t>
  </si>
  <si>
    <t>Cost of multivitamins for birth mothers each year</t>
  </si>
  <si>
    <t>Folic Acid:  Number of folic acid tablets to be taken per year</t>
  </si>
  <si>
    <t>Cost of folic acid tablets per year</t>
  </si>
  <si>
    <t>High dosage vitamin A for mothers</t>
  </si>
  <si>
    <t>High dosage vitamin A for children</t>
  </si>
  <si>
    <t>A. Provision of supplements and multivitamins</t>
  </si>
  <si>
    <t>B. Provision of antenatal care</t>
  </si>
  <si>
    <t>Nutrition and supplements</t>
  </si>
  <si>
    <t>Number of nurse visits per birth mother each year</t>
  </si>
  <si>
    <t>Total nurse visits for birth mothers</t>
  </si>
  <si>
    <t>Cost of nurse visits (travel)</t>
  </si>
  <si>
    <t>Total Nurse:&lt;1 yr inspections</t>
  </si>
  <si>
    <t>Total Nurse:&lt;1 yr inspections that are done at home</t>
  </si>
  <si>
    <t>cost of travel for &lt;1yr inspections</t>
  </si>
  <si>
    <t>Total Nurse 1-2year inspections</t>
  </si>
  <si>
    <t>Number of 1,2,3 or 4 Year Olds by Quintile</t>
  </si>
  <si>
    <t>Accumulative Total</t>
  </si>
  <si>
    <t>Number of births in target group</t>
  </si>
  <si>
    <t>Number of 1-2 year olds in targe group</t>
  </si>
  <si>
    <t>cost of travel for 1-2yr olds</t>
  </si>
  <si>
    <t>Total children in target group</t>
  </si>
  <si>
    <t>Percentage of target group that will visit clinics for check ups</t>
  </si>
  <si>
    <t>Interactions at ECD centres</t>
  </si>
  <si>
    <t>Number of Visits to ECD centres required</t>
  </si>
  <si>
    <t>Cost of travel to ECD centres</t>
  </si>
  <si>
    <t>Cost of travel to children at home</t>
  </si>
  <si>
    <t>C. Nurse visits for children from birth to 24 months of age</t>
  </si>
  <si>
    <t xml:space="preserve">D. Nurse visits for children from 24 months to 6 years  </t>
  </si>
  <si>
    <t>total number of nurse:child interactions 2yrs to 6months</t>
  </si>
  <si>
    <t>Total cost per vaccine - birth occurences * assumed coverage</t>
  </si>
  <si>
    <t>Total cost per vaccinne - see # children above * assumed coverage</t>
  </si>
  <si>
    <t>Total cost per vaccinne - number of 6 yr olds * assumed coverage</t>
  </si>
  <si>
    <t>Number of children in target groups:</t>
  </si>
  <si>
    <t>Cost of deworming</t>
  </si>
  <si>
    <t>A. Vaccines</t>
  </si>
  <si>
    <t>B. Deworming of children</t>
  </si>
  <si>
    <t>A. Municipal building and health clearance certificates</t>
  </si>
  <si>
    <t>B. Provincial DSD registration of partial care facilities</t>
  </si>
  <si>
    <t>Day care for babies (Age Cohort 0-1)</t>
  </si>
  <si>
    <t>Day care for toddlers (Age Cohort 1-3)</t>
  </si>
  <si>
    <t>ECD centres (Age Cohort 3-5)</t>
  </si>
  <si>
    <t>After school care facilities (Age Cohort 5-13)</t>
  </si>
  <si>
    <t>Other types of facilities (Age Cohort 0-18)</t>
  </si>
  <si>
    <t>Number of 5-13 year olds</t>
  </si>
  <si>
    <t>Number of 0-18 year olds</t>
  </si>
  <si>
    <t>Municipal building and health clearance</t>
  </si>
  <si>
    <t>number of applications turned down</t>
  </si>
  <si>
    <t>total applications to be processed</t>
  </si>
  <si>
    <t>Total number of registration events required</t>
  </si>
  <si>
    <t>Number of teams required</t>
  </si>
  <si>
    <t>Number of officals required</t>
  </si>
  <si>
    <t>Other types of programmes (Age Cohort 0-6)</t>
  </si>
  <si>
    <t>Total registration events required</t>
  </si>
  <si>
    <t>Registrations events per year</t>
  </si>
  <si>
    <t>number of officials required</t>
  </si>
  <si>
    <t>Age Groups for drop down in 4.1.3</t>
  </si>
  <si>
    <t>0-5 Years</t>
  </si>
  <si>
    <t>2-5 Years</t>
  </si>
  <si>
    <t>3-5 Years</t>
  </si>
  <si>
    <t>2-6 Years</t>
  </si>
  <si>
    <t>Number of possible registration events total</t>
  </si>
  <si>
    <t>Number of facilities that will register - based on assumptions</t>
  </si>
  <si>
    <t>Number of registration events required</t>
  </si>
  <si>
    <t>A. The ECD Subsidy</t>
  </si>
  <si>
    <t>B. NPO Registration</t>
  </si>
  <si>
    <t>C. ECD subsidy administration</t>
  </si>
  <si>
    <t>Number of registration events - based on assumptions</t>
  </si>
  <si>
    <t>Number of applications that must be processed</t>
  </si>
  <si>
    <t>Applications referred back</t>
  </si>
  <si>
    <t>Number of inspections per year</t>
  </si>
  <si>
    <t>number of inspection teams required</t>
  </si>
  <si>
    <t>A. Inspections</t>
  </si>
  <si>
    <t>B. Monitoring</t>
  </si>
  <si>
    <t>C. Assessment</t>
  </si>
  <si>
    <t>D. Enforcement</t>
  </si>
  <si>
    <t>Oversight of Financial reports: teams required</t>
  </si>
  <si>
    <t>Oversight of Financial reports: officials required</t>
  </si>
  <si>
    <t>On site inspections:teams required</t>
  </si>
  <si>
    <t>On site inspections:officials required</t>
  </si>
  <si>
    <t>Number of ECD facilities monitored - oversight</t>
  </si>
  <si>
    <t>Number of ECD facilities monitored - on site</t>
  </si>
  <si>
    <t>Number of DQA teams required</t>
  </si>
  <si>
    <t>Officials required</t>
  </si>
  <si>
    <t>Number of complaints per year (all ECD facilities included)</t>
  </si>
  <si>
    <t>light touch interventions - #</t>
  </si>
  <si>
    <t>light touch interventions - # of offficials required</t>
  </si>
  <si>
    <t>medium touch intervention - #</t>
  </si>
  <si>
    <t>medium touch intervention - # of officials required</t>
  </si>
  <si>
    <t>heavy handed intervention - #</t>
  </si>
  <si>
    <t>heavy handed intervention - # of officials required</t>
  </si>
  <si>
    <t>Officials required - investigating complaints</t>
  </si>
  <si>
    <t>A. Building of new ECD centres</t>
  </si>
  <si>
    <t>B. Upgrading existing ECD centre infrastructure</t>
  </si>
  <si>
    <t>Number of children per ECD centre</t>
  </si>
  <si>
    <t>Percentage of children in ECD Centres</t>
  </si>
  <si>
    <t>Number of ECD centres required to serve target group</t>
  </si>
  <si>
    <t>Percent of target government will fully fund</t>
  </si>
  <si>
    <t>Number of ECD Centres Government will be required to build per year</t>
  </si>
  <si>
    <t>Service connections</t>
  </si>
  <si>
    <t>Percentage of infrastructure upgrading by category of upgrade:</t>
  </si>
  <si>
    <t>Percent of ECD Centres in target group requiring infrastructure improvements:</t>
  </si>
  <si>
    <t>Percentage requiring connection to basic services</t>
  </si>
  <si>
    <t>Cost per category of work:</t>
  </si>
  <si>
    <t>Number of years new buildings will be phased</t>
  </si>
  <si>
    <t>Number of years infrastructure improvements will be phased</t>
  </si>
  <si>
    <t>Total Costs</t>
  </si>
  <si>
    <t>Costs per year</t>
  </si>
  <si>
    <t>Percent of existing ECD Centres to receive equipment sets</t>
  </si>
  <si>
    <t>Number of years over which government will deliver equipment to target group:</t>
  </si>
  <si>
    <t>Total cost</t>
  </si>
  <si>
    <t>#of courses required</t>
  </si>
  <si>
    <t>Number of teams per year that will receive initial training</t>
  </si>
  <si>
    <t>Initial training costs total</t>
  </si>
  <si>
    <t>Stipends and co-oridinator salary costs total</t>
  </si>
  <si>
    <t>Annual operating costs of teams</t>
  </si>
  <si>
    <t>number of teams total</t>
  </si>
  <si>
    <t>Set up costs - annual</t>
  </si>
  <si>
    <t>Number of teams one administrator can oversee</t>
  </si>
  <si>
    <t>Number of years government will take to reach full set up</t>
  </si>
  <si>
    <t>opex of teams (once programme rolled out)</t>
  </si>
  <si>
    <t>refreshment costs (once programme rolled out)</t>
  </si>
  <si>
    <t>Set up costs - total</t>
  </si>
  <si>
    <t>Number of Toy Libraries each Toy Librarian works at</t>
  </si>
  <si>
    <t>Number of primary schools</t>
  </si>
  <si>
    <t>Number of combined schools</t>
  </si>
  <si>
    <t>Number of Libraries per Category B Municipality</t>
  </si>
  <si>
    <t>Number of Metro Libraries</t>
  </si>
  <si>
    <t>Number of Cat B Libraries</t>
  </si>
  <si>
    <t>Number of community Libraries per Category Metro</t>
  </si>
  <si>
    <t>Multipurpose Centres per Category B Municipality</t>
  </si>
  <si>
    <t>Multipurpose Centres per Metro</t>
  </si>
  <si>
    <t>Number of schools where there should be toy libraries</t>
  </si>
  <si>
    <t>Total Libraries where there should be toy libraries</t>
  </si>
  <si>
    <t>Total Multipurpose Centres where there should be toy libraries</t>
  </si>
  <si>
    <t>Total toy libraries</t>
  </si>
  <si>
    <t>Toy Librarians required</t>
  </si>
  <si>
    <t>Toy Librarian salaries</t>
  </si>
  <si>
    <t>Set Up costs (capital)</t>
  </si>
  <si>
    <t>Furniture</t>
  </si>
  <si>
    <t>Outdoor equipment</t>
  </si>
  <si>
    <t>Operating costs - all</t>
  </si>
  <si>
    <t>Books and toys</t>
  </si>
  <si>
    <t>Maintenance of outdoor sets</t>
  </si>
  <si>
    <t>A. Grade R classrooms</t>
  </si>
  <si>
    <t>B. Grade R educator salaries</t>
  </si>
  <si>
    <t>C. Grade R LSM</t>
  </si>
  <si>
    <t>D. Grade R play-ground equipment</t>
  </si>
  <si>
    <t>calculations</t>
  </si>
  <si>
    <t>Number in target age group</t>
  </si>
  <si>
    <t>Number for whom facilities must be built</t>
  </si>
  <si>
    <t>Number of years government will take to build classrooms required</t>
  </si>
  <si>
    <t>Targeting and Demand Assumptions</t>
  </si>
  <si>
    <t>Total number of Grade R classes</t>
  </si>
  <si>
    <t>Classrooms that will receive packs</t>
  </si>
  <si>
    <t>Cost of packs</t>
  </si>
  <si>
    <t>Annual cost of replacing of replenishing non consumable part of pack</t>
  </si>
  <si>
    <t>Annual cost of replacing of replenishing consumable part of pack</t>
  </si>
  <si>
    <t>Number of years government will take to provide LSM packages</t>
  </si>
  <si>
    <t>Number of years over which government will equip all schools with playground equipment</t>
  </si>
  <si>
    <t>Total cost of playground kits</t>
  </si>
  <si>
    <t>Assumed percent of children in partial care</t>
  </si>
  <si>
    <t>Set of outdoor equipment per library </t>
  </si>
  <si>
    <t>Number of Gade R classes</t>
  </si>
  <si>
    <t>Cost per year of Grade R Educators course</t>
  </si>
  <si>
    <t>Percentage of Grade R Teachers that will receive training</t>
  </si>
  <si>
    <t>Number of years government will take to train all teachers who need it</t>
  </si>
  <si>
    <t>Number of ECD practioners to receive training</t>
  </si>
  <si>
    <t>total cost of training ECD practitioners</t>
  </si>
  <si>
    <t>Number of Grade R teachers requiring training</t>
  </si>
  <si>
    <t>F</t>
  </si>
  <si>
    <t>Cost of training Grade R teachers</t>
  </si>
  <si>
    <t>Total Number of Practitioners receiving training</t>
  </si>
  <si>
    <t>ECD</t>
  </si>
  <si>
    <t>Grade R</t>
  </si>
  <si>
    <t>Proportion to be trained each year</t>
  </si>
  <si>
    <t>Proportion to get stipends</t>
  </si>
  <si>
    <t>Number of months they will receive stipend</t>
  </si>
  <si>
    <t>Salary of Officials</t>
  </si>
  <si>
    <t>Percentage of the following that will get toy libraries:</t>
  </si>
  <si>
    <t>Number of years over which government will equip all toy libraries</t>
  </si>
  <si>
    <t>Set of Furniture of per classroom</t>
  </si>
  <si>
    <t>Set-up furniture per toy library</t>
  </si>
  <si>
    <t>Stock of toys and ECD materials per toy library</t>
  </si>
  <si>
    <t>Percentage of ECD practitioners that need training</t>
  </si>
  <si>
    <t>Number of ECD practitioners per facility</t>
  </si>
  <si>
    <t>Operational cost per check up</t>
  </si>
  <si>
    <t>Cost of travel child visited at home</t>
  </si>
  <si>
    <t>Annual salaries of officials processing registrations</t>
  </si>
  <si>
    <t>Total number of facilities (includes all facilities regardless of status)</t>
  </si>
  <si>
    <r>
      <t xml:space="preserve">Number of </t>
    </r>
    <r>
      <rPr>
        <sz val="11"/>
        <color theme="1"/>
        <rFont val="Calibri"/>
        <family val="2"/>
        <scheme val="minor"/>
      </rPr>
      <t>facilities required based on assumptions</t>
    </r>
  </si>
  <si>
    <t>Outputs:</t>
  </si>
  <si>
    <t>Number of programmes based on assumptions</t>
  </si>
  <si>
    <t>Number of programmes registered and/or reregistered per year</t>
  </si>
  <si>
    <t xml:space="preserve">0-1 Age </t>
  </si>
  <si>
    <t xml:space="preserve">1-3 Age </t>
  </si>
  <si>
    <t>3-5 Age</t>
  </si>
  <si>
    <t>Percent of 0-1 Age Cohort at ECD Centres in the targeted quintiles</t>
  </si>
  <si>
    <t>Percent of 1-3 Age Cohort at ECD Centres in the targeted quintiles</t>
  </si>
  <si>
    <t>Percent of 3-5 Age Cohort at ECD Centres in the targeted quintiles</t>
  </si>
  <si>
    <t>Number of children targeted based on above assumptions</t>
  </si>
  <si>
    <t>Number of children receiving subsidies</t>
  </si>
  <si>
    <t>Number of ECD centres that will get subsidies</t>
  </si>
  <si>
    <t>Number of NPO registrations processed/re-processed per year</t>
  </si>
  <si>
    <t>Number of officials required to process NPO registrations</t>
  </si>
  <si>
    <t>Number of officials required to administer ECD subsidies</t>
  </si>
  <si>
    <t>Salaries of officials performing inspections</t>
  </si>
  <si>
    <t>Salaries of officials performing on-site inspections</t>
  </si>
  <si>
    <t>Nurse salary</t>
  </si>
  <si>
    <t>Social worker salary</t>
  </si>
  <si>
    <t>Teacher salary</t>
  </si>
  <si>
    <t>Occupational Therapist Salary</t>
  </si>
  <si>
    <t>Salaries of officials involved in enforcement</t>
  </si>
  <si>
    <t>Number of officials required to perform oversight and on-site inspections</t>
  </si>
  <si>
    <t>Number of officials required to conduct enforcement activities</t>
  </si>
  <si>
    <t>Number of inspectors needed</t>
  </si>
  <si>
    <t>Outputs</t>
  </si>
  <si>
    <t>Salary costs of above</t>
  </si>
  <si>
    <t>Number of upgrades required per category (total):</t>
  </si>
  <si>
    <t>Service connections provided</t>
  </si>
  <si>
    <t>Infrastructure upgrades performed</t>
  </si>
  <si>
    <t>New facilities built per year</t>
  </si>
  <si>
    <t>Number of facilitators required</t>
  </si>
  <si>
    <t>Number of centres to receive training</t>
  </si>
  <si>
    <t>Number of centres receiving training</t>
  </si>
  <si>
    <t>Number of play group teams in operation</t>
  </si>
  <si>
    <t>Number of facilities that will get toy libraries:</t>
  </si>
  <si>
    <t>Number of ECD practitioners trained per year</t>
  </si>
  <si>
    <t>Number of Grade R Educators trained per year</t>
  </si>
  <si>
    <t>Stipends paid per year</t>
  </si>
  <si>
    <t>Grade R Classrooms required to be built</t>
  </si>
  <si>
    <t>Total building costs of grade r classes</t>
  </si>
  <si>
    <t>Furniture costs of grade r classes</t>
  </si>
  <si>
    <t>Schools that will receive 1 play-ground kit</t>
  </si>
  <si>
    <t>Schools that will receive 2 play-ground kits</t>
  </si>
  <si>
    <t>Grade R classrooms built and furnished per year</t>
  </si>
  <si>
    <t>Play-Ground Equipment provided per year</t>
  </si>
  <si>
    <t>total number of playground kits provided</t>
  </si>
  <si>
    <t>LSM packs provided per year</t>
  </si>
  <si>
    <t>Nurse visits at home</t>
  </si>
  <si>
    <t>Nurse check ups at clinics</t>
  </si>
  <si>
    <t>Operational costs of check ups</t>
  </si>
  <si>
    <t>operational costs of check ups</t>
  </si>
  <si>
    <t>operational costs of check ups of  birth to 24 months</t>
  </si>
  <si>
    <t>operational cost of check ups</t>
  </si>
  <si>
    <t>Number of nurse:children interactions with 0-6 year olds per year</t>
  </si>
  <si>
    <t>Number of emergency obstetric care procedures</t>
  </si>
  <si>
    <t>Total</t>
  </si>
  <si>
    <t>Reconsider combined total of % in red cells</t>
  </si>
  <si>
    <t>Annual Operational Costs</t>
  </si>
  <si>
    <t xml:space="preserve">Total Capital Costs </t>
  </si>
  <si>
    <t>Capital Costs per year (number of years will differ)</t>
  </si>
  <si>
    <t>Total Capital Investment Required</t>
  </si>
  <si>
    <t xml:space="preserve">Annual Operational Costs </t>
  </si>
  <si>
    <t>Annual Capital Costs</t>
  </si>
  <si>
    <t>Total Capital Costs</t>
  </si>
  <si>
    <t>Total Annual Costs</t>
  </si>
  <si>
    <t>Summary of Outputs per Programme</t>
  </si>
  <si>
    <t>Summary Opex</t>
  </si>
  <si>
    <t>Summary Capex</t>
  </si>
  <si>
    <t>Summary Outputs</t>
  </si>
  <si>
    <t>Population</t>
  </si>
  <si>
    <t>IES</t>
  </si>
  <si>
    <t>Description</t>
  </si>
  <si>
    <t>The 2010 Income and Expenditure Survey Income Quintiles (STATSSA)</t>
  </si>
  <si>
    <t>Notes</t>
  </si>
  <si>
    <t>The 'Fixed Scenario' presents the cost estimates based on the assumptions developed by the costing team. The numbers in this scenario will be fixed, and protected in the final version of this costing.</t>
  </si>
  <si>
    <t>Scenario 2' and 'Scenario 3' are user defined scenarios. The user can change the assumptions in the blue cells. This will produce new costings, but still working within the parameters of the data and methodology used for the 'Fixed Scenario'. All three scenarios are the same when the workbook is opened.</t>
  </si>
  <si>
    <t>Users are advised to save their work using a new file name.</t>
  </si>
  <si>
    <t>Capital Costs</t>
  </si>
  <si>
    <t xml:space="preserve">Summary of the annual and total capital costs per programme </t>
  </si>
  <si>
    <t>Summary of the outputs per programme</t>
  </si>
  <si>
    <t>The population data used for the costing ( from STATSSA)</t>
  </si>
  <si>
    <t>Costing Model</t>
  </si>
  <si>
    <t>Cell: 083 2364 012</t>
  </si>
  <si>
    <t>Email: conrad@cornerstonesa.net</t>
  </si>
  <si>
    <t>A. The ECD subsidy</t>
  </si>
  <si>
    <t>Percent of registered facilities that will be assessed</t>
  </si>
  <si>
    <t>Number of ECD centres receiving the following per year:</t>
  </si>
  <si>
    <t>Nurses per 1000 children in target group (up to 6 years)</t>
  </si>
  <si>
    <t>Operational Funding Gap</t>
  </si>
  <si>
    <t>Percent of subsidised ECD centres to receive training each year</t>
  </si>
  <si>
    <t>Number of facilitators per team</t>
  </si>
  <si>
    <t>Number of ECD administrators required</t>
  </si>
  <si>
    <t>Salary costs of facilitators and administrators</t>
  </si>
  <si>
    <t>Number of nurses (FTE) performing check ups on children</t>
  </si>
  <si>
    <t>Number of months prior to birth a daily dose of 5 mg folic acid to be given to pregnant mothers</t>
  </si>
  <si>
    <t>Number of weeks after birth mothers are to take a daily dose of 5 mg folic acid</t>
  </si>
  <si>
    <t>Price per 5 mg capsule of folic acid</t>
  </si>
  <si>
    <t>Annual Operational Funding Gap</t>
  </si>
  <si>
    <t>Total Annual Operational Funding Gap</t>
  </si>
  <si>
    <t>Summary of the operational costs and operational funding gaps per programme, including a high level summary of all costs</t>
  </si>
  <si>
    <t>Annual Operational Costs and Funding Gap</t>
  </si>
  <si>
    <t xml:space="preserve">Estimated percentage of above births requiring emergency obstetric care </t>
  </si>
  <si>
    <t>Cells shaded in light yellow cannot be changed as these contain formulae</t>
  </si>
  <si>
    <t xml:space="preserve">Users can change values in the blue cells for 'Scenario 2' and 'Scenario 3' and 'Current Levels of </t>
  </si>
  <si>
    <t>Applications for health clearance certificates procesed each year</t>
  </si>
  <si>
    <t>Applications for registration as a partial care facility processed each year</t>
  </si>
  <si>
    <t>Salary of officials</t>
  </si>
  <si>
    <t>Number of home-based visiting teams in operation</t>
  </si>
  <si>
    <t>Number of families visited each year</t>
  </si>
  <si>
    <t>Toy Libraries established (total)</t>
  </si>
  <si>
    <t>Toy Libraries established (per year)</t>
  </si>
  <si>
    <t>Sets of outdoor equipment provided per year</t>
  </si>
  <si>
    <t>In terms of the Chapter 5 of the Children's Act, all partial care facilities must be registered with the relevant provincial government to ensure that they comply with the prescribed norms and standards for such facilities. The function of registering partial care facilities is performed by provincial DSDs.</t>
  </si>
  <si>
    <t>The definition of a 'partial care facility' provided in the Act is broad with the result that a wide range of facilities that provide temporary care to children on behalf of parents or caregivers are required to register.</t>
  </si>
  <si>
    <t>For purposes of costing, the registration of partial care facilities is divided as follows:</t>
  </si>
  <si>
    <t>A:</t>
  </si>
  <si>
    <t xml:space="preserve">Municipal building and health certificates </t>
  </si>
  <si>
    <t>B.</t>
  </si>
  <si>
    <t>Municipal building and health certificates</t>
  </si>
  <si>
    <t>Among the prescribed conditions for the registration of a partial care facility is that the managers of the facility must submit:</t>
  </si>
  <si>
    <t xml:space="preserve"> -   	an original copy of the approved building plans or a copy of the building plans that has been submitted for approval if the application for the approval of the building plans is still under consideration; _x000D_
</t>
  </si>
  <si>
    <t>-   a Permission to Occupy certificate indicating the building structure complies with the local municipality's building standards ;</t>
  </si>
  <si>
    <t xml:space="preserve">-   	a health certificate issued by the local municipality in whose area the facility is to operate confirming compliance with the structural health requirements of that municipality_x000D_
Conducting the inspections related to providing these documents and certificates represents a cost to municipalities, and the ability of facilities to comply with the relevant building and health and safety standards is often an obstacle to their registration. _x000D_
</t>
  </si>
  <si>
    <t>The processes to register partial care facilities are fairly standardised (which is not to say that they are efficient or effective).</t>
  </si>
  <si>
    <t>In terms of the Chapter 6 of the Children's Act, all ECD programmes for promoting the development of children 0-6 must be registered with the relevant provincial government to ensure that they comply with the prescribed norms and standards for such programmes. The function is performed by provincial DSD, and the processes are fairly standardised.</t>
  </si>
  <si>
    <t>The government provides a means tested per child subsidy to registered ECD centres. The cost of the programme consist of:</t>
  </si>
  <si>
    <t>NPO registration and administration</t>
  </si>
  <si>
    <t>C:</t>
  </si>
  <si>
    <t xml:space="preserve">It is acknowledged that the current R15 per child per day subsidy is insufficient to sustain ECD centres for children of low-income or unemployed parents. KPMG has estimated that the full cost of providing ECD centre based services is R52.82 per child per day. </t>
  </si>
  <si>
    <t>B</t>
  </si>
  <si>
    <t>All ECD centres applying for subsidies require NPO registration so they can receive funding from the state</t>
  </si>
  <si>
    <t>ECD subsidy administration includes the following three components</t>
  </si>
  <si>
    <t>i.</t>
  </si>
  <si>
    <t>a subsidy application process,</t>
  </si>
  <si>
    <t>ii.</t>
  </si>
  <si>
    <t>a subsidy payment and management process, and</t>
  </si>
  <si>
    <t>iii.</t>
  </si>
  <si>
    <t xml:space="preserve">an oversight and subsidy auditing process. </t>
  </si>
  <si>
    <t>It is proposed that the 'oversight and subsidy auditing process' should be costed as part of the services related to Inspection, Monitoring and Assessment of Partial Care and ECD services (see next).</t>
  </si>
  <si>
    <t>The intensity or level of the envisaged oversight activities will have a significant impact on costs. For the purpose of this costing it is assumed that:</t>
  </si>
  <si>
    <t>A.</t>
  </si>
  <si>
    <t>Inspections means visits to all registered partial care facilities</t>
  </si>
  <si>
    <t>Monitoring means the oversight of financial reports from ECD Centres</t>
  </si>
  <si>
    <t>C.</t>
  </si>
  <si>
    <t>Assessment means conducting Development Quality Assurance on ECD programmes</t>
  </si>
  <si>
    <t>D.</t>
  </si>
  <si>
    <t>Enforcement means taking appropriate action against non-registered facilities, partial care facilities and ECD centres that do not comply with the law</t>
  </si>
  <si>
    <t>To ensure the safety of children and to ensure that partial care facilities comply with the conditions of their registration, designated DSD inspectors will visit registered partial care facilities.</t>
  </si>
  <si>
    <t>To ensure the proper management and use of subsidy funding, DSD will review the quarterly reports and annual financial statements of all subsidised ECD centres, and physically inspect the financial records of the ECD centres that pose the greatest fiduciary risk.</t>
  </si>
  <si>
    <t>To ensure that the ECD Programmes that are being provide at ECD Centres, other partial care facilities and through non-centre based programmes are delivering the desired developmental impacts for children, it is envisaged that provincial DSD will do a Development Quality Assurance (DQA) assessment every two years on all providers of registered ECD programmes.</t>
  </si>
  <si>
    <t>To ensure providers of services to children comply with the requirements of the Children’s Act and its regulations, provincial DSD needs to have the capacity to respond to complaints, close non-compliant partial care facilities or take other appropriate action.</t>
  </si>
  <si>
    <t>This area of costing is divided into the following two components</t>
  </si>
  <si>
    <t>At present, ECD Centres are mostly established at the initiative of an individual or a community group. To the best of our knowledge, government has not developed a master plan to ensure that ECD centres are optimally located and established in all communities. It is assumed that government intends becoming more involved in the actual building of ECD centres, particularly in the poorest communities.</t>
  </si>
  <si>
    <t>Many ECD centres are either not registered or only have conditional registration as partial care facilities because their infrastructure does not comply with minimum building standards and health and safety regulations (permission to occupy). Other ECD centres have basic infrastructure but lack the funds to upgrade to a level where they can provide the type of environment that facilitates children's early learning. Then there are many centres that do not have access to basic services - water and electricity. It is assumed that government intends investing more in upgrading existing ECD centres infrastructure and ensuring access to basic services. For purposes of costing, four levels of intervention are proposed (see model)</t>
  </si>
  <si>
    <t>While 20% of the per child subsidy to ECD centres is designated for buying learner support materials and paying for administration, this is not sufficient to 'set-up' an ECD centre with the required furniture, kitchen appliances, toys and ECD materials, and playground equipment. It is assumed that government intends becoming more involved in equipping ECD centres, particularly those in the poorest communities.</t>
  </si>
  <si>
    <t>Caregiver capacity building courses are aimed at ECD practitioners and parents/caregivers to equip them with the skills and knowledge to create more stimulating environments for young children, for instance making toys out of waste materials. The programmes are based at ECD Centres and consist of six facilitated sessions spread over six weeks.</t>
  </si>
  <si>
    <t>A home-based visiting programme consists of trained community members (home visitors or Family and Community Motivators) visiting the parents or caregivers of young children in their homes once every two weeks. The home visitors focus on sharing information on child stimulation, nutritional support, psychological support and provide assistance to access child care grants, birth certificates and identity documents; and discuss health and child development issues. Home visitors also organise playgroups for children from the homes that they visit, as well as their neighbours.</t>
  </si>
  <si>
    <t>The home visitors are supervised by a coordinator who trains them weekly in role playing, monitors family progress and facilitates group work and community advocacy. Every quarter, the home visitors receive in-service training to strengthen their skills and ensure they are able to respond to issues that have emerged during the implementation of the programme.</t>
  </si>
  <si>
    <t xml:space="preserve">The purpose of community based playgroups is to provide quality ECD learning opportunities for young children who do not have access to pre-schools or ECD programmes due to issues of poverty or lack of availability. The programme also aims to improve the ECD knowledge and awareness of parents/caregivers and the broader community. </t>
  </si>
  <si>
    <t>Once a week, two facilitators run a two hour playgroup for about 20 to 25 children and their parent/caregivers in an area. The equipment is transported to the site of the session in a bakkie, and includes canopies, ground sheets, brightly coloured tables and chairs, boxes of building blocks, puzzles, games and art materials. Under the guidance of a trained ECD facilitator, children participate in a structured and stimulating play programme, while their parents/caregivers meet together with the other facilitator where they learn about the value of early stimulation, are shown games and activities that they can do with their children at home. Participants also discuss challenges and receive advice on and assistance to access child care grants, birth certificates and identity documents; learn about immunisations; and discuss health and child development issues.</t>
  </si>
  <si>
    <t>Toy libraries aim to provide children from poor families access to a collection of play materials including blocks, cars, dolls, board games, puzzles and other educational aids. The toy library should also have a set of 'themed activity boxes' that ECD centres can borrow for a week. Ideally the toy library should have outdoor playground equipment at the venue as well. The toy library is usually a venue where children come to play. Some toy libraries allow children to borrow the toys and take them home. The toy librarian should be able to give parents/caregivers advice on the proper use of toys and their role in development, as well as facilitate play sessions for children.</t>
  </si>
  <si>
    <t>Services in the education sector</t>
  </si>
  <si>
    <t>The Department of Basic Education and the PEDs are responsible for the curriculum and training of ECD practitioners, including Grade R educators. There are ongoing programmes to train EDC practitioners, however, with the scaling-up of ECD services and making Grade R compulsory there will be a need to train a large number of additional practitioners.</t>
  </si>
  <si>
    <t>Students that are in training to become ECD practitioners or Grade R educators are very often indigent. It is therefore proposed that they should be paid a stipend while they are studying.</t>
  </si>
  <si>
    <t>The government is currently rolling out access to Grade R. Substantial resources have been allocated to the programme on PED budgets - programme 7. The costing of Grade R needs to cover the following areas:</t>
  </si>
  <si>
    <t xml:space="preserve">To extend compulsory access to Grade R, government will need to provide the necessary classrooms. </t>
  </si>
  <si>
    <t>As Grade R classrooms are rolled-out, educators will be required to teach in them.</t>
  </si>
  <si>
    <t>DBE has issued a set of norms and standards for Grade R LSM. Each new Grade R class will need to be provided with the basic pack. Then provision will need to be made for wear and tear, and the consumable items will need to be replaced each year.</t>
  </si>
  <si>
    <t>Grade R promotes active learning in preparing learners for education. Key to this is developing the motor-skills and perceptions of space and motion. Playing on playground equipment (swings, see-saws, jungle gyms, slides and round-a-bouts) is very important in developing these skills. It is assumed that government intends investing in providing this equipment to all Grade R classes.</t>
  </si>
  <si>
    <t>Services in the health sector</t>
  </si>
  <si>
    <t>Qualified nurses work at the clinics and are needed to perform the home visits that are required to deliver the different programmes to children.  Given that nurses are responsible for a wide range of programmes it is difficult to attribute a particular portion of their time to these antenatal and child related programmes.</t>
  </si>
  <si>
    <t>The quality of nutrition a child receives during its first 1000 days has a crucial effect on its long term development.  It is therefore envisaged that government will play a more active role in improving the mother's health at the time of conception, throughout pregnancy and while breastfeeding.  Women trying to fall pregnant should take multivitamins (Vitamin A, C and D) and continue taking these until they have stopped breastfeeding.  While women are trying to fall pregnant they should take a 400 microgram folic acid tablet every day and continue taking them up until 12 weeks into a pregnancy.  Mothers should receive high dose vitamin A capsules when the child is delivered (60 000 micrograms) and each child should receive 7 500 micrograms when they receive their vaccinations at one, two and three months.  Exclusive breastfeeding should be promoted for the first six months and complementary breastfeeding should continue till the child is at least 12 months old.</t>
  </si>
  <si>
    <t xml:space="preserve">To support achieving the above objectives the following elements need to be in place: </t>
  </si>
  <si>
    <t>Clinics should provide supplements and multivitamins as follows:</t>
  </si>
  <si>
    <t xml:space="preserve">	Multivitamins for women trying to fall pregnant (assume three months before pregnancy)_x000D_
</t>
  </si>
  <si>
    <t>400 mg Folic Acid daily from three months before pregnancy up to 12 weeks into pregnancy</t>
  </si>
  <si>
    <t xml:space="preserve">	High Dose Vitamin A capsules for mothers at birth (60 000 mg) and children (7 500mg times three). _x000D_
</t>
  </si>
  <si>
    <t>Pregnant women should either visit their local clinic or be visited by a nurse to promote good nutrition, healthy life styles, and to be assessed for mental health conditions, and alcohol and substance abuse and HIV status.</t>
  </si>
  <si>
    <t xml:space="preserve">C. </t>
  </si>
  <si>
    <t>Mothers of children up to 12 months of age should meet with a nurse either at a clinic or through a home visit once every two months and then once every three months between the age of 12 months and 2 years.  This is necessary to promote exclusive breastfeeding during the first six months, supplementary breastfeeding up to 12 months and to ensure adherence to supplements and immunisation programmes.</t>
  </si>
  <si>
    <t>Good nutrition between the ages of 24 months up to 6 years of age is important for the long term development of children.  Children in this age group should meet with a nurse either at a clinic or through a home visit every six months. Most of the visits could be conducted at ECD centres.</t>
  </si>
  <si>
    <t>Emergency obstetric care must be available in the event of emergencies to enable quick response to complications during pregnancy and thereby prevent maternal deaths, still births and the disabling of children.</t>
  </si>
  <si>
    <t xml:space="preserve">The National Department of Health specifies the contents of the expanded programme of immunisation (EPI) which includes a combination of immunisations given to children at birth, 6 weeks, 10 weeks, 14 weeks, 9 months, 18 months, 6 years and 12 years.  </t>
  </si>
  <si>
    <t>Children between the ages of 2 and 5 should be dewormed twice a year to prevent illnesses that may arise from inadequate hygiene and poor sanitation.  This should be administered to children during clinic visits or during visits of nurses to ECD centres and Grade R classes.</t>
  </si>
  <si>
    <t>Description of the services that are costed</t>
  </si>
  <si>
    <t xml:space="preserve">Description of services that are costed </t>
  </si>
  <si>
    <t>Sheet</t>
  </si>
  <si>
    <t>TOP</t>
  </si>
  <si>
    <t>Service Descriptions</t>
  </si>
  <si>
    <t>Go to</t>
  </si>
  <si>
    <t>Number of financial inspections performed per year (on site and of AFS)</t>
  </si>
  <si>
    <t>Number of enforcement activities per year</t>
  </si>
  <si>
    <t>Number of facilities where DQA assesments are performed per year</t>
  </si>
  <si>
    <t>Number of children who are vacinnated in a year</t>
  </si>
  <si>
    <t>Number of children receiving de-worming tablets</t>
  </si>
  <si>
    <t>Descriptions of the ECD services that are costed</t>
  </si>
  <si>
    <t>Costing sheets - see Service Descriptions</t>
  </si>
  <si>
    <t>light intervention</t>
  </si>
  <si>
    <t>medium intervention</t>
  </si>
  <si>
    <t>substantial intervention</t>
  </si>
  <si>
    <t>Light intervention</t>
  </si>
  <si>
    <t>Medium intervention</t>
  </si>
  <si>
    <t>Number of minutes a nurse takes per inspectionor check up per child</t>
  </si>
  <si>
    <t>Number of minutes a nurse takes per inspectionor check up per pregnant women</t>
  </si>
  <si>
    <r>
      <t>Total number of inspections or check ups per age group (</t>
    </r>
    <r>
      <rPr>
        <b/>
        <u/>
        <sz val="10"/>
        <color theme="1"/>
        <rFont val="Arial"/>
        <family val="2"/>
      </rPr>
      <t>based on assumptions in 4.3.2</t>
    </r>
    <r>
      <rPr>
        <sz val="10"/>
        <color theme="1"/>
        <rFont val="Arial"/>
        <family val="2"/>
      </rPr>
      <t>):</t>
    </r>
  </si>
  <si>
    <t>Ante natal care</t>
  </si>
  <si>
    <t>Number of nurses (FTE) performing check ups on pregnant women</t>
  </si>
  <si>
    <t>Number of nurses required per child in each age group:</t>
  </si>
  <si>
    <t>Number of mothers and their new borns that are provided with supplements</t>
  </si>
  <si>
    <t>No of months prior to birth pregnant women are to receive a daily dose of ferrous sulphate</t>
  </si>
  <si>
    <t>Price per ferrous sulphate capsule/dose</t>
  </si>
  <si>
    <t>Ferrous sulphate - number days tablets must be taken</t>
  </si>
  <si>
    <t>cost of ferrous sulphate for pregnant mothers</t>
  </si>
  <si>
    <t>Ferrous sulphate - number of tablets that must be taken</t>
  </si>
  <si>
    <t>No of months mothers will breastfeed children (and receive multivitamin)</t>
  </si>
  <si>
    <t>Price per prenatal forte multivite</t>
  </si>
  <si>
    <t>Per cent mothers in target group to be given high dosage vitamin A capsule at birth (100 000 mcg)</t>
  </si>
  <si>
    <t>Price per 100 000 mcg Vitamin A capsule</t>
  </si>
  <si>
    <t>Percentage of new births in target group to be given high dosage Vitamin A capsules (50 000 mcg)</t>
  </si>
  <si>
    <t>Price per 50 000 mcg Vitiman A capsule</t>
  </si>
  <si>
    <t>Single dose of Albdendazole 400mg tablet for deworming and related infections</t>
  </si>
  <si>
    <t>Percent community libraries and multiple purpose centres to get outdoor equipment</t>
  </si>
  <si>
    <t>Number of outdoor equipment sets</t>
  </si>
  <si>
    <t>at MPPs</t>
  </si>
  <si>
    <t>at libraries</t>
  </si>
  <si>
    <t>total</t>
  </si>
  <si>
    <t>cost</t>
  </si>
  <si>
    <t>Provision' for all scenarios [Only "Current levels of provision" can be changed in the fixed scenario]</t>
  </si>
  <si>
    <t>Number of officials required to administer partial care registrations</t>
  </si>
  <si>
    <t>Number of coordinators required</t>
  </si>
  <si>
    <t>Number of home visitors required</t>
  </si>
  <si>
    <t>Number of toy librarians</t>
  </si>
  <si>
    <t>Number of officials required to administer ECD programme registrations</t>
  </si>
  <si>
    <t>Number of officials required to process NPO registrations for ECD</t>
  </si>
  <si>
    <t>No personnel allocated</t>
  </si>
  <si>
    <t>Number of Grade R Educators required</t>
  </si>
  <si>
    <t>Personnel covered in 4.3.1</t>
  </si>
  <si>
    <t>Personnel covered in total cost</t>
  </si>
  <si>
    <t>Number of members on DQA teams</t>
  </si>
  <si>
    <t>Summary of Personnel numbers calculated by model</t>
  </si>
  <si>
    <t>Summary Personnel</t>
  </si>
  <si>
    <t>Summary of personnel numbers calculated by model</t>
  </si>
  <si>
    <t>Number of 0,1,2,3 or 4 year olds by Quintile</t>
  </si>
  <si>
    <t>Accumulative Totals</t>
  </si>
  <si>
    <t>Number of 3-5 Year Olds by Quintile (3,4,5 yrs)</t>
  </si>
  <si>
    <t>Number of 2-5 Year Olds by Quintile (2,3,4,5 years)</t>
  </si>
  <si>
    <t>30 July 2013</t>
  </si>
  <si>
    <t>as envisaged in the Integrated Programme of Action for Early Childhood Development – Moving Ahead (2013-2018)</t>
  </si>
  <si>
    <t>FINAL</t>
  </si>
  <si>
    <t xml:space="preserve">Model developed for the 
Department of Performance Monitoring and Evaluation in The Presidency
 and the national Department of Social Development </t>
  </si>
  <si>
    <t>Model developed by 
Conrad Barberton and Jonathan Carter</t>
  </si>
  <si>
    <t xml:space="preserve"> key components of ECD policy</t>
  </si>
  <si>
    <t>Project to cost</t>
  </si>
  <si>
    <r>
      <t xml:space="preserve">Senior economists with 
</t>
    </r>
    <r>
      <rPr>
        <b/>
        <i/>
        <sz val="9"/>
        <rFont val="Times New Roman"/>
        <family val="1"/>
      </rPr>
      <t>Cornerstone Economic Research</t>
    </r>
  </si>
  <si>
    <t>Substantial intervention</t>
  </si>
  <si>
    <t>Light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</si>
</sst>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quot;R&quot;\ #,##0;&quot;R&quot;\ \-#,##0"/>
    <numFmt numFmtId="165" formatCode="_ &quot;R&quot;\ * #,##0.00_ ;_ &quot;R&quot;\ * \-#,##0.00_ ;_ &quot;R&quot;\ * &quot;-&quot;??_ ;_ @_ "/>
    <numFmt numFmtId="166" formatCode="_ * #,##0.00_ ;_ * \-#,##0.00_ ;_ * &quot;-&quot;??_ ;_ @_ "/>
    <numFmt numFmtId="167" formatCode="_ * #,##0_ ;_ * \-#,##0_ ;_ * &quot;-&quot;??_ ;_ @_ "/>
    <numFmt numFmtId="168" formatCode="0.0%"/>
    <numFmt numFmtId="169" formatCode="###,###,###"/>
    <numFmt numFmtId="170" formatCode="0.0"/>
    <numFmt numFmtId="171" formatCode="_ &quot;R&quot;\ * #,##0_ ;_ &quot;R&quot;\ * \-#,##0_ ;_ &quot;R&quot;\ * &quot;-&quot;??_ ;_ @_ "/>
    <numFmt numFmtId="172" formatCode="###,###,###.00"/>
    <numFmt numFmtId="173" formatCode="_ &quot;R&quot;\ #,##0_ ;_ &quot;R&quot;\ \-#,##0_ ;_ &quot;R&quot;\ &quot;-&quot;??_ ;_ @_ "/>
    <numFmt numFmtId="174" formatCode="#,##0_ ;\-#,##0\ "/>
    <numFmt numFmtId="175" formatCode="_ &quot;R&quot;\ #,##0.00_ ;_ &quot;R&quot;\ \-#,##0.00_ ;_ &quot;R&quot;\ &quot;-&quot;??_ ;_ @_ "/>
    <numFmt numFmtId="176" formatCode="###,###"/>
    <numFmt numFmtId="177" formatCode="#,##0.00_ ;\-#,##0.00\ "/>
    <numFmt numFmtId="178" formatCode="#\ ##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theme="1"/>
      <name val="Arial"/>
      <family val="2"/>
    </font>
    <font>
      <sz val="10"/>
      <color theme="1"/>
      <name val="Arial"/>
      <family val="2"/>
    </font>
    <font>
      <sz val="10"/>
      <color theme="1"/>
      <name val="Arial Black"/>
      <family val="2"/>
    </font>
    <font>
      <sz val="9"/>
      <color indexed="81"/>
      <name val="Tahoma"/>
      <family val="2"/>
    </font>
    <font>
      <b/>
      <sz val="9"/>
      <color indexed="81"/>
      <name val="Tahoma"/>
      <family val="2"/>
    </font>
    <font>
      <sz val="8"/>
      <color theme="1"/>
      <name val="Arial"/>
      <family val="2"/>
    </font>
    <font>
      <b/>
      <sz val="9.5"/>
      <color theme="1"/>
      <name val="Arial"/>
      <family val="2"/>
    </font>
    <font>
      <sz val="9.5"/>
      <color theme="1"/>
      <name val="Arial"/>
      <family val="2"/>
    </font>
    <font>
      <b/>
      <sz val="10"/>
      <color rgb="FF000000"/>
      <name val="Calibri"/>
      <family val="2"/>
      <scheme val="minor"/>
    </font>
    <font>
      <sz val="8"/>
      <color rgb="FF000000"/>
      <name val="Calibri"/>
      <family val="2"/>
      <scheme val="minor"/>
    </font>
    <font>
      <b/>
      <sz val="10"/>
      <name val="Arial"/>
      <family val="2"/>
    </font>
    <font>
      <sz val="10"/>
      <name val="Arial"/>
      <family val="2"/>
    </font>
    <font>
      <sz val="11"/>
      <color rgb="FF1F497D"/>
      <name val="Calibri"/>
      <family val="2"/>
      <scheme val="minor"/>
    </font>
    <font>
      <i/>
      <sz val="11"/>
      <color theme="1"/>
      <name val="Arial"/>
      <family val="2"/>
    </font>
    <font>
      <sz val="10"/>
      <color theme="1"/>
      <name val="Calibri"/>
      <family val="2"/>
      <scheme val="minor"/>
    </font>
    <font>
      <u/>
      <sz val="11"/>
      <color theme="10"/>
      <name val="Calibri"/>
      <family val="2"/>
      <scheme val="minor"/>
    </font>
    <font>
      <u/>
      <sz val="10"/>
      <color theme="10"/>
      <name val="Arial"/>
      <family val="2"/>
    </font>
    <font>
      <sz val="11"/>
      <color theme="0"/>
      <name val="Calibri"/>
      <family val="2"/>
      <scheme val="minor"/>
    </font>
    <font>
      <i/>
      <sz val="10"/>
      <color theme="1"/>
      <name val="Arial"/>
      <family val="2"/>
    </font>
    <font>
      <i/>
      <sz val="10"/>
      <color theme="0"/>
      <name val="Arial"/>
      <family val="2"/>
    </font>
    <font>
      <u/>
      <sz val="11"/>
      <color theme="10"/>
      <name val="Arial"/>
      <family val="2"/>
    </font>
    <font>
      <b/>
      <sz val="14"/>
      <color theme="1"/>
      <name val="Arial"/>
      <family val="2"/>
    </font>
    <font>
      <b/>
      <sz val="12"/>
      <color theme="1"/>
      <name val="Arial"/>
      <family val="2"/>
    </font>
    <font>
      <b/>
      <sz val="16"/>
      <color theme="1"/>
      <name val="Arial"/>
      <family val="2"/>
    </font>
    <font>
      <sz val="10"/>
      <color theme="0" tint="-4.9989318521683403E-2"/>
      <name val="Arial"/>
      <family val="2"/>
    </font>
    <font>
      <b/>
      <sz val="12"/>
      <color indexed="8"/>
      <name val="Arial"/>
      <family val="2"/>
    </font>
    <font>
      <b/>
      <sz val="22"/>
      <name val="Times New Roman"/>
      <family val="1"/>
    </font>
    <font>
      <b/>
      <sz val="14"/>
      <name val="Times New Roman"/>
      <family val="1"/>
    </font>
    <font>
      <sz val="10"/>
      <name val="Times New Roman"/>
      <family val="1"/>
    </font>
    <font>
      <sz val="8"/>
      <name val="Times New Roman"/>
      <family val="1"/>
    </font>
    <font>
      <b/>
      <sz val="20"/>
      <name val="Arial"/>
      <family val="2"/>
    </font>
    <font>
      <u/>
      <sz val="12"/>
      <color theme="10"/>
      <name val="Calibri"/>
      <family val="2"/>
      <scheme val="minor"/>
    </font>
    <font>
      <b/>
      <sz val="10"/>
      <color theme="3" tint="-0.249977111117893"/>
      <name val="Arial"/>
      <family val="2"/>
    </font>
    <font>
      <b/>
      <sz val="20"/>
      <color theme="1"/>
      <name val="Arial"/>
      <family val="2"/>
    </font>
    <font>
      <sz val="10"/>
      <color rgb="FFFF0000"/>
      <name val="Arial"/>
      <family val="2"/>
    </font>
    <font>
      <b/>
      <sz val="10"/>
      <color rgb="FFFF0000"/>
      <name val="Arial"/>
      <family val="2"/>
    </font>
    <font>
      <u/>
      <sz val="11"/>
      <color theme="8" tint="-0.249977111117893"/>
      <name val="Arial"/>
      <family val="2"/>
    </font>
    <font>
      <b/>
      <sz val="9"/>
      <color theme="1"/>
      <name val="Arial"/>
      <family val="2"/>
    </font>
    <font>
      <sz val="9"/>
      <color theme="1"/>
      <name val="Arial"/>
      <family val="2"/>
    </font>
    <font>
      <sz val="9"/>
      <color theme="1"/>
      <name val="Calibri"/>
      <family val="2"/>
      <scheme val="minor"/>
    </font>
    <font>
      <b/>
      <u/>
      <sz val="10"/>
      <color theme="1"/>
      <name val="Arial"/>
      <family val="2"/>
    </font>
    <font>
      <sz val="11"/>
      <name val="Times New Roman"/>
      <family val="1"/>
    </font>
    <font>
      <b/>
      <sz val="10"/>
      <name val="Times New Roman"/>
      <family val="1"/>
    </font>
    <font>
      <b/>
      <i/>
      <sz val="22"/>
      <color theme="0" tint="-0.499984740745262"/>
      <name val="Times New Roman"/>
      <family val="1"/>
    </font>
    <font>
      <b/>
      <i/>
      <sz val="11"/>
      <color theme="4" tint="-0.249977111117893"/>
      <name val="Arial"/>
      <family val="2"/>
    </font>
    <font>
      <sz val="9"/>
      <name val="Times New Roman"/>
      <family val="1"/>
    </font>
    <font>
      <i/>
      <sz val="9"/>
      <name val="Times New Roman"/>
      <family val="1"/>
    </font>
    <font>
      <b/>
      <i/>
      <sz val="9"/>
      <name val="Times New Roman"/>
      <family val="1"/>
    </font>
  </fonts>
  <fills count="2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33CCFF"/>
        <bgColor indexed="64"/>
      </patternFill>
    </fill>
    <fill>
      <patternFill patternType="solid">
        <fgColor rgb="FF66FF3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7" tint="0.3999755851924192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right/>
      <top style="thin">
        <color indexed="64"/>
      </top>
      <bottom style="hair">
        <color auto="1"/>
      </bottom>
      <diagonal/>
    </border>
    <border>
      <left/>
      <right/>
      <top style="hair">
        <color auto="1"/>
      </top>
      <bottom style="thin">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580">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justify" vertical="center"/>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0" xfId="0" applyFont="1" applyFill="1" applyBorder="1" applyAlignment="1">
      <alignment horizontal="justify" vertical="center" wrapText="1"/>
    </xf>
    <xf numFmtId="165" fontId="0" fillId="0" borderId="0" xfId="2" applyFont="1"/>
    <xf numFmtId="0" fontId="7" fillId="0" borderId="0" xfId="0" applyFont="1"/>
    <xf numFmtId="0" fontId="0" fillId="0" borderId="0" xfId="0" applyAlignment="1">
      <alignment horizontal="left" indent="1"/>
    </xf>
    <xf numFmtId="9" fontId="0" fillId="0" borderId="0" xfId="3" applyFont="1"/>
    <xf numFmtId="0" fontId="0" fillId="0" borderId="0" xfId="0" applyAlignment="1">
      <alignment horizontal="left"/>
    </xf>
    <xf numFmtId="0" fontId="6" fillId="0" borderId="0" xfId="0" applyFont="1" applyBorder="1" applyAlignment="1">
      <alignment horizontal="center" vertical="center" wrapText="1"/>
    </xf>
    <xf numFmtId="9" fontId="6" fillId="0" borderId="0" xfId="0" applyNumberFormat="1" applyFont="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Alignment="1">
      <alignment horizontal="left" indent="1"/>
    </xf>
    <xf numFmtId="0" fontId="4" fillId="0" borderId="0" xfId="0" applyFont="1" applyAlignment="1">
      <alignment horizontal="justify" vertical="center"/>
    </xf>
    <xf numFmtId="165" fontId="0" fillId="3" borderId="0" xfId="2" applyFont="1" applyFill="1"/>
    <xf numFmtId="0" fontId="0" fillId="3" borderId="0" xfId="0" applyFill="1"/>
    <xf numFmtId="0" fontId="11" fillId="0" borderId="0" xfId="0" applyFont="1" applyAlignment="1">
      <alignment vertical="center"/>
    </xf>
    <xf numFmtId="0" fontId="12" fillId="0" borderId="0" xfId="0" applyFont="1" applyAlignment="1">
      <alignment vertical="center"/>
    </xf>
    <xf numFmtId="3" fontId="0" fillId="0" borderId="0" xfId="0" applyNumberFormat="1"/>
    <xf numFmtId="3" fontId="11" fillId="0" borderId="0" xfId="0" applyNumberFormat="1" applyFont="1" applyAlignment="1">
      <alignment vertical="center"/>
    </xf>
    <xf numFmtId="168" fontId="0" fillId="0" borderId="0" xfId="3" applyNumberFormat="1" applyFont="1"/>
    <xf numFmtId="0" fontId="0" fillId="3" borderId="0" xfId="0" applyFill="1" applyAlignment="1">
      <alignment horizontal="left" indent="1"/>
    </xf>
    <xf numFmtId="165" fontId="0" fillId="0" borderId="0" xfId="0" applyNumberFormat="1"/>
    <xf numFmtId="0" fontId="6" fillId="0" borderId="0" xfId="0" applyFont="1"/>
    <xf numFmtId="0" fontId="5" fillId="0" borderId="0" xfId="0" applyFont="1"/>
    <xf numFmtId="0" fontId="6" fillId="0" borderId="0" xfId="0" applyFont="1" applyAlignment="1">
      <alignment horizontal="left" indent="1"/>
    </xf>
    <xf numFmtId="0" fontId="6" fillId="4" borderId="0" xfId="0" applyFont="1" applyFill="1"/>
    <xf numFmtId="0" fontId="6" fillId="5" borderId="0" xfId="0" applyFont="1" applyFill="1"/>
    <xf numFmtId="0" fontId="6" fillId="6" borderId="0" xfId="0" applyFont="1" applyFill="1"/>
    <xf numFmtId="0" fontId="5" fillId="0" borderId="5" xfId="0" applyFont="1" applyBorder="1" applyAlignment="1">
      <alignment horizontal="right"/>
    </xf>
    <xf numFmtId="0" fontId="6" fillId="0" borderId="6" xfId="0" applyFont="1" applyBorder="1"/>
    <xf numFmtId="0" fontId="6" fillId="0" borderId="7" xfId="0" applyFont="1" applyBorder="1"/>
    <xf numFmtId="0" fontId="5" fillId="0" borderId="8" xfId="0" applyFont="1" applyBorder="1"/>
    <xf numFmtId="0" fontId="6" fillId="0" borderId="0" xfId="0" applyFont="1" applyBorder="1"/>
    <xf numFmtId="169" fontId="6" fillId="0" borderId="9" xfId="0" applyNumberFormat="1" applyFont="1" applyBorder="1" applyAlignment="1">
      <alignment horizontal="center"/>
    </xf>
    <xf numFmtId="169" fontId="6" fillId="0" borderId="10" xfId="0" applyNumberFormat="1" applyFont="1" applyBorder="1" applyAlignment="1">
      <alignment horizontal="center"/>
    </xf>
    <xf numFmtId="0" fontId="5" fillId="0" borderId="11" xfId="0" applyFont="1" applyBorder="1"/>
    <xf numFmtId="0" fontId="6" fillId="0" borderId="12" xfId="0" applyFont="1" applyBorder="1"/>
    <xf numFmtId="0" fontId="5" fillId="0" borderId="13" xfId="0" applyFont="1" applyBorder="1"/>
    <xf numFmtId="169" fontId="6" fillId="0" borderId="14" xfId="0" applyNumberFormat="1" applyFont="1" applyBorder="1" applyAlignment="1">
      <alignment horizontal="center"/>
    </xf>
    <xf numFmtId="169" fontId="6" fillId="0" borderId="15" xfId="0" applyNumberFormat="1" applyFont="1" applyBorder="1" applyAlignment="1">
      <alignment horizontal="center"/>
    </xf>
    <xf numFmtId="169" fontId="5" fillId="0" borderId="0" xfId="0" applyNumberFormat="1" applyFont="1"/>
    <xf numFmtId="169" fontId="6" fillId="0" borderId="0" xfId="0" applyNumberFormat="1" applyFont="1" applyBorder="1" applyAlignment="1">
      <alignment horizontal="center"/>
    </xf>
    <xf numFmtId="169" fontId="5" fillId="0" borderId="0" xfId="0" applyNumberFormat="1" applyFont="1" applyBorder="1" applyAlignment="1">
      <alignment horizontal="center"/>
    </xf>
    <xf numFmtId="169" fontId="5" fillId="0" borderId="9" xfId="0" applyNumberFormat="1" applyFont="1" applyBorder="1" applyAlignment="1">
      <alignment horizontal="center"/>
    </xf>
    <xf numFmtId="0" fontId="5" fillId="0" borderId="16" xfId="0" applyFont="1" applyBorder="1"/>
    <xf numFmtId="0" fontId="5" fillId="0" borderId="17" xfId="0" applyFont="1" applyBorder="1"/>
    <xf numFmtId="0" fontId="6" fillId="0" borderId="18" xfId="0" applyFont="1" applyBorder="1"/>
    <xf numFmtId="1" fontId="6" fillId="0" borderId="17" xfId="0" applyNumberFormat="1" applyFont="1" applyBorder="1" applyAlignment="1">
      <alignment horizontal="center"/>
    </xf>
    <xf numFmtId="1" fontId="6" fillId="0" borderId="0" xfId="0" applyNumberFormat="1" applyFont="1" applyAlignment="1">
      <alignment horizontal="center"/>
    </xf>
    <xf numFmtId="0" fontId="5" fillId="0" borderId="19" xfId="0" applyFont="1" applyBorder="1"/>
    <xf numFmtId="169" fontId="6" fillId="0" borderId="20" xfId="0" applyNumberFormat="1" applyFont="1" applyBorder="1" applyAlignment="1">
      <alignment horizontal="center"/>
    </xf>
    <xf numFmtId="169" fontId="6" fillId="0" borderId="21" xfId="0" applyNumberFormat="1" applyFont="1" applyBorder="1" applyAlignment="1">
      <alignment horizontal="center"/>
    </xf>
    <xf numFmtId="169" fontId="5" fillId="0" borderId="10" xfId="0" applyNumberFormat="1" applyFont="1" applyBorder="1" applyAlignment="1">
      <alignment horizontal="center"/>
    </xf>
    <xf numFmtId="169" fontId="6" fillId="0" borderId="22" xfId="0" applyNumberFormat="1" applyFont="1" applyBorder="1" applyAlignment="1">
      <alignment horizontal="center"/>
    </xf>
    <xf numFmtId="169" fontId="6" fillId="0" borderId="23" xfId="0" applyNumberFormat="1" applyFont="1" applyBorder="1" applyAlignment="1">
      <alignment horizontal="center"/>
    </xf>
    <xf numFmtId="169" fontId="6" fillId="0" borderId="24" xfId="0" applyNumberFormat="1" applyFont="1" applyBorder="1" applyAlignment="1">
      <alignment horizontal="center"/>
    </xf>
    <xf numFmtId="169" fontId="5" fillId="0" borderId="25" xfId="0" applyNumberFormat="1" applyFont="1" applyBorder="1" applyAlignment="1">
      <alignment horizontal="center"/>
    </xf>
    <xf numFmtId="169" fontId="6" fillId="0" borderId="26" xfId="0" applyNumberFormat="1" applyFont="1" applyBorder="1" applyAlignment="1">
      <alignment horizontal="center"/>
    </xf>
    <xf numFmtId="169" fontId="6" fillId="0" borderId="27" xfId="0" applyNumberFormat="1" applyFont="1" applyBorder="1" applyAlignment="1">
      <alignment horizontal="center"/>
    </xf>
    <xf numFmtId="169" fontId="6" fillId="0" borderId="28" xfId="0" applyNumberFormat="1" applyFont="1" applyBorder="1" applyAlignment="1">
      <alignment horizontal="center"/>
    </xf>
    <xf numFmtId="169" fontId="5" fillId="0" borderId="29" xfId="0" applyNumberFormat="1" applyFont="1" applyBorder="1" applyAlignment="1">
      <alignment horizontal="center"/>
    </xf>
    <xf numFmtId="0" fontId="5" fillId="0" borderId="0" xfId="0" applyFont="1" applyBorder="1"/>
    <xf numFmtId="169" fontId="5" fillId="0" borderId="0" xfId="0" applyNumberFormat="1" applyFont="1" applyBorder="1"/>
    <xf numFmtId="0" fontId="6" fillId="0" borderId="17" xfId="0" applyFont="1" applyBorder="1"/>
    <xf numFmtId="0" fontId="5" fillId="0" borderId="5" xfId="0" applyFont="1" applyBorder="1"/>
    <xf numFmtId="0" fontId="5" fillId="0" borderId="7" xfId="0" applyFont="1" applyBorder="1"/>
    <xf numFmtId="169" fontId="6" fillId="0" borderId="30" xfId="0" applyNumberFormat="1" applyFont="1" applyBorder="1" applyAlignment="1">
      <alignment horizontal="center"/>
    </xf>
    <xf numFmtId="0" fontId="15" fillId="0" borderId="15" xfId="0" applyFont="1" applyBorder="1" applyAlignment="1">
      <alignment wrapText="1"/>
    </xf>
    <xf numFmtId="0" fontId="16" fillId="0" borderId="15" xfId="0" applyFont="1" applyBorder="1"/>
    <xf numFmtId="170" fontId="16" fillId="0" borderId="15" xfId="0" applyNumberFormat="1" applyFont="1" applyBorder="1"/>
    <xf numFmtId="165" fontId="4" fillId="0" borderId="0" xfId="2" applyFont="1"/>
    <xf numFmtId="9" fontId="4" fillId="0" borderId="0" xfId="0" applyNumberFormat="1" applyFont="1"/>
    <xf numFmtId="0" fontId="4" fillId="0" borderId="0" xfId="0" applyFont="1" applyAlignment="1">
      <alignment horizontal="left"/>
    </xf>
    <xf numFmtId="9" fontId="4" fillId="0" borderId="0" xfId="3" applyFont="1"/>
    <xf numFmtId="0" fontId="6" fillId="0" borderId="0" xfId="0" applyFont="1" applyAlignment="1">
      <alignment horizontal="left"/>
    </xf>
    <xf numFmtId="167" fontId="4" fillId="0" borderId="0" xfId="1" applyNumberFormat="1" applyFont="1"/>
    <xf numFmtId="165" fontId="4" fillId="0" borderId="0" xfId="0" applyNumberFormat="1" applyFont="1"/>
    <xf numFmtId="0" fontId="4" fillId="0" borderId="0" xfId="0" applyFont="1" applyAlignment="1">
      <alignment horizontal="left" indent="2"/>
    </xf>
    <xf numFmtId="0" fontId="17" fillId="0" borderId="0" xfId="0" applyFont="1"/>
    <xf numFmtId="0" fontId="3" fillId="7" borderId="0" xfId="0" applyFont="1" applyFill="1"/>
    <xf numFmtId="166" fontId="4" fillId="0" borderId="0" xfId="1" applyFont="1"/>
    <xf numFmtId="169" fontId="6" fillId="0" borderId="0" xfId="0" applyNumberFormat="1" applyFont="1"/>
    <xf numFmtId="166" fontId="4" fillId="0" borderId="0" xfId="0" applyNumberFormat="1" applyFont="1"/>
    <xf numFmtId="0" fontId="5" fillId="0" borderId="0" xfId="0" applyFont="1" applyFill="1" applyBorder="1" applyAlignment="1">
      <alignment horizontal="justify" vertical="center" wrapText="1"/>
    </xf>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2"/>
    </xf>
    <xf numFmtId="166" fontId="0" fillId="0" borderId="0" xfId="0" applyNumberFormat="1"/>
    <xf numFmtId="0" fontId="5" fillId="0" borderId="0" xfId="0" applyFont="1" applyFill="1" applyBorder="1" applyAlignment="1">
      <alignment horizontal="left" vertical="center" wrapText="1" indent="2"/>
    </xf>
    <xf numFmtId="0" fontId="0" fillId="11" borderId="0" xfId="0" applyFill="1"/>
    <xf numFmtId="166" fontId="0" fillId="11" borderId="0" xfId="0" applyNumberFormat="1" applyFill="1"/>
    <xf numFmtId="0" fontId="5" fillId="9" borderId="0" xfId="0" applyFont="1" applyFill="1"/>
    <xf numFmtId="1" fontId="5" fillId="9" borderId="0" xfId="0" applyNumberFormat="1" applyFont="1" applyFill="1" applyAlignment="1">
      <alignment horizontal="center"/>
    </xf>
    <xf numFmtId="1" fontId="5" fillId="9" borderId="0" xfId="0" applyNumberFormat="1" applyFont="1" applyFill="1" applyAlignment="1">
      <alignment horizontal="left"/>
    </xf>
    <xf numFmtId="172" fontId="6" fillId="0" borderId="0" xfId="0" applyNumberFormat="1" applyFont="1"/>
    <xf numFmtId="9" fontId="6" fillId="9" borderId="0" xfId="0" applyNumberFormat="1" applyFont="1" applyFill="1" applyBorder="1" applyAlignment="1">
      <alignment horizontal="right" vertical="center" wrapText="1"/>
    </xf>
    <xf numFmtId="0" fontId="6" fillId="9" borderId="0" xfId="0" applyFont="1" applyFill="1" applyBorder="1" applyAlignment="1">
      <alignment horizontal="right" vertical="center" wrapText="1"/>
    </xf>
    <xf numFmtId="0" fontId="0" fillId="11" borderId="0" xfId="0" applyFill="1" applyAlignment="1">
      <alignment horizontal="left" indent="1"/>
    </xf>
    <xf numFmtId="0" fontId="0" fillId="12" borderId="0" xfId="0" applyFill="1" applyAlignment="1">
      <alignment horizontal="left" indent="1"/>
    </xf>
    <xf numFmtId="0" fontId="0" fillId="12" borderId="0" xfId="0" applyFill="1"/>
    <xf numFmtId="171" fontId="4" fillId="0" borderId="0" xfId="2" applyNumberFormat="1" applyFont="1"/>
    <xf numFmtId="167" fontId="0" fillId="0" borderId="0" xfId="1" applyNumberFormat="1" applyFont="1"/>
    <xf numFmtId="167" fontId="4" fillId="0" borderId="0" xfId="0" applyNumberFormat="1" applyFont="1"/>
    <xf numFmtId="166" fontId="6" fillId="0" borderId="0" xfId="1" applyFont="1"/>
    <xf numFmtId="167" fontId="16" fillId="8" borderId="0" xfId="1" applyNumberFormat="1" applyFont="1" applyFill="1"/>
    <xf numFmtId="166" fontId="6" fillId="0" borderId="0" xfId="0" applyNumberFormat="1" applyFont="1"/>
    <xf numFmtId="9" fontId="6" fillId="9" borderId="0" xfId="3" applyFont="1" applyFill="1"/>
    <xf numFmtId="0" fontId="6" fillId="9" borderId="0" xfId="0" applyFont="1" applyFill="1"/>
    <xf numFmtId="171" fontId="4" fillId="0" borderId="0" xfId="0" applyNumberFormat="1" applyFont="1"/>
    <xf numFmtId="0" fontId="18" fillId="0" borderId="0" xfId="0" applyFont="1"/>
    <xf numFmtId="167" fontId="18" fillId="0" borderId="0" xfId="0" applyNumberFormat="1" applyFont="1"/>
    <xf numFmtId="166" fontId="4" fillId="0" borderId="0" xfId="1" applyNumberFormat="1" applyFont="1"/>
    <xf numFmtId="9" fontId="6" fillId="9" borderId="0" xfId="3" applyFont="1" applyFill="1" applyBorder="1" applyAlignment="1">
      <alignment horizontal="right" vertical="center" wrapText="1"/>
    </xf>
    <xf numFmtId="0" fontId="6" fillId="0" borderId="0" xfId="0" applyFont="1" applyFill="1" applyBorder="1" applyAlignment="1">
      <alignment horizontal="right" vertical="center" wrapText="1"/>
    </xf>
    <xf numFmtId="9" fontId="6" fillId="9" borderId="0" xfId="0" applyNumberFormat="1" applyFont="1" applyFill="1"/>
    <xf numFmtId="0" fontId="5" fillId="0" borderId="18" xfId="0" applyFont="1" applyBorder="1"/>
    <xf numFmtId="0" fontId="5" fillId="0" borderId="0" xfId="0" applyFont="1" applyBorder="1" applyAlignment="1">
      <alignment horizontal="left" indent="1"/>
    </xf>
    <xf numFmtId="171" fontId="6" fillId="8" borderId="0" xfId="2" applyNumberFormat="1" applyFont="1" applyFill="1" applyBorder="1"/>
    <xf numFmtId="171" fontId="6" fillId="0" borderId="0" xfId="2" applyNumberFormat="1" applyFont="1" applyBorder="1"/>
    <xf numFmtId="0" fontId="6" fillId="0" borderId="31" xfId="0" applyFont="1" applyBorder="1" applyAlignment="1">
      <alignment horizontal="left" indent="2"/>
    </xf>
    <xf numFmtId="171" fontId="6" fillId="8" borderId="31" xfId="2" applyNumberFormat="1" applyFont="1" applyFill="1" applyBorder="1"/>
    <xf numFmtId="0" fontId="6" fillId="0" borderId="32" xfId="0" applyFont="1" applyBorder="1" applyAlignment="1">
      <alignment horizontal="left" indent="2"/>
    </xf>
    <xf numFmtId="171" fontId="6" fillId="8" borderId="32" xfId="2" applyNumberFormat="1" applyFont="1" applyFill="1" applyBorder="1"/>
    <xf numFmtId="0" fontId="6" fillId="0" borderId="0" xfId="0" applyFont="1" applyBorder="1" applyAlignment="1">
      <alignment horizontal="left" indent="1"/>
    </xf>
    <xf numFmtId="171" fontId="6" fillId="8" borderId="12" xfId="2" applyNumberFormat="1" applyFont="1" applyFill="1" applyBorder="1"/>
    <xf numFmtId="0" fontId="19" fillId="0" borderId="0" xfId="0" applyFont="1"/>
    <xf numFmtId="167" fontId="6" fillId="8" borderId="0" xfId="1" applyNumberFormat="1" applyFont="1" applyFill="1"/>
    <xf numFmtId="0" fontId="5" fillId="0" borderId="0" xfId="0" applyFont="1" applyBorder="1" applyAlignment="1">
      <alignment horizontal="left"/>
    </xf>
    <xf numFmtId="0" fontId="6" fillId="0" borderId="0" xfId="0" applyFont="1" applyAlignment="1">
      <alignment horizontal="justify" vertical="center"/>
    </xf>
    <xf numFmtId="167" fontId="6" fillId="9" borderId="0" xfId="1" applyNumberFormat="1" applyFont="1" applyFill="1"/>
    <xf numFmtId="0" fontId="5" fillId="0" borderId="18" xfId="0" applyFont="1" applyBorder="1" applyAlignment="1">
      <alignment horizontal="left"/>
    </xf>
    <xf numFmtId="168" fontId="6" fillId="9" borderId="0" xfId="3" applyNumberFormat="1" applyFont="1" applyFill="1"/>
    <xf numFmtId="0" fontId="6" fillId="10" borderId="0" xfId="0" applyFont="1" applyFill="1"/>
    <xf numFmtId="0" fontId="21" fillId="0" borderId="0" xfId="4" applyFont="1"/>
    <xf numFmtId="0" fontId="5" fillId="13" borderId="0" xfId="0" applyFont="1" applyFill="1"/>
    <xf numFmtId="0" fontId="5" fillId="7" borderId="0" xfId="0" applyFont="1" applyFill="1"/>
    <xf numFmtId="0" fontId="6" fillId="13" borderId="0" xfId="0" applyFont="1" applyFill="1"/>
    <xf numFmtId="166" fontId="0" fillId="3" borderId="0" xfId="0" applyNumberFormat="1" applyFill="1"/>
    <xf numFmtId="167" fontId="0" fillId="11" borderId="0" xfId="1" applyNumberFormat="1" applyFont="1" applyFill="1"/>
    <xf numFmtId="167" fontId="6" fillId="8" borderId="0" xfId="1" applyNumberFormat="1" applyFont="1" applyFill="1" applyAlignment="1">
      <alignment horizontal="right" indent="2"/>
    </xf>
    <xf numFmtId="167" fontId="6" fillId="8" borderId="12" xfId="0" applyNumberFormat="1" applyFont="1" applyFill="1" applyBorder="1"/>
    <xf numFmtId="166" fontId="0" fillId="12" borderId="0" xfId="0" applyNumberFormat="1" applyFill="1"/>
    <xf numFmtId="0" fontId="6" fillId="0" borderId="12" xfId="0" applyFont="1" applyFill="1" applyBorder="1" applyAlignment="1">
      <alignment horizontal="left" vertical="center" wrapText="1" indent="1"/>
    </xf>
    <xf numFmtId="167" fontId="6" fillId="8" borderId="12" xfId="1" applyNumberFormat="1" applyFont="1" applyFill="1" applyBorder="1"/>
    <xf numFmtId="0" fontId="6" fillId="12" borderId="0" xfId="0" applyFont="1" applyFill="1" applyAlignment="1">
      <alignment horizontal="left"/>
    </xf>
    <xf numFmtId="0" fontId="6" fillId="12" borderId="0" xfId="0" applyFont="1" applyFill="1"/>
    <xf numFmtId="167" fontId="6" fillId="8" borderId="0" xfId="1" applyNumberFormat="1" applyFont="1" applyFill="1" applyBorder="1"/>
    <xf numFmtId="0" fontId="6" fillId="0" borderId="12" xfId="0" applyFont="1" applyBorder="1" applyAlignment="1">
      <alignment horizontal="left" indent="1"/>
    </xf>
    <xf numFmtId="0" fontId="5" fillId="0" borderId="6" xfId="0" applyFont="1" applyBorder="1"/>
    <xf numFmtId="171" fontId="6" fillId="0" borderId="6" xfId="2" applyNumberFormat="1" applyFont="1" applyBorder="1"/>
    <xf numFmtId="0" fontId="6" fillId="12" borderId="0" xfId="0" applyFont="1" applyFill="1" applyAlignment="1"/>
    <xf numFmtId="0" fontId="4" fillId="14" borderId="0" xfId="0" applyFont="1" applyFill="1"/>
    <xf numFmtId="166" fontId="4" fillId="14" borderId="0" xfId="1" applyFont="1" applyFill="1"/>
    <xf numFmtId="0" fontId="6" fillId="0" borderId="31" xfId="0" applyFont="1" applyBorder="1"/>
    <xf numFmtId="0" fontId="6" fillId="0" borderId="32" xfId="0" applyFont="1" applyBorder="1" applyAlignment="1">
      <alignment horizontal="left" indent="1"/>
    </xf>
    <xf numFmtId="167" fontId="6" fillId="8" borderId="32" xfId="0" applyNumberFormat="1" applyFont="1" applyFill="1" applyBorder="1"/>
    <xf numFmtId="0" fontId="6" fillId="0" borderId="32" xfId="0" applyFont="1" applyBorder="1"/>
    <xf numFmtId="0" fontId="6" fillId="9" borderId="0" xfId="0" applyFont="1" applyFill="1" applyBorder="1"/>
    <xf numFmtId="0" fontId="6" fillId="9" borderId="32" xfId="0" applyFont="1" applyFill="1" applyBorder="1"/>
    <xf numFmtId="0" fontId="6" fillId="9" borderId="31" xfId="0" applyFont="1" applyFill="1" applyBorder="1"/>
    <xf numFmtId="0" fontId="6" fillId="0" borderId="33" xfId="0" applyFont="1" applyBorder="1"/>
    <xf numFmtId="0" fontId="23" fillId="0" borderId="0" xfId="0" applyFont="1" applyBorder="1" applyAlignment="1">
      <alignment horizontal="left" indent="1"/>
    </xf>
    <xf numFmtId="0" fontId="23" fillId="0" borderId="32" xfId="0" applyFont="1" applyBorder="1" applyAlignment="1">
      <alignment horizontal="left" indent="1"/>
    </xf>
    <xf numFmtId="0" fontId="23" fillId="0" borderId="0" xfId="0" applyFont="1" applyAlignment="1">
      <alignment horizontal="left" indent="1"/>
    </xf>
    <xf numFmtId="171" fontId="6" fillId="9" borderId="0" xfId="2" applyNumberFormat="1" applyFont="1" applyFill="1" applyBorder="1" applyProtection="1">
      <protection locked="0"/>
    </xf>
    <xf numFmtId="0" fontId="6" fillId="9" borderId="31" xfId="0" applyFont="1" applyFill="1" applyBorder="1" applyProtection="1">
      <protection locked="0"/>
    </xf>
    <xf numFmtId="0" fontId="6" fillId="9" borderId="0" xfId="0" applyFont="1" applyFill="1" applyBorder="1" applyProtection="1">
      <protection locked="0"/>
    </xf>
    <xf numFmtId="0" fontId="6" fillId="9" borderId="32" xfId="0" applyFont="1" applyFill="1" applyBorder="1" applyProtection="1">
      <protection locked="0"/>
    </xf>
    <xf numFmtId="168" fontId="6" fillId="9" borderId="31" xfId="3" applyNumberFormat="1" applyFont="1" applyFill="1" applyBorder="1"/>
    <xf numFmtId="168" fontId="6" fillId="9" borderId="32" xfId="3" applyNumberFormat="1" applyFont="1" applyFill="1" applyBorder="1"/>
    <xf numFmtId="167" fontId="6" fillId="8" borderId="31" xfId="1" applyNumberFormat="1" applyFont="1" applyFill="1" applyBorder="1"/>
    <xf numFmtId="167" fontId="6" fillId="8" borderId="32" xfId="1" applyNumberFormat="1" applyFont="1" applyFill="1" applyBorder="1"/>
    <xf numFmtId="0" fontId="23" fillId="0" borderId="0" xfId="0" applyFont="1" applyAlignment="1">
      <alignment horizontal="left" indent="2"/>
    </xf>
    <xf numFmtId="0" fontId="6" fillId="0" borderId="34" xfId="0" applyFont="1" applyBorder="1"/>
    <xf numFmtId="0" fontId="6" fillId="0" borderId="35" xfId="0" applyFont="1" applyBorder="1"/>
    <xf numFmtId="168" fontId="6" fillId="9" borderId="0" xfId="3" applyNumberFormat="1" applyFont="1" applyFill="1" applyProtection="1">
      <protection locked="0"/>
    </xf>
    <xf numFmtId="0" fontId="6" fillId="10" borderId="0" xfId="0" applyFont="1" applyFill="1" applyProtection="1">
      <protection locked="0"/>
    </xf>
    <xf numFmtId="167" fontId="6" fillId="8" borderId="33" xfId="1" applyNumberFormat="1" applyFont="1" applyFill="1" applyBorder="1"/>
    <xf numFmtId="167" fontId="6" fillId="8" borderId="31" xfId="0" applyNumberFormat="1" applyFont="1" applyFill="1" applyBorder="1"/>
    <xf numFmtId="0" fontId="6" fillId="9" borderId="0" xfId="0" applyFont="1" applyFill="1" applyProtection="1">
      <protection locked="0"/>
    </xf>
    <xf numFmtId="9" fontId="6" fillId="9" borderId="0" xfId="0" applyNumberFormat="1" applyFont="1" applyFill="1" applyProtection="1">
      <protection locked="0"/>
    </xf>
    <xf numFmtId="167" fontId="6" fillId="9" borderId="0" xfId="1" applyNumberFormat="1" applyFont="1" applyFill="1" applyProtection="1">
      <protection locked="0"/>
    </xf>
    <xf numFmtId="9" fontId="6" fillId="9" borderId="31" xfId="3" applyFont="1" applyFill="1" applyBorder="1"/>
    <xf numFmtId="9" fontId="6" fillId="9" borderId="31" xfId="3" applyFont="1" applyFill="1" applyBorder="1" applyProtection="1">
      <protection locked="0"/>
    </xf>
    <xf numFmtId="9" fontId="6" fillId="8" borderId="33" xfId="0" applyNumberFormat="1" applyFont="1" applyFill="1" applyBorder="1"/>
    <xf numFmtId="167" fontId="6" fillId="8" borderId="35" xfId="1" applyNumberFormat="1" applyFont="1" applyFill="1" applyBorder="1"/>
    <xf numFmtId="167" fontId="6" fillId="9" borderId="12" xfId="1" applyNumberFormat="1" applyFont="1" applyFill="1" applyBorder="1"/>
    <xf numFmtId="9" fontId="6" fillId="9" borderId="6" xfId="3" applyFont="1" applyFill="1" applyBorder="1"/>
    <xf numFmtId="9" fontId="6" fillId="9" borderId="0" xfId="3" applyFont="1" applyFill="1" applyBorder="1"/>
    <xf numFmtId="9" fontId="6" fillId="9" borderId="32" xfId="3" applyFont="1" applyFill="1" applyBorder="1"/>
    <xf numFmtId="9" fontId="6" fillId="9" borderId="0" xfId="3" applyFont="1" applyFill="1" applyProtection="1">
      <protection locked="0"/>
    </xf>
    <xf numFmtId="167" fontId="6" fillId="9" borderId="12" xfId="1" applyNumberFormat="1" applyFont="1" applyFill="1" applyBorder="1" applyProtection="1">
      <protection locked="0"/>
    </xf>
    <xf numFmtId="9" fontId="6" fillId="9" borderId="6" xfId="3" applyFont="1" applyFill="1" applyBorder="1" applyProtection="1">
      <protection locked="0"/>
    </xf>
    <xf numFmtId="9" fontId="6" fillId="9" borderId="0" xfId="3" applyFont="1" applyFill="1" applyBorder="1" applyProtection="1">
      <protection locked="0"/>
    </xf>
    <xf numFmtId="9" fontId="6" fillId="9" borderId="32" xfId="3" applyFont="1" applyFill="1" applyBorder="1" applyProtection="1">
      <protection locked="0"/>
    </xf>
    <xf numFmtId="0" fontId="6" fillId="0" borderId="18" xfId="0" applyFont="1" applyFill="1" applyBorder="1" applyAlignment="1">
      <alignment horizontal="justify" vertical="center" wrapText="1"/>
    </xf>
    <xf numFmtId="0" fontId="6" fillId="12" borderId="0" xfId="0" applyFont="1" applyFill="1" applyBorder="1" applyAlignment="1">
      <alignment horizontal="justify" vertical="center" wrapText="1"/>
    </xf>
    <xf numFmtId="0" fontId="23" fillId="0" borderId="0" xfId="0" applyFont="1" applyFill="1" applyBorder="1" applyAlignment="1">
      <alignment horizontal="left" vertical="center" wrapText="1" indent="2"/>
    </xf>
    <xf numFmtId="0" fontId="23" fillId="0" borderId="31" xfId="0" applyFont="1" applyFill="1" applyBorder="1" applyAlignment="1">
      <alignment horizontal="left" vertical="center" wrapText="1" indent="2"/>
    </xf>
    <xf numFmtId="9" fontId="6" fillId="9" borderId="31" xfId="3" applyFont="1" applyFill="1" applyBorder="1" applyAlignment="1">
      <alignment horizontal="right" vertical="center" wrapText="1"/>
    </xf>
    <xf numFmtId="0" fontId="23" fillId="0" borderId="32" xfId="0" applyFont="1" applyFill="1" applyBorder="1" applyAlignment="1">
      <alignment horizontal="left" vertical="center" wrapText="1" indent="2"/>
    </xf>
    <xf numFmtId="9" fontId="6" fillId="9" borderId="32" xfId="3" applyFont="1" applyFill="1" applyBorder="1" applyAlignment="1">
      <alignment horizontal="right" vertical="center" wrapText="1"/>
    </xf>
    <xf numFmtId="0" fontId="6" fillId="9" borderId="31" xfId="0" applyFont="1" applyFill="1" applyBorder="1" applyAlignment="1">
      <alignment horizontal="right" vertical="center" wrapText="1"/>
    </xf>
    <xf numFmtId="0" fontId="6" fillId="9" borderId="32" xfId="0" applyFont="1" applyFill="1" applyBorder="1" applyAlignment="1">
      <alignment horizontal="right" vertical="center" wrapText="1"/>
    </xf>
    <xf numFmtId="167" fontId="5" fillId="8" borderId="0" xfId="1" applyNumberFormat="1" applyFont="1" applyFill="1" applyBorder="1"/>
    <xf numFmtId="0" fontId="6" fillId="0" borderId="31" xfId="0" applyFont="1" applyFill="1" applyBorder="1" applyAlignment="1">
      <alignment horizontal="left" vertical="center" wrapText="1" indent="1"/>
    </xf>
    <xf numFmtId="0" fontId="6" fillId="0" borderId="32" xfId="0" applyFont="1" applyFill="1" applyBorder="1" applyAlignment="1">
      <alignment horizontal="left" vertical="center" wrapText="1" indent="1"/>
    </xf>
    <xf numFmtId="9" fontId="6" fillId="9" borderId="31" xfId="3" applyFont="1" applyFill="1" applyBorder="1" applyAlignment="1" applyProtection="1">
      <alignment horizontal="right" vertical="center" wrapText="1"/>
      <protection locked="0"/>
    </xf>
    <xf numFmtId="9" fontId="6" fillId="9" borderId="0" xfId="3" applyFont="1" applyFill="1" applyBorder="1" applyAlignment="1" applyProtection="1">
      <alignment horizontal="right" vertical="center" wrapText="1"/>
      <protection locked="0"/>
    </xf>
    <xf numFmtId="9" fontId="6" fillId="9" borderId="32" xfId="3" applyFont="1" applyFill="1" applyBorder="1" applyAlignment="1" applyProtection="1">
      <alignment horizontal="right" vertical="center" wrapText="1"/>
      <protection locked="0"/>
    </xf>
    <xf numFmtId="0" fontId="6" fillId="9" borderId="31" xfId="0" applyFont="1" applyFill="1" applyBorder="1" applyAlignment="1" applyProtection="1">
      <alignment horizontal="right" vertical="center" wrapText="1"/>
      <protection locked="0"/>
    </xf>
    <xf numFmtId="0" fontId="6" fillId="9" borderId="0" xfId="0" applyFont="1" applyFill="1" applyBorder="1" applyAlignment="1" applyProtection="1">
      <alignment horizontal="right" vertical="center" wrapText="1"/>
      <protection locked="0"/>
    </xf>
    <xf numFmtId="0" fontId="6" fillId="9" borderId="32" xfId="0" applyFont="1" applyFill="1" applyBorder="1" applyAlignment="1" applyProtection="1">
      <alignment horizontal="right" vertical="center" wrapText="1"/>
      <protection locked="0"/>
    </xf>
    <xf numFmtId="0" fontId="23" fillId="0" borderId="0" xfId="0" applyFont="1" applyFill="1" applyBorder="1" applyAlignment="1">
      <alignment horizontal="left" vertical="center" wrapText="1" indent="1"/>
    </xf>
    <xf numFmtId="0" fontId="6" fillId="0" borderId="33" xfId="0" applyFont="1" applyFill="1" applyBorder="1" applyAlignment="1">
      <alignment horizontal="left" vertical="center" wrapText="1"/>
    </xf>
    <xf numFmtId="0" fontId="6" fillId="0" borderId="33" xfId="0" applyFont="1" applyFill="1" applyBorder="1" applyAlignment="1">
      <alignment horizontal="justify" vertical="center" wrapText="1"/>
    </xf>
    <xf numFmtId="0" fontId="4" fillId="0" borderId="33" xfId="0" applyFont="1" applyBorder="1"/>
    <xf numFmtId="0" fontId="6" fillId="0" borderId="33" xfId="0" applyFont="1" applyFill="1" applyBorder="1" applyAlignment="1">
      <alignment horizontal="right" vertical="center" wrapText="1"/>
    </xf>
    <xf numFmtId="0" fontId="6" fillId="0" borderId="31" xfId="0" applyFont="1" applyFill="1" applyBorder="1" applyAlignment="1">
      <alignment horizontal="justify" vertical="center" wrapText="1"/>
    </xf>
    <xf numFmtId="9" fontId="6" fillId="9" borderId="31" xfId="0" applyNumberFormat="1" applyFont="1" applyFill="1" applyBorder="1"/>
    <xf numFmtId="0" fontId="6" fillId="0" borderId="32" xfId="0" applyFont="1" applyFill="1" applyBorder="1" applyAlignment="1">
      <alignment horizontal="justify" vertical="center" wrapText="1"/>
    </xf>
    <xf numFmtId="9" fontId="6" fillId="9" borderId="32" xfId="0" applyNumberFormat="1" applyFont="1" applyFill="1" applyBorder="1"/>
    <xf numFmtId="0" fontId="6" fillId="0" borderId="33" xfId="0" applyFont="1" applyFill="1" applyBorder="1" applyAlignment="1">
      <alignment horizontal="left" vertical="center" wrapText="1" indent="1"/>
    </xf>
    <xf numFmtId="167" fontId="5" fillId="8" borderId="33" xfId="1" applyNumberFormat="1" applyFont="1" applyFill="1" applyBorder="1"/>
    <xf numFmtId="0" fontId="5" fillId="0" borderId="18" xfId="0" applyFont="1" applyBorder="1" applyAlignment="1">
      <alignment horizontal="justify" vertical="center"/>
    </xf>
    <xf numFmtId="0" fontId="23" fillId="0" borderId="31" xfId="0" applyFont="1" applyBorder="1" applyAlignment="1">
      <alignment horizontal="left" indent="1"/>
    </xf>
    <xf numFmtId="0" fontId="23" fillId="0" borderId="35" xfId="0" applyFont="1" applyBorder="1" applyAlignment="1">
      <alignment horizontal="left" indent="1"/>
    </xf>
    <xf numFmtId="0" fontId="6" fillId="0" borderId="31" xfId="0" applyFont="1" applyBorder="1" applyAlignment="1">
      <alignment horizontal="left"/>
    </xf>
    <xf numFmtId="0" fontId="6" fillId="0" borderId="0" xfId="0" applyFont="1" applyBorder="1" applyAlignment="1">
      <alignment horizontal="left"/>
    </xf>
    <xf numFmtId="0" fontId="6" fillId="0" borderId="32" xfId="0" applyFont="1" applyBorder="1" applyAlignment="1">
      <alignment horizontal="left"/>
    </xf>
    <xf numFmtId="1" fontId="6" fillId="8" borderId="35" xfId="0" applyNumberFormat="1" applyFont="1" applyFill="1" applyBorder="1"/>
    <xf numFmtId="0" fontId="23" fillId="0" borderId="12" xfId="0" applyFont="1" applyBorder="1" applyAlignment="1">
      <alignment horizontal="left" indent="1"/>
    </xf>
    <xf numFmtId="9" fontId="6" fillId="9" borderId="31" xfId="0" applyNumberFormat="1" applyFont="1" applyFill="1" applyBorder="1" applyProtection="1">
      <protection locked="0"/>
    </xf>
    <xf numFmtId="0" fontId="6" fillId="9" borderId="36" xfId="0" applyFont="1" applyFill="1" applyBorder="1" applyAlignment="1">
      <alignment horizontal="right"/>
    </xf>
    <xf numFmtId="0" fontId="6" fillId="0" borderId="12" xfId="0" applyFont="1" applyBorder="1" applyAlignment="1">
      <alignment horizontal="left"/>
    </xf>
    <xf numFmtId="0" fontId="6" fillId="0" borderId="31" xfId="0" applyFont="1" applyBorder="1" applyAlignment="1">
      <alignment horizontal="left" indent="1"/>
    </xf>
    <xf numFmtId="0" fontId="23" fillId="0" borderId="0" xfId="0" applyFont="1" applyBorder="1" applyAlignment="1">
      <alignment horizontal="left" indent="2"/>
    </xf>
    <xf numFmtId="0" fontId="23" fillId="0" borderId="32" xfId="0" applyFont="1" applyBorder="1" applyAlignment="1">
      <alignment horizontal="left" indent="2"/>
    </xf>
    <xf numFmtId="0" fontId="23" fillId="0" borderId="12" xfId="0" applyFont="1" applyBorder="1" applyAlignment="1">
      <alignment horizontal="left" indent="2"/>
    </xf>
    <xf numFmtId="0" fontId="6" fillId="0" borderId="33" xfId="0" applyFont="1" applyBorder="1" applyAlignment="1">
      <alignment horizontal="left"/>
    </xf>
    <xf numFmtId="167" fontId="6" fillId="8" borderId="12" xfId="1" applyNumberFormat="1" applyFont="1" applyFill="1" applyBorder="1" applyAlignment="1">
      <alignment horizontal="right" indent="2"/>
    </xf>
    <xf numFmtId="167" fontId="6" fillId="8" borderId="32" xfId="1" applyNumberFormat="1" applyFont="1" applyFill="1" applyBorder="1" applyAlignment="1">
      <alignment horizontal="right" indent="2"/>
    </xf>
    <xf numFmtId="169" fontId="6" fillId="8" borderId="0" xfId="0" applyNumberFormat="1" applyFont="1" applyFill="1"/>
    <xf numFmtId="0" fontId="6" fillId="12" borderId="31" xfId="0" applyFont="1" applyFill="1" applyBorder="1"/>
    <xf numFmtId="169" fontId="6" fillId="8" borderId="32" xfId="0" applyNumberFormat="1" applyFont="1" applyFill="1" applyBorder="1"/>
    <xf numFmtId="0" fontId="6" fillId="12" borderId="31" xfId="0" applyFont="1" applyFill="1" applyBorder="1" applyAlignment="1">
      <alignment horizontal="left"/>
    </xf>
    <xf numFmtId="0" fontId="6" fillId="0" borderId="0" xfId="0" applyFont="1" applyBorder="1" applyAlignment="1">
      <alignment horizontal="justify" vertical="center"/>
    </xf>
    <xf numFmtId="166" fontId="22" fillId="0" borderId="0" xfId="1" applyFont="1"/>
    <xf numFmtId="0" fontId="6" fillId="9" borderId="36" xfId="0" applyFont="1" applyFill="1" applyBorder="1" applyAlignment="1" applyProtection="1">
      <alignment horizontal="right"/>
      <protection locked="0"/>
    </xf>
    <xf numFmtId="0" fontId="6" fillId="9" borderId="12" xfId="0" applyFont="1" applyFill="1" applyBorder="1" applyProtection="1">
      <protection locked="0"/>
    </xf>
    <xf numFmtId="9" fontId="6" fillId="9" borderId="0" xfId="0" applyNumberFormat="1" applyFont="1" applyFill="1" applyBorder="1"/>
    <xf numFmtId="9" fontId="6" fillId="9" borderId="0" xfId="0" applyNumberFormat="1" applyFont="1" applyFill="1" applyBorder="1" applyAlignment="1" applyProtection="1">
      <alignment horizontal="right" vertical="center" wrapText="1"/>
      <protection locked="0"/>
    </xf>
    <xf numFmtId="9" fontId="6" fillId="9" borderId="32" xfId="0" applyNumberFormat="1" applyFont="1" applyFill="1" applyBorder="1" applyProtection="1">
      <protection locked="0"/>
    </xf>
    <xf numFmtId="9" fontId="6" fillId="9" borderId="0" xfId="0" applyNumberFormat="1" applyFont="1" applyFill="1" applyBorder="1" applyProtection="1">
      <protection locked="0"/>
    </xf>
    <xf numFmtId="168" fontId="6" fillId="9" borderId="31" xfId="3" applyNumberFormat="1" applyFont="1" applyFill="1" applyBorder="1" applyProtection="1">
      <protection locked="0"/>
    </xf>
    <xf numFmtId="168" fontId="6" fillId="9" borderId="32" xfId="3" applyNumberFormat="1" applyFont="1" applyFill="1" applyBorder="1" applyProtection="1">
      <protection locked="0"/>
    </xf>
    <xf numFmtId="0" fontId="5" fillId="0" borderId="38" xfId="0" applyFont="1" applyBorder="1"/>
    <xf numFmtId="0" fontId="5" fillId="0" borderId="39" xfId="0" applyFont="1" applyBorder="1"/>
    <xf numFmtId="0" fontId="6" fillId="13" borderId="12" xfId="0" applyFont="1" applyFill="1" applyBorder="1"/>
    <xf numFmtId="0" fontId="21" fillId="0" borderId="34" xfId="4" applyFont="1" applyBorder="1"/>
    <xf numFmtId="0" fontId="21" fillId="0" borderId="33" xfId="4" applyFont="1" applyBorder="1"/>
    <xf numFmtId="0" fontId="21" fillId="0" borderId="32" xfId="4" applyFont="1" applyBorder="1"/>
    <xf numFmtId="0" fontId="6" fillId="0" borderId="33" xfId="0" applyFont="1" applyBorder="1" applyAlignment="1">
      <alignment horizontal="left" indent="1"/>
    </xf>
    <xf numFmtId="0" fontId="25" fillId="0" borderId="0" xfId="4" applyFont="1"/>
    <xf numFmtId="0" fontId="26" fillId="0" borderId="0" xfId="0" applyFont="1"/>
    <xf numFmtId="173" fontId="27" fillId="15" borderId="18" xfId="0" applyNumberFormat="1" applyFont="1" applyFill="1" applyBorder="1" applyAlignment="1">
      <alignment horizontal="right"/>
    </xf>
    <xf numFmtId="173" fontId="27" fillId="16" borderId="18" xfId="0" applyNumberFormat="1" applyFont="1" applyFill="1" applyBorder="1" applyAlignment="1">
      <alignment horizontal="right"/>
    </xf>
    <xf numFmtId="173" fontId="27" fillId="17" borderId="18" xfId="0" applyNumberFormat="1" applyFont="1" applyFill="1" applyBorder="1" applyAlignment="1">
      <alignment horizontal="right"/>
    </xf>
    <xf numFmtId="173" fontId="5" fillId="13" borderId="37" xfId="0" applyNumberFormat="1" applyFont="1" applyFill="1" applyBorder="1" applyAlignment="1">
      <alignment horizontal="right"/>
    </xf>
    <xf numFmtId="173" fontId="5" fillId="15" borderId="18" xfId="0" applyNumberFormat="1" applyFont="1" applyFill="1" applyBorder="1" applyAlignment="1">
      <alignment horizontal="right"/>
    </xf>
    <xf numFmtId="173" fontId="5" fillId="16" borderId="18" xfId="0" applyNumberFormat="1" applyFont="1" applyFill="1" applyBorder="1" applyAlignment="1">
      <alignment horizontal="right"/>
    </xf>
    <xf numFmtId="173" fontId="5" fillId="17" borderId="18" xfId="0" applyNumberFormat="1" applyFont="1" applyFill="1" applyBorder="1" applyAlignment="1">
      <alignment horizontal="right"/>
    </xf>
    <xf numFmtId="173" fontId="6" fillId="15" borderId="0" xfId="2" applyNumberFormat="1" applyFont="1" applyFill="1" applyAlignment="1">
      <alignment horizontal="right"/>
    </xf>
    <xf numFmtId="173" fontId="6" fillId="16" borderId="0" xfId="2" applyNumberFormat="1" applyFont="1" applyFill="1" applyAlignment="1">
      <alignment horizontal="right"/>
    </xf>
    <xf numFmtId="173" fontId="6" fillId="17" borderId="0" xfId="2" applyNumberFormat="1" applyFont="1" applyFill="1" applyAlignment="1">
      <alignment horizontal="right"/>
    </xf>
    <xf numFmtId="173" fontId="5" fillId="15" borderId="18" xfId="2" applyNumberFormat="1" applyFont="1" applyFill="1" applyBorder="1" applyAlignment="1">
      <alignment horizontal="right"/>
    </xf>
    <xf numFmtId="173" fontId="5" fillId="16" borderId="18" xfId="2" applyNumberFormat="1" applyFont="1" applyFill="1" applyBorder="1" applyAlignment="1">
      <alignment horizontal="right"/>
    </xf>
    <xf numFmtId="173" fontId="5" fillId="17" borderId="18" xfId="2" applyNumberFormat="1" applyFont="1" applyFill="1" applyBorder="1" applyAlignment="1">
      <alignment horizontal="right"/>
    </xf>
    <xf numFmtId="173" fontId="5" fillId="15" borderId="12" xfId="2" applyNumberFormat="1" applyFont="1" applyFill="1" applyBorder="1" applyAlignment="1">
      <alignment horizontal="right"/>
    </xf>
    <xf numFmtId="173" fontId="5" fillId="16" borderId="12" xfId="2" applyNumberFormat="1" applyFont="1" applyFill="1" applyBorder="1" applyAlignment="1">
      <alignment horizontal="right"/>
    </xf>
    <xf numFmtId="173" fontId="5" fillId="17" borderId="12" xfId="2" applyNumberFormat="1" applyFont="1" applyFill="1" applyBorder="1" applyAlignment="1">
      <alignment horizontal="right"/>
    </xf>
    <xf numFmtId="173" fontId="6" fillId="15" borderId="0" xfId="0" applyNumberFormat="1" applyFont="1" applyFill="1" applyAlignment="1">
      <alignment horizontal="right"/>
    </xf>
    <xf numFmtId="173" fontId="6" fillId="16" borderId="0" xfId="0" applyNumberFormat="1" applyFont="1" applyFill="1" applyAlignment="1">
      <alignment horizontal="right"/>
    </xf>
    <xf numFmtId="173" fontId="6" fillId="17" borderId="0" xfId="0" applyNumberFormat="1" applyFont="1" applyFill="1" applyAlignment="1">
      <alignment horizontal="right"/>
    </xf>
    <xf numFmtId="173" fontId="5" fillId="15" borderId="39" xfId="0" applyNumberFormat="1" applyFont="1" applyFill="1" applyBorder="1" applyAlignment="1">
      <alignment horizontal="right"/>
    </xf>
    <xf numFmtId="173" fontId="5" fillId="16" borderId="39" xfId="0" applyNumberFormat="1" applyFont="1" applyFill="1" applyBorder="1" applyAlignment="1">
      <alignment horizontal="right"/>
    </xf>
    <xf numFmtId="173" fontId="5" fillId="17" borderId="39" xfId="0" applyNumberFormat="1" applyFont="1" applyFill="1" applyBorder="1" applyAlignment="1">
      <alignment horizontal="right"/>
    </xf>
    <xf numFmtId="0" fontId="28" fillId="7" borderId="0" xfId="0" applyFont="1" applyFill="1"/>
    <xf numFmtId="173" fontId="3" fillId="0" borderId="0" xfId="0" applyNumberFormat="1" applyFont="1" applyAlignment="1">
      <alignment horizontal="left"/>
    </xf>
    <xf numFmtId="173" fontId="4" fillId="0" borderId="0" xfId="0" applyNumberFormat="1" applyFont="1" applyAlignment="1">
      <alignment horizontal="right"/>
    </xf>
    <xf numFmtId="173" fontId="6" fillId="0" borderId="0" xfId="0" applyNumberFormat="1" applyFont="1" applyAlignment="1">
      <alignment horizontal="right"/>
    </xf>
    <xf numFmtId="174" fontId="27" fillId="0" borderId="0" xfId="0" applyNumberFormat="1" applyFont="1" applyAlignment="1">
      <alignment horizontal="left"/>
    </xf>
    <xf numFmtId="174" fontId="27" fillId="15" borderId="18" xfId="0" applyNumberFormat="1" applyFont="1" applyFill="1" applyBorder="1" applyAlignment="1">
      <alignment horizontal="right"/>
    </xf>
    <xf numFmtId="174" fontId="27" fillId="16" borderId="18" xfId="0" applyNumberFormat="1" applyFont="1" applyFill="1" applyBorder="1" applyAlignment="1">
      <alignment horizontal="right"/>
    </xf>
    <xf numFmtId="174" fontId="27" fillId="17" borderId="18" xfId="0" applyNumberFormat="1" applyFont="1" applyFill="1" applyBorder="1" applyAlignment="1">
      <alignment horizontal="right"/>
    </xf>
    <xf numFmtId="174" fontId="27" fillId="13" borderId="6" xfId="0" applyNumberFormat="1" applyFont="1" applyFill="1" applyBorder="1" applyAlignment="1">
      <alignment horizontal="right"/>
    </xf>
    <xf numFmtId="0" fontId="6" fillId="15" borderId="34" xfId="0" applyFont="1" applyFill="1" applyBorder="1"/>
    <xf numFmtId="0" fontId="6" fillId="16" borderId="34" xfId="0" applyFont="1" applyFill="1" applyBorder="1"/>
    <xf numFmtId="0" fontId="6" fillId="17" borderId="34" xfId="0" applyFont="1" applyFill="1" applyBorder="1"/>
    <xf numFmtId="174" fontId="6" fillId="15" borderId="31" xfId="0" applyNumberFormat="1" applyFont="1" applyFill="1" applyBorder="1" applyAlignment="1">
      <alignment horizontal="right"/>
    </xf>
    <xf numFmtId="174" fontId="6" fillId="16" borderId="31" xfId="0" applyNumberFormat="1" applyFont="1" applyFill="1" applyBorder="1" applyAlignment="1">
      <alignment horizontal="right"/>
    </xf>
    <xf numFmtId="174" fontId="6" fillId="17" borderId="31" xfId="0" applyNumberFormat="1" applyFont="1" applyFill="1" applyBorder="1" applyAlignment="1">
      <alignment horizontal="right"/>
    </xf>
    <xf numFmtId="174" fontId="6" fillId="15" borderId="32" xfId="2" applyNumberFormat="1" applyFont="1" applyFill="1" applyBorder="1" applyAlignment="1">
      <alignment horizontal="right"/>
    </xf>
    <xf numFmtId="174" fontId="6" fillId="16" borderId="32" xfId="2" applyNumberFormat="1" applyFont="1" applyFill="1" applyBorder="1" applyAlignment="1">
      <alignment horizontal="right"/>
    </xf>
    <xf numFmtId="174" fontId="6" fillId="17" borderId="32" xfId="2" applyNumberFormat="1" applyFont="1" applyFill="1" applyBorder="1" applyAlignment="1">
      <alignment horizontal="right"/>
    </xf>
    <xf numFmtId="174" fontId="6" fillId="15" borderId="33" xfId="2" applyNumberFormat="1" applyFont="1" applyFill="1" applyBorder="1" applyAlignment="1">
      <alignment horizontal="right"/>
    </xf>
    <xf numFmtId="174" fontId="6" fillId="16" borderId="33" xfId="2" applyNumberFormat="1" applyFont="1" applyFill="1" applyBorder="1" applyAlignment="1">
      <alignment horizontal="right"/>
    </xf>
    <xf numFmtId="174" fontId="6" fillId="17" borderId="33" xfId="2" applyNumberFormat="1" applyFont="1" applyFill="1" applyBorder="1" applyAlignment="1">
      <alignment horizontal="right"/>
    </xf>
    <xf numFmtId="174" fontId="6" fillId="15" borderId="31" xfId="2" applyNumberFormat="1" applyFont="1" applyFill="1" applyBorder="1" applyAlignment="1">
      <alignment horizontal="right"/>
    </xf>
    <xf numFmtId="174" fontId="6" fillId="16" borderId="31" xfId="2" applyNumberFormat="1" applyFont="1" applyFill="1" applyBorder="1" applyAlignment="1">
      <alignment horizontal="right"/>
    </xf>
    <xf numFmtId="174" fontId="6" fillId="17" borderId="31" xfId="2" applyNumberFormat="1" applyFont="1" applyFill="1" applyBorder="1" applyAlignment="1">
      <alignment horizontal="right"/>
    </xf>
    <xf numFmtId="174" fontId="6" fillId="15" borderId="0" xfId="2" applyNumberFormat="1" applyFont="1" applyFill="1" applyBorder="1" applyAlignment="1">
      <alignment horizontal="right"/>
    </xf>
    <xf numFmtId="174" fontId="6" fillId="16" borderId="0" xfId="2" applyNumberFormat="1" applyFont="1" applyFill="1" applyBorder="1" applyAlignment="1">
      <alignment horizontal="right"/>
    </xf>
    <xf numFmtId="174" fontId="6" fillId="17" borderId="0" xfId="2" applyNumberFormat="1" applyFont="1" applyFill="1" applyBorder="1" applyAlignment="1">
      <alignment horizontal="right"/>
    </xf>
    <xf numFmtId="0" fontId="6" fillId="15" borderId="33" xfId="0" applyFont="1" applyFill="1" applyBorder="1"/>
    <xf numFmtId="0" fontId="6" fillId="16" borderId="33" xfId="0" applyFont="1" applyFill="1" applyBorder="1"/>
    <xf numFmtId="0" fontId="6" fillId="17" borderId="33" xfId="0" applyFont="1" applyFill="1" applyBorder="1"/>
    <xf numFmtId="174" fontId="6" fillId="15" borderId="0" xfId="0" applyNumberFormat="1" applyFont="1" applyFill="1" applyBorder="1" applyAlignment="1">
      <alignment horizontal="right"/>
    </xf>
    <xf numFmtId="174" fontId="6" fillId="16" borderId="0" xfId="0" applyNumberFormat="1" applyFont="1" applyFill="1" applyBorder="1" applyAlignment="1">
      <alignment horizontal="right"/>
    </xf>
    <xf numFmtId="174" fontId="6" fillId="17" borderId="0" xfId="0" applyNumberFormat="1" applyFont="1" applyFill="1" applyBorder="1" applyAlignment="1">
      <alignment horizontal="right"/>
    </xf>
    <xf numFmtId="174" fontId="29" fillId="13" borderId="31" xfId="2" applyNumberFormat="1" applyFont="1" applyFill="1" applyBorder="1" applyAlignment="1">
      <alignment horizontal="right"/>
    </xf>
    <xf numFmtId="174" fontId="6" fillId="15" borderId="32" xfId="0" applyNumberFormat="1" applyFont="1" applyFill="1" applyBorder="1" applyAlignment="1">
      <alignment horizontal="right"/>
    </xf>
    <xf numFmtId="174" fontId="6" fillId="16" borderId="32" xfId="0" applyNumberFormat="1" applyFont="1" applyFill="1" applyBorder="1" applyAlignment="1">
      <alignment horizontal="right"/>
    </xf>
    <xf numFmtId="174" fontId="6" fillId="17" borderId="32" xfId="0" applyNumberFormat="1" applyFont="1" applyFill="1" applyBorder="1" applyAlignment="1">
      <alignment horizontal="right"/>
    </xf>
    <xf numFmtId="174" fontId="6" fillId="13" borderId="31" xfId="0" applyNumberFormat="1" applyFont="1" applyFill="1" applyBorder="1" applyAlignment="1">
      <alignment horizontal="right"/>
    </xf>
    <xf numFmtId="174" fontId="6" fillId="15" borderId="33" xfId="0" applyNumberFormat="1" applyFont="1" applyFill="1" applyBorder="1" applyAlignment="1">
      <alignment horizontal="right"/>
    </xf>
    <xf numFmtId="174" fontId="6" fillId="16" borderId="33" xfId="0" applyNumberFormat="1" applyFont="1" applyFill="1" applyBorder="1" applyAlignment="1">
      <alignment horizontal="right"/>
    </xf>
    <xf numFmtId="174" fontId="6" fillId="17" borderId="33" xfId="0" applyNumberFormat="1" applyFont="1" applyFill="1" applyBorder="1" applyAlignment="1">
      <alignment horizontal="right"/>
    </xf>
    <xf numFmtId="0" fontId="30" fillId="0" borderId="18" xfId="0" applyFont="1" applyBorder="1"/>
    <xf numFmtId="0" fontId="30" fillId="15" borderId="18" xfId="0" applyFont="1" applyFill="1" applyBorder="1" applyAlignment="1">
      <alignment horizontal="right"/>
    </xf>
    <xf numFmtId="0" fontId="30" fillId="16" borderId="18" xfId="0" applyFont="1" applyFill="1" applyBorder="1" applyAlignment="1">
      <alignment horizontal="right"/>
    </xf>
    <xf numFmtId="0" fontId="30" fillId="17" borderId="18" xfId="0" applyFont="1" applyFill="1" applyBorder="1" applyAlignment="1">
      <alignment horizontal="right"/>
    </xf>
    <xf numFmtId="173" fontId="6" fillId="8" borderId="0" xfId="2" applyNumberFormat="1" applyFont="1" applyFill="1" applyBorder="1"/>
    <xf numFmtId="173" fontId="6" fillId="8" borderId="31" xfId="2" applyNumberFormat="1" applyFont="1" applyFill="1" applyBorder="1"/>
    <xf numFmtId="173" fontId="6" fillId="8" borderId="32" xfId="2" applyNumberFormat="1" applyFont="1" applyFill="1" applyBorder="1"/>
    <xf numFmtId="173" fontId="6" fillId="0" borderId="18" xfId="0" applyNumberFormat="1" applyFont="1" applyBorder="1"/>
    <xf numFmtId="173" fontId="6" fillId="8" borderId="12" xfId="2" applyNumberFormat="1" applyFont="1" applyFill="1" applyBorder="1"/>
    <xf numFmtId="173" fontId="6" fillId="9" borderId="0" xfId="2" applyNumberFormat="1" applyFont="1" applyFill="1"/>
    <xf numFmtId="173" fontId="6" fillId="9" borderId="0" xfId="2" applyNumberFormat="1" applyFont="1" applyFill="1" applyProtection="1">
      <protection locked="0"/>
    </xf>
    <xf numFmtId="173" fontId="6" fillId="9" borderId="31" xfId="2" applyNumberFormat="1" applyFont="1" applyFill="1" applyBorder="1"/>
    <xf numFmtId="173" fontId="6" fillId="9" borderId="31" xfId="2" applyNumberFormat="1" applyFont="1" applyFill="1" applyBorder="1" applyProtection="1">
      <protection locked="0"/>
    </xf>
    <xf numFmtId="173" fontId="6" fillId="9" borderId="12" xfId="2" applyNumberFormat="1" applyFont="1" applyFill="1" applyBorder="1"/>
    <xf numFmtId="173" fontId="6" fillId="9" borderId="12" xfId="2" applyNumberFormat="1" applyFont="1" applyFill="1" applyBorder="1" applyProtection="1">
      <protection locked="0"/>
    </xf>
    <xf numFmtId="0" fontId="27" fillId="0" borderId="18" xfId="0" applyFont="1" applyBorder="1"/>
    <xf numFmtId="0" fontId="27" fillId="15" borderId="18" xfId="0" applyFont="1" applyFill="1" applyBorder="1" applyAlignment="1">
      <alignment horizontal="right"/>
    </xf>
    <xf numFmtId="0" fontId="27" fillId="16" borderId="18" xfId="0" applyFont="1" applyFill="1" applyBorder="1" applyAlignment="1">
      <alignment horizontal="right"/>
    </xf>
    <xf numFmtId="0" fontId="27" fillId="17" borderId="18" xfId="0" applyFont="1" applyFill="1" applyBorder="1" applyAlignment="1">
      <alignment horizontal="right"/>
    </xf>
    <xf numFmtId="173" fontId="6" fillId="9" borderId="0" xfId="2" applyNumberFormat="1" applyFont="1" applyFill="1" applyBorder="1" applyProtection="1">
      <protection locked="0"/>
    </xf>
    <xf numFmtId="173" fontId="6" fillId="8" borderId="0" xfId="0" applyNumberFormat="1" applyFont="1" applyFill="1"/>
    <xf numFmtId="173" fontId="6" fillId="0" borderId="18" xfId="2" applyNumberFormat="1" applyFont="1" applyBorder="1"/>
    <xf numFmtId="173" fontId="6" fillId="8" borderId="12" xfId="0" applyNumberFormat="1" applyFont="1" applyFill="1" applyBorder="1"/>
    <xf numFmtId="175" fontId="6" fillId="8" borderId="0" xfId="0" applyNumberFormat="1" applyFont="1" applyFill="1"/>
    <xf numFmtId="175" fontId="6" fillId="8" borderId="0" xfId="2" applyNumberFormat="1" applyFont="1" applyFill="1"/>
    <xf numFmtId="175" fontId="6" fillId="8" borderId="35" xfId="0" applyNumberFormat="1" applyFont="1" applyFill="1" applyBorder="1"/>
    <xf numFmtId="173" fontId="6" fillId="8" borderId="18" xfId="0" applyNumberFormat="1" applyFont="1" applyFill="1" applyBorder="1"/>
    <xf numFmtId="9" fontId="6" fillId="9" borderId="12" xfId="3" applyFont="1" applyFill="1" applyBorder="1" applyProtection="1">
      <protection locked="0"/>
    </xf>
    <xf numFmtId="175" fontId="6" fillId="9" borderId="32" xfId="2" applyNumberFormat="1" applyFont="1" applyFill="1" applyBorder="1" applyProtection="1">
      <protection locked="0"/>
    </xf>
    <xf numFmtId="2" fontId="6" fillId="9" borderId="0" xfId="0" applyNumberFormat="1" applyFont="1" applyFill="1" applyBorder="1" applyProtection="1">
      <protection locked="0"/>
    </xf>
    <xf numFmtId="175" fontId="6" fillId="9" borderId="0" xfId="2" applyNumberFormat="1" applyFont="1" applyFill="1" applyProtection="1">
      <protection locked="0"/>
    </xf>
    <xf numFmtId="175" fontId="6" fillId="9" borderId="31" xfId="2" applyNumberFormat="1" applyFont="1" applyFill="1" applyBorder="1" applyProtection="1">
      <protection locked="0"/>
    </xf>
    <xf numFmtId="175" fontId="6" fillId="9" borderId="12" xfId="2" applyNumberFormat="1" applyFont="1" applyFill="1" applyBorder="1" applyProtection="1">
      <protection locked="0"/>
    </xf>
    <xf numFmtId="173" fontId="6" fillId="9" borderId="0" xfId="2" applyNumberFormat="1" applyFont="1" applyFill="1" applyBorder="1"/>
    <xf numFmtId="173" fontId="6" fillId="9" borderId="33" xfId="2" applyNumberFormat="1" applyFont="1" applyFill="1" applyBorder="1" applyProtection="1">
      <protection locked="0"/>
    </xf>
    <xf numFmtId="173" fontId="6" fillId="9" borderId="6" xfId="2" applyNumberFormat="1" applyFont="1" applyFill="1" applyBorder="1"/>
    <xf numFmtId="173" fontId="6" fillId="9" borderId="6" xfId="2" applyNumberFormat="1" applyFont="1" applyFill="1" applyBorder="1" applyProtection="1">
      <protection locked="0"/>
    </xf>
    <xf numFmtId="173" fontId="6" fillId="9" borderId="32" xfId="2" applyNumberFormat="1" applyFont="1" applyFill="1" applyBorder="1"/>
    <xf numFmtId="173" fontId="6" fillId="9" borderId="32" xfId="2" applyNumberFormat="1" applyFont="1" applyFill="1" applyBorder="1" applyProtection="1">
      <protection locked="0"/>
    </xf>
    <xf numFmtId="173" fontId="6" fillId="0" borderId="0" xfId="2" applyNumberFormat="1" applyFont="1"/>
    <xf numFmtId="0" fontId="6" fillId="0" borderId="0" xfId="0" applyFont="1" applyAlignment="1">
      <alignment horizontal="left" indent="4"/>
    </xf>
    <xf numFmtId="173" fontId="6" fillId="9" borderId="32" xfId="2" applyNumberFormat="1" applyFont="1" applyFill="1" applyBorder="1" applyAlignment="1">
      <alignment horizontal="right"/>
    </xf>
    <xf numFmtId="173" fontId="6" fillId="9" borderId="32" xfId="2" applyNumberFormat="1" applyFont="1" applyFill="1" applyBorder="1" applyAlignment="1" applyProtection="1">
      <alignment horizontal="right"/>
      <protection locked="0"/>
    </xf>
    <xf numFmtId="173" fontId="19" fillId="0" borderId="18" xfId="0" applyNumberFormat="1" applyFont="1" applyBorder="1"/>
    <xf numFmtId="0" fontId="31" fillId="18" borderId="0" xfId="0" applyFont="1" applyFill="1" applyBorder="1" applyAlignment="1">
      <alignment horizontal="center"/>
    </xf>
    <xf numFmtId="0" fontId="0" fillId="18" borderId="0" xfId="0" applyFill="1" applyBorder="1"/>
    <xf numFmtId="0" fontId="36" fillId="0" borderId="0" xfId="4" quotePrefix="1" applyFont="1"/>
    <xf numFmtId="0" fontId="5" fillId="19" borderId="0" xfId="0" applyFont="1" applyFill="1"/>
    <xf numFmtId="0" fontId="0" fillId="19" borderId="0" xfId="0" applyFill="1"/>
    <xf numFmtId="0" fontId="6" fillId="19" borderId="0" xfId="0" applyFont="1" applyFill="1"/>
    <xf numFmtId="0" fontId="3" fillId="19" borderId="0" xfId="0" applyFont="1" applyFill="1"/>
    <xf numFmtId="0" fontId="5" fillId="0" borderId="34" xfId="0" applyFont="1" applyBorder="1"/>
    <xf numFmtId="0" fontId="5" fillId="0" borderId="34" xfId="0" applyFont="1" applyBorder="1" applyAlignment="1">
      <alignment horizontal="justify" vertical="center"/>
    </xf>
    <xf numFmtId="0" fontId="6" fillId="0" borderId="0" xfId="0" applyFont="1" applyFill="1"/>
    <xf numFmtId="0" fontId="0" fillId="0" borderId="0" xfId="0" applyFill="1"/>
    <xf numFmtId="0" fontId="19" fillId="19" borderId="12" xfId="0" applyFont="1" applyFill="1" applyBorder="1"/>
    <xf numFmtId="0" fontId="6" fillId="0" borderId="6" xfId="0" applyFont="1" applyFill="1" applyBorder="1" applyAlignment="1">
      <alignment horizontal="left" indent="4"/>
    </xf>
    <xf numFmtId="167" fontId="16" fillId="0" borderId="6" xfId="1" applyNumberFormat="1" applyFont="1" applyFill="1" applyBorder="1"/>
    <xf numFmtId="0" fontId="6" fillId="19" borderId="12" xfId="0" applyFont="1" applyFill="1" applyBorder="1" applyAlignment="1">
      <alignment horizontal="left" indent="1"/>
    </xf>
    <xf numFmtId="0" fontId="0" fillId="19" borderId="12" xfId="0" applyFill="1" applyBorder="1"/>
    <xf numFmtId="0" fontId="6" fillId="0" borderId="0" xfId="0" applyFont="1" applyBorder="1" applyAlignment="1">
      <alignment horizontal="left" indent="4"/>
    </xf>
    <xf numFmtId="0" fontId="23" fillId="0" borderId="0" xfId="0" applyFont="1" applyAlignment="1">
      <alignment horizontal="left" indent="3"/>
    </xf>
    <xf numFmtId="0" fontId="23" fillId="0" borderId="0" xfId="0" applyFont="1" applyBorder="1" applyAlignment="1">
      <alignment horizontal="left" indent="3"/>
    </xf>
    <xf numFmtId="1" fontId="6" fillId="9" borderId="33" xfId="2" applyNumberFormat="1" applyFont="1" applyFill="1" applyBorder="1"/>
    <xf numFmtId="1" fontId="6" fillId="9" borderId="33" xfId="2" applyNumberFormat="1" applyFont="1" applyFill="1" applyBorder="1" applyProtection="1">
      <protection locked="0"/>
    </xf>
    <xf numFmtId="0" fontId="6" fillId="19" borderId="12" xfId="0" applyFont="1" applyFill="1" applyBorder="1"/>
    <xf numFmtId="0" fontId="6" fillId="10" borderId="32" xfId="0" applyFont="1" applyFill="1" applyBorder="1"/>
    <xf numFmtId="0" fontId="6" fillId="10" borderId="32" xfId="0" applyFont="1" applyFill="1" applyBorder="1" applyProtection="1">
      <protection locked="0"/>
    </xf>
    <xf numFmtId="165" fontId="6" fillId="0" borderId="34" xfId="2" applyFont="1" applyBorder="1"/>
    <xf numFmtId="173" fontId="6" fillId="8" borderId="0" xfId="2" applyNumberFormat="1" applyFont="1" applyFill="1" applyBorder="1" applyProtection="1"/>
    <xf numFmtId="176" fontId="6" fillId="8" borderId="34" xfId="0" applyNumberFormat="1" applyFont="1" applyFill="1" applyBorder="1"/>
    <xf numFmtId="171" fontId="6" fillId="8" borderId="0" xfId="2" applyNumberFormat="1" applyFont="1" applyFill="1" applyBorder="1" applyProtection="1"/>
    <xf numFmtId="176" fontId="6" fillId="8" borderId="34" xfId="0" applyNumberFormat="1" applyFont="1" applyFill="1" applyBorder="1" applyProtection="1"/>
    <xf numFmtId="164" fontId="6" fillId="8" borderId="31" xfId="2" applyNumberFormat="1" applyFont="1" applyFill="1" applyBorder="1"/>
    <xf numFmtId="0" fontId="16" fillId="8" borderId="33" xfId="0" applyFont="1" applyFill="1" applyBorder="1" applyProtection="1"/>
    <xf numFmtId="176" fontId="16" fillId="8" borderId="33" xfId="0" applyNumberFormat="1" applyFont="1" applyFill="1" applyBorder="1" applyProtection="1"/>
    <xf numFmtId="0" fontId="6" fillId="9" borderId="0" xfId="0" applyFont="1" applyFill="1" applyBorder="1" applyProtection="1"/>
    <xf numFmtId="0" fontId="6" fillId="7" borderId="0" xfId="0" applyFont="1" applyFill="1"/>
    <xf numFmtId="177" fontId="6" fillId="15" borderId="32" xfId="0" applyNumberFormat="1" applyFont="1" applyFill="1" applyBorder="1" applyAlignment="1">
      <alignment horizontal="right"/>
    </xf>
    <xf numFmtId="177" fontId="6" fillId="16" borderId="32" xfId="0" applyNumberFormat="1" applyFont="1" applyFill="1" applyBorder="1" applyAlignment="1">
      <alignment horizontal="right"/>
    </xf>
    <xf numFmtId="177" fontId="6" fillId="17" borderId="32" xfId="0" applyNumberFormat="1" applyFont="1" applyFill="1" applyBorder="1" applyAlignment="1">
      <alignment horizontal="right"/>
    </xf>
    <xf numFmtId="0" fontId="4" fillId="0" borderId="0" xfId="0" applyFont="1" applyAlignment="1">
      <alignment wrapText="1"/>
    </xf>
    <xf numFmtId="0" fontId="4" fillId="0" borderId="0" xfId="0" quotePrefix="1" applyFont="1" applyAlignment="1">
      <alignment vertical="top" wrapText="1"/>
    </xf>
    <xf numFmtId="0" fontId="4" fillId="0" borderId="0" xfId="0" applyFont="1" applyAlignment="1">
      <alignment vertical="top"/>
    </xf>
    <xf numFmtId="0" fontId="4" fillId="9" borderId="0" xfId="0" applyFont="1" applyFill="1"/>
    <xf numFmtId="0" fontId="4" fillId="8" borderId="0" xfId="0" applyFont="1" applyFill="1"/>
    <xf numFmtId="0" fontId="6" fillId="0" borderId="0" xfId="0" applyFont="1" applyAlignment="1">
      <alignment vertical="top"/>
    </xf>
    <xf numFmtId="0" fontId="6" fillId="0" borderId="0" xfId="0" applyFont="1" applyAlignment="1">
      <alignment vertical="top" wrapText="1"/>
    </xf>
    <xf numFmtId="49" fontId="6" fillId="0" borderId="0" xfId="0" applyNumberFormat="1" applyFont="1" applyAlignment="1">
      <alignment vertical="top"/>
    </xf>
    <xf numFmtId="49" fontId="6" fillId="0" borderId="0" xfId="0" applyNumberFormat="1" applyFont="1" applyAlignment="1">
      <alignment vertical="top" wrapText="1"/>
    </xf>
    <xf numFmtId="0" fontId="37" fillId="0" borderId="0" xfId="0" applyFont="1" applyAlignment="1">
      <alignment horizontal="left" vertical="top" wrapText="1"/>
    </xf>
    <xf numFmtId="49" fontId="37" fillId="0" borderId="0" xfId="0" applyNumberFormat="1" applyFont="1" applyAlignment="1">
      <alignment vertical="top" wrapText="1"/>
    </xf>
    <xf numFmtId="0" fontId="6" fillId="20" borderId="0" xfId="0" applyFont="1" applyFill="1"/>
    <xf numFmtId="49" fontId="37" fillId="9" borderId="0" xfId="0" applyNumberFormat="1" applyFont="1" applyFill="1" applyAlignment="1">
      <alignment vertical="top" wrapText="1"/>
    </xf>
    <xf numFmtId="0" fontId="38" fillId="0" borderId="0" xfId="0" applyFont="1" applyFill="1"/>
    <xf numFmtId="0" fontId="20" fillId="0" borderId="0" xfId="4"/>
    <xf numFmtId="0" fontId="20" fillId="21" borderId="0" xfId="4" applyFill="1" applyAlignment="1">
      <alignment horizontal="center" vertical="top"/>
    </xf>
    <xf numFmtId="0" fontId="39" fillId="0" borderId="0" xfId="0" applyFont="1"/>
    <xf numFmtId="0" fontId="39" fillId="20" borderId="0" xfId="0" applyFont="1" applyFill="1"/>
    <xf numFmtId="0" fontId="39" fillId="0" borderId="0" xfId="0" applyFont="1" applyFill="1"/>
    <xf numFmtId="0" fontId="39" fillId="0" borderId="0" xfId="0" applyFont="1" applyAlignment="1">
      <alignment vertical="top"/>
    </xf>
    <xf numFmtId="49" fontId="39" fillId="0" borderId="0" xfId="0" applyNumberFormat="1" applyFont="1" applyAlignment="1">
      <alignment vertical="top"/>
    </xf>
    <xf numFmtId="49" fontId="40" fillId="0" borderId="0" xfId="0" applyNumberFormat="1" applyFont="1" applyAlignment="1">
      <alignment vertical="top" wrapText="1"/>
    </xf>
    <xf numFmtId="0" fontId="37" fillId="0" borderId="0" xfId="0" applyFont="1" applyFill="1" applyAlignment="1">
      <alignment horizontal="left" vertical="top" wrapText="1"/>
    </xf>
    <xf numFmtId="0" fontId="20" fillId="7" borderId="0" xfId="4" applyFill="1" applyAlignment="1">
      <alignment vertical="top"/>
    </xf>
    <xf numFmtId="0" fontId="20" fillId="0" borderId="0" xfId="4" applyAlignment="1">
      <alignment vertical="top"/>
    </xf>
    <xf numFmtId="0" fontId="41" fillId="0" borderId="0" xfId="4" applyFont="1"/>
    <xf numFmtId="0" fontId="42" fillId="7" borderId="0" xfId="0" applyFont="1" applyFill="1"/>
    <xf numFmtId="173" fontId="42" fillId="15" borderId="18" xfId="0" applyNumberFormat="1" applyFont="1" applyFill="1" applyBorder="1" applyAlignment="1">
      <alignment horizontal="right"/>
    </xf>
    <xf numFmtId="173" fontId="42" fillId="13" borderId="37" xfId="0" applyNumberFormat="1" applyFont="1" applyFill="1" applyBorder="1" applyAlignment="1">
      <alignment horizontal="right"/>
    </xf>
    <xf numFmtId="173" fontId="43" fillId="15" borderId="0" xfId="2" applyNumberFormat="1" applyFont="1" applyFill="1" applyAlignment="1">
      <alignment horizontal="right"/>
    </xf>
    <xf numFmtId="173" fontId="42" fillId="15" borderId="18" xfId="2" applyNumberFormat="1" applyFont="1" applyFill="1" applyBorder="1" applyAlignment="1">
      <alignment horizontal="right"/>
    </xf>
    <xf numFmtId="173" fontId="42" fillId="15" borderId="12" xfId="2" applyNumberFormat="1" applyFont="1" applyFill="1" applyBorder="1" applyAlignment="1">
      <alignment horizontal="right"/>
    </xf>
    <xf numFmtId="173" fontId="43" fillId="15" borderId="0" xfId="0" applyNumberFormat="1" applyFont="1" applyFill="1" applyAlignment="1">
      <alignment horizontal="right"/>
    </xf>
    <xf numFmtId="173" fontId="42" fillId="15" borderId="0" xfId="0" applyNumberFormat="1" applyFont="1" applyFill="1" applyBorder="1" applyAlignment="1">
      <alignment horizontal="right"/>
    </xf>
    <xf numFmtId="173" fontId="42" fillId="15" borderId="39" xfId="0" applyNumberFormat="1" applyFont="1" applyFill="1" applyBorder="1" applyAlignment="1">
      <alignment horizontal="right"/>
    </xf>
    <xf numFmtId="173" fontId="43" fillId="15" borderId="0" xfId="0" applyNumberFormat="1" applyFont="1" applyFill="1" applyBorder="1" applyAlignment="1">
      <alignment horizontal="right"/>
    </xf>
    <xf numFmtId="0" fontId="44" fillId="0" borderId="0" xfId="0" applyFont="1"/>
    <xf numFmtId="0" fontId="44" fillId="7" borderId="0" xfId="0" applyFont="1" applyFill="1"/>
    <xf numFmtId="173" fontId="42" fillId="17" borderId="18" xfId="0" applyNumberFormat="1" applyFont="1" applyFill="1" applyBorder="1" applyAlignment="1">
      <alignment horizontal="right"/>
    </xf>
    <xf numFmtId="173" fontId="43" fillId="17" borderId="0" xfId="2" applyNumberFormat="1" applyFont="1" applyFill="1" applyAlignment="1">
      <alignment horizontal="right"/>
    </xf>
    <xf numFmtId="173" fontId="42" fillId="17" borderId="18" xfId="2" applyNumberFormat="1" applyFont="1" applyFill="1" applyBorder="1" applyAlignment="1">
      <alignment horizontal="right"/>
    </xf>
    <xf numFmtId="173" fontId="42" fillId="17" borderId="12" xfId="2" applyNumberFormat="1" applyFont="1" applyFill="1" applyBorder="1" applyAlignment="1">
      <alignment horizontal="right"/>
    </xf>
    <xf numFmtId="173" fontId="43" fillId="17" borderId="0" xfId="0" applyNumberFormat="1" applyFont="1" applyFill="1" applyAlignment="1">
      <alignment horizontal="right"/>
    </xf>
    <xf numFmtId="173" fontId="42" fillId="17" borderId="0" xfId="0" applyNumberFormat="1" applyFont="1" applyFill="1" applyBorder="1" applyAlignment="1">
      <alignment horizontal="right"/>
    </xf>
    <xf numFmtId="173" fontId="42" fillId="17" borderId="39" xfId="0" applyNumberFormat="1" applyFont="1" applyFill="1" applyBorder="1" applyAlignment="1">
      <alignment horizontal="right"/>
    </xf>
    <xf numFmtId="173" fontId="43" fillId="17" borderId="0" xfId="0" applyNumberFormat="1" applyFont="1" applyFill="1" applyBorder="1" applyAlignment="1">
      <alignment horizontal="right"/>
    </xf>
    <xf numFmtId="173" fontId="42" fillId="16" borderId="18" xfId="0" applyNumberFormat="1" applyFont="1" applyFill="1" applyBorder="1" applyAlignment="1">
      <alignment horizontal="right"/>
    </xf>
    <xf numFmtId="173" fontId="43" fillId="16" borderId="0" xfId="2" applyNumberFormat="1" applyFont="1" applyFill="1" applyAlignment="1">
      <alignment horizontal="right"/>
    </xf>
    <xf numFmtId="173" fontId="42" fillId="16" borderId="18" xfId="2" applyNumberFormat="1" applyFont="1" applyFill="1" applyBorder="1" applyAlignment="1">
      <alignment horizontal="right"/>
    </xf>
    <xf numFmtId="173" fontId="42" fillId="16" borderId="12" xfId="2" applyNumberFormat="1" applyFont="1" applyFill="1" applyBorder="1" applyAlignment="1">
      <alignment horizontal="right"/>
    </xf>
    <xf numFmtId="173" fontId="43" fillId="16" borderId="0" xfId="0" applyNumberFormat="1" applyFont="1" applyFill="1" applyAlignment="1">
      <alignment horizontal="right"/>
    </xf>
    <xf numFmtId="173" fontId="42" fillId="16" borderId="0" xfId="0" applyNumberFormat="1" applyFont="1" applyFill="1" applyBorder="1" applyAlignment="1">
      <alignment horizontal="right"/>
    </xf>
    <xf numFmtId="173" fontId="42" fillId="16" borderId="39" xfId="0" applyNumberFormat="1" applyFont="1" applyFill="1" applyBorder="1" applyAlignment="1">
      <alignment horizontal="right"/>
    </xf>
    <xf numFmtId="173" fontId="43" fillId="16" borderId="0" xfId="0" applyNumberFormat="1" applyFont="1" applyFill="1" applyBorder="1" applyAlignment="1">
      <alignment horizontal="right"/>
    </xf>
    <xf numFmtId="0" fontId="43" fillId="0" borderId="0" xfId="0" applyFont="1"/>
    <xf numFmtId="0" fontId="43" fillId="7" borderId="0" xfId="0" applyFont="1" applyFill="1"/>
    <xf numFmtId="173" fontId="42" fillId="10" borderId="18" xfId="0" applyNumberFormat="1" applyFont="1" applyFill="1" applyBorder="1" applyAlignment="1">
      <alignment horizontal="right"/>
    </xf>
    <xf numFmtId="173" fontId="43" fillId="10" borderId="0" xfId="2" applyNumberFormat="1" applyFont="1" applyFill="1" applyAlignment="1">
      <alignment horizontal="right"/>
    </xf>
    <xf numFmtId="173" fontId="42" fillId="10" borderId="18" xfId="2" applyNumberFormat="1" applyFont="1" applyFill="1" applyBorder="1" applyAlignment="1">
      <alignment horizontal="right"/>
    </xf>
    <xf numFmtId="173" fontId="42" fillId="10" borderId="12" xfId="2" applyNumberFormat="1" applyFont="1" applyFill="1" applyBorder="1" applyAlignment="1">
      <alignment horizontal="right"/>
    </xf>
    <xf numFmtId="173" fontId="43" fillId="10" borderId="0" xfId="0" applyNumberFormat="1" applyFont="1" applyFill="1" applyAlignment="1">
      <alignment horizontal="right"/>
    </xf>
    <xf numFmtId="173" fontId="42" fillId="17" borderId="37" xfId="0" applyNumberFormat="1" applyFont="1" applyFill="1" applyBorder="1" applyAlignment="1">
      <alignment horizontal="right"/>
    </xf>
    <xf numFmtId="166" fontId="0" fillId="11" borderId="0" xfId="1" applyNumberFormat="1" applyFont="1" applyFill="1"/>
    <xf numFmtId="166" fontId="0" fillId="0" borderId="0" xfId="1" applyNumberFormat="1" applyFont="1"/>
    <xf numFmtId="173" fontId="6" fillId="8" borderId="31" xfId="2" applyNumberFormat="1" applyFont="1" applyFill="1" applyBorder="1" applyProtection="1"/>
    <xf numFmtId="173" fontId="6" fillId="8" borderId="32" xfId="2" applyNumberFormat="1" applyFont="1" applyFill="1" applyBorder="1" applyProtection="1"/>
    <xf numFmtId="173" fontId="6" fillId="8" borderId="12" xfId="2" applyNumberFormat="1" applyFont="1" applyFill="1" applyBorder="1" applyProtection="1"/>
    <xf numFmtId="173" fontId="6" fillId="0" borderId="18" xfId="0" applyNumberFormat="1" applyFont="1" applyBorder="1" applyProtection="1"/>
    <xf numFmtId="0" fontId="19" fillId="0" borderId="0" xfId="0" applyFont="1" applyProtection="1"/>
    <xf numFmtId="167" fontId="6" fillId="8" borderId="0" xfId="1" applyNumberFormat="1" applyFont="1" applyFill="1" applyProtection="1"/>
    <xf numFmtId="167" fontId="6" fillId="8" borderId="12" xfId="1" applyNumberFormat="1" applyFont="1" applyFill="1" applyBorder="1" applyProtection="1"/>
    <xf numFmtId="0" fontId="19" fillId="19" borderId="12" xfId="0" applyFont="1" applyFill="1" applyBorder="1" applyProtection="1"/>
    <xf numFmtId="0" fontId="6" fillId="0" borderId="18" xfId="0" applyFont="1" applyBorder="1" applyProtection="1"/>
    <xf numFmtId="0" fontId="6" fillId="9" borderId="36" xfId="0" applyFont="1" applyFill="1" applyBorder="1" applyAlignment="1" applyProtection="1">
      <alignment horizontal="right"/>
    </xf>
    <xf numFmtId="0" fontId="6" fillId="9" borderId="0" xfId="0" applyFont="1" applyFill="1" applyProtection="1"/>
    <xf numFmtId="9" fontId="6" fillId="9" borderId="0" xfId="3" applyFont="1" applyFill="1" applyProtection="1"/>
    <xf numFmtId="0" fontId="6" fillId="9" borderId="32" xfId="0" applyFont="1" applyFill="1" applyBorder="1" applyProtection="1"/>
    <xf numFmtId="0" fontId="6" fillId="9" borderId="31" xfId="0" applyFont="1" applyFill="1" applyBorder="1" applyProtection="1"/>
    <xf numFmtId="0" fontId="6" fillId="9" borderId="12" xfId="0" applyFont="1" applyFill="1" applyBorder="1" applyProtection="1"/>
    <xf numFmtId="0" fontId="6" fillId="0" borderId="34" xfId="0" applyFont="1" applyBorder="1" applyProtection="1"/>
    <xf numFmtId="173" fontId="6" fillId="9" borderId="0" xfId="2" applyNumberFormat="1" applyFont="1" applyFill="1" applyProtection="1"/>
    <xf numFmtId="9" fontId="6" fillId="9" borderId="0" xfId="0" applyNumberFormat="1" applyFont="1" applyFill="1" applyProtection="1"/>
    <xf numFmtId="167" fontId="6" fillId="8" borderId="35" xfId="0" applyNumberFormat="1" applyFont="1" applyFill="1" applyBorder="1" applyProtection="1"/>
    <xf numFmtId="0" fontId="24" fillId="0" borderId="34" xfId="0" applyFont="1" applyBorder="1" applyProtection="1"/>
    <xf numFmtId="9" fontId="6" fillId="9" borderId="0" xfId="3" applyFont="1" applyFill="1" applyBorder="1" applyProtection="1"/>
    <xf numFmtId="9" fontId="6" fillId="9" borderId="32" xfId="3" applyFont="1" applyFill="1" applyBorder="1" applyProtection="1"/>
    <xf numFmtId="0" fontId="19" fillId="0" borderId="31" xfId="0" applyFont="1" applyBorder="1" applyProtection="1"/>
    <xf numFmtId="0" fontId="6" fillId="0" borderId="31" xfId="0" applyFont="1" applyBorder="1" applyProtection="1"/>
    <xf numFmtId="171" fontId="0" fillId="0" borderId="0" xfId="0" applyNumberFormat="1" applyProtection="1"/>
    <xf numFmtId="167" fontId="6" fillId="8" borderId="0" xfId="1" applyNumberFormat="1" applyFont="1" applyFill="1" applyBorder="1" applyProtection="1"/>
    <xf numFmtId="0" fontId="6" fillId="0" borderId="0" xfId="0" applyFont="1" applyProtection="1"/>
    <xf numFmtId="167" fontId="6" fillId="8" borderId="0" xfId="0" applyNumberFormat="1" applyFont="1" applyFill="1" applyProtection="1"/>
    <xf numFmtId="166" fontId="6" fillId="8" borderId="12" xfId="0" applyNumberFormat="1" applyFont="1" applyFill="1" applyBorder="1" applyProtection="1"/>
    <xf numFmtId="0" fontId="6" fillId="19" borderId="0" xfId="0" applyFont="1" applyFill="1" applyProtection="1"/>
    <xf numFmtId="167" fontId="6" fillId="8" borderId="0" xfId="0" applyNumberFormat="1" applyFont="1" applyFill="1" applyBorder="1" applyProtection="1"/>
    <xf numFmtId="167" fontId="6" fillId="8" borderId="32" xfId="0" applyNumberFormat="1" applyFont="1" applyFill="1" applyBorder="1" applyProtection="1"/>
    <xf numFmtId="173" fontId="6" fillId="9" borderId="33" xfId="2" applyNumberFormat="1" applyFont="1" applyFill="1" applyBorder="1" applyProtection="1"/>
    <xf numFmtId="0" fontId="4" fillId="3" borderId="0" xfId="0" applyFont="1" applyFill="1"/>
    <xf numFmtId="166" fontId="4" fillId="3" borderId="0" xfId="1" applyFont="1" applyFill="1"/>
    <xf numFmtId="165" fontId="4" fillId="3" borderId="0" xfId="2" applyFont="1" applyFill="1"/>
    <xf numFmtId="167" fontId="6" fillId="8" borderId="6" xfId="1" applyNumberFormat="1" applyFont="1" applyFill="1" applyBorder="1" applyProtection="1"/>
    <xf numFmtId="9" fontId="6" fillId="9" borderId="12" xfId="3" applyFont="1" applyFill="1" applyBorder="1" applyProtection="1"/>
    <xf numFmtId="175" fontId="6" fillId="9" borderId="32" xfId="2" applyNumberFormat="1" applyFont="1" applyFill="1" applyBorder="1" applyProtection="1"/>
    <xf numFmtId="2" fontId="6" fillId="9" borderId="0" xfId="0" applyNumberFormat="1" applyFont="1" applyFill="1" applyBorder="1" applyProtection="1"/>
    <xf numFmtId="175" fontId="6" fillId="9" borderId="0" xfId="2" applyNumberFormat="1" applyFont="1" applyFill="1" applyProtection="1"/>
    <xf numFmtId="0" fontId="6" fillId="0" borderId="0" xfId="0" applyFont="1" applyBorder="1" applyProtection="1"/>
    <xf numFmtId="175" fontId="6" fillId="9" borderId="31" xfId="2" applyNumberFormat="1" applyFont="1" applyFill="1" applyBorder="1" applyProtection="1"/>
    <xf numFmtId="175" fontId="6" fillId="9" borderId="12" xfId="2" applyNumberFormat="1" applyFont="1" applyFill="1" applyBorder="1" applyProtection="1"/>
    <xf numFmtId="9" fontId="6" fillId="9" borderId="31" xfId="3" applyFont="1" applyFill="1" applyBorder="1" applyProtection="1"/>
    <xf numFmtId="173" fontId="0" fillId="0" borderId="0" xfId="0" applyNumberFormat="1"/>
    <xf numFmtId="1" fontId="16" fillId="8" borderId="33" xfId="3" applyNumberFormat="1" applyFont="1" applyFill="1" applyBorder="1" applyProtection="1"/>
    <xf numFmtId="178" fontId="6" fillId="15" borderId="32" xfId="2" applyNumberFormat="1" applyFont="1" applyFill="1" applyBorder="1" applyAlignment="1">
      <alignment horizontal="right"/>
    </xf>
    <xf numFmtId="178" fontId="6" fillId="16" borderId="32" xfId="2" applyNumberFormat="1" applyFont="1" applyFill="1" applyBorder="1" applyAlignment="1">
      <alignment horizontal="right"/>
    </xf>
    <xf numFmtId="178" fontId="6" fillId="17" borderId="32" xfId="2" applyNumberFormat="1" applyFont="1" applyFill="1" applyBorder="1" applyAlignment="1">
      <alignment horizontal="right"/>
    </xf>
    <xf numFmtId="178" fontId="6" fillId="15" borderId="32" xfId="0" applyNumberFormat="1" applyFont="1" applyFill="1" applyBorder="1" applyAlignment="1">
      <alignment horizontal="right"/>
    </xf>
    <xf numFmtId="178" fontId="6" fillId="16" borderId="32" xfId="0" applyNumberFormat="1" applyFont="1" applyFill="1" applyBorder="1" applyAlignment="1">
      <alignment horizontal="right"/>
    </xf>
    <xf numFmtId="178" fontId="6" fillId="17" borderId="32" xfId="0" applyNumberFormat="1" applyFont="1" applyFill="1" applyBorder="1" applyAlignment="1">
      <alignment horizontal="right"/>
    </xf>
    <xf numFmtId="178" fontId="6" fillId="15" borderId="0" xfId="2" applyNumberFormat="1" applyFont="1" applyFill="1" applyBorder="1" applyAlignment="1">
      <alignment horizontal="right"/>
    </xf>
    <xf numFmtId="178" fontId="6" fillId="16" borderId="0" xfId="2" applyNumberFormat="1" applyFont="1" applyFill="1" applyBorder="1" applyAlignment="1">
      <alignment horizontal="right"/>
    </xf>
    <xf numFmtId="178" fontId="6" fillId="17" borderId="0" xfId="2" applyNumberFormat="1" applyFont="1" applyFill="1" applyBorder="1" applyAlignment="1">
      <alignment horizontal="right"/>
    </xf>
    <xf numFmtId="0" fontId="6" fillId="13" borderId="0" xfId="0" applyFont="1" applyFill="1" applyBorder="1"/>
    <xf numFmtId="0" fontId="21" fillId="0" borderId="0" xfId="4" applyFont="1" applyBorder="1"/>
    <xf numFmtId="1" fontId="6" fillId="15" borderId="0" xfId="0" applyNumberFormat="1" applyFont="1" applyFill="1" applyBorder="1" applyAlignment="1">
      <alignment horizontal="right"/>
    </xf>
    <xf numFmtId="1" fontId="6" fillId="16" borderId="0" xfId="0" applyNumberFormat="1" applyFont="1" applyFill="1" applyBorder="1" applyAlignment="1">
      <alignment horizontal="right"/>
    </xf>
    <xf numFmtId="1" fontId="6" fillId="17" borderId="0" xfId="0" applyNumberFormat="1" applyFont="1" applyFill="1" applyBorder="1" applyAlignment="1">
      <alignment horizontal="right"/>
    </xf>
    <xf numFmtId="178" fontId="6" fillId="15" borderId="0" xfId="0" applyNumberFormat="1" applyFont="1" applyFill="1" applyBorder="1" applyAlignment="1">
      <alignment horizontal="right"/>
    </xf>
    <xf numFmtId="178" fontId="6" fillId="16" borderId="0" xfId="0" applyNumberFormat="1" applyFont="1" applyFill="1" applyBorder="1" applyAlignment="1">
      <alignment horizontal="right"/>
    </xf>
    <xf numFmtId="178" fontId="6" fillId="17" borderId="0" xfId="0" applyNumberFormat="1" applyFont="1" applyFill="1" applyBorder="1" applyAlignment="1">
      <alignment horizontal="right"/>
    </xf>
    <xf numFmtId="178" fontId="6" fillId="15" borderId="0" xfId="2" applyNumberFormat="1" applyFont="1" applyFill="1" applyBorder="1" applyAlignment="1">
      <alignment horizontal="right" indent="1"/>
    </xf>
    <xf numFmtId="0" fontId="39" fillId="0" borderId="0" xfId="0" applyFont="1" applyBorder="1" applyAlignment="1">
      <alignment horizontal="left" indent="1"/>
    </xf>
    <xf numFmtId="0" fontId="21" fillId="0" borderId="0" xfId="4" applyFont="1" applyFill="1" applyBorder="1"/>
    <xf numFmtId="0" fontId="6" fillId="0" borderId="0" xfId="0" applyFont="1" applyFill="1" applyBorder="1" applyAlignment="1">
      <alignment horizontal="left" indent="1"/>
    </xf>
    <xf numFmtId="0" fontId="6" fillId="0" borderId="0" xfId="0" applyFont="1" applyFill="1" applyBorder="1" applyAlignment="1">
      <alignment horizontal="left" indent="3"/>
    </xf>
    <xf numFmtId="174" fontId="6" fillId="0" borderId="32" xfId="0" applyNumberFormat="1" applyFont="1" applyFill="1" applyBorder="1" applyAlignment="1">
      <alignment horizontal="left" indent="1"/>
    </xf>
    <xf numFmtId="0" fontId="6" fillId="0" borderId="32" xfId="0" applyFont="1" applyFill="1" applyBorder="1" applyAlignment="1">
      <alignment horizontal="left" indent="1"/>
    </xf>
    <xf numFmtId="0" fontId="39" fillId="0" borderId="32" xfId="0" applyFont="1" applyBorder="1" applyAlignment="1">
      <alignment horizontal="left" indent="1"/>
    </xf>
    <xf numFmtId="0" fontId="5" fillId="13" borderId="12" xfId="0" applyFont="1" applyFill="1" applyBorder="1"/>
    <xf numFmtId="178" fontId="6" fillId="15" borderId="12" xfId="0" applyNumberFormat="1" applyFont="1" applyFill="1" applyBorder="1" applyAlignment="1">
      <alignment horizontal="right"/>
    </xf>
    <xf numFmtId="178" fontId="6" fillId="16" borderId="12" xfId="0" applyNumberFormat="1" applyFont="1" applyFill="1" applyBorder="1" applyAlignment="1">
      <alignment horizontal="right"/>
    </xf>
    <xf numFmtId="178" fontId="6" fillId="17" borderId="12" xfId="0" applyNumberFormat="1" applyFont="1" applyFill="1" applyBorder="1" applyAlignment="1">
      <alignment horizontal="right"/>
    </xf>
    <xf numFmtId="178" fontId="29" fillId="15" borderId="12" xfId="2" applyNumberFormat="1" applyFont="1" applyFill="1" applyBorder="1" applyAlignment="1">
      <alignment horizontal="right"/>
    </xf>
    <xf numFmtId="178" fontId="29" fillId="16" borderId="12" xfId="2" applyNumberFormat="1" applyFont="1" applyFill="1" applyBorder="1" applyAlignment="1">
      <alignment horizontal="right"/>
    </xf>
    <xf numFmtId="178" fontId="29" fillId="17" borderId="12" xfId="2" applyNumberFormat="1" applyFont="1" applyFill="1" applyBorder="1" applyAlignment="1">
      <alignment horizontal="right"/>
    </xf>
    <xf numFmtId="174" fontId="6" fillId="0" borderId="32" xfId="2" applyNumberFormat="1" applyFont="1" applyFill="1" applyBorder="1" applyAlignment="1">
      <alignment horizontal="left" indent="1"/>
    </xf>
    <xf numFmtId="178" fontId="6" fillId="15" borderId="0" xfId="0" applyNumberFormat="1" applyFont="1" applyFill="1" applyBorder="1" applyAlignment="1">
      <alignment horizontal="left"/>
    </xf>
    <xf numFmtId="178" fontId="6" fillId="16" borderId="0" xfId="0" applyNumberFormat="1" applyFont="1" applyFill="1" applyBorder="1" applyAlignment="1">
      <alignment horizontal="left"/>
    </xf>
    <xf numFmtId="178" fontId="6" fillId="17" borderId="0" xfId="0" applyNumberFormat="1" applyFont="1" applyFill="1" applyBorder="1" applyAlignment="1">
      <alignment horizontal="left"/>
    </xf>
    <xf numFmtId="0" fontId="32" fillId="0" borderId="0" xfId="0" applyFont="1" applyFill="1" applyBorder="1" applyAlignment="1">
      <alignment horizontal="center"/>
    </xf>
    <xf numFmtId="49" fontId="46" fillId="18" borderId="0" xfId="0" applyNumberFormat="1" applyFont="1" applyFill="1" applyBorder="1" applyAlignment="1">
      <alignment horizontal="center"/>
    </xf>
    <xf numFmtId="0" fontId="48" fillId="18" borderId="0" xfId="0" applyFont="1" applyFill="1" applyBorder="1" applyAlignment="1">
      <alignment horizontal="center"/>
    </xf>
    <xf numFmtId="0" fontId="33" fillId="18" borderId="0" xfId="0" applyFont="1" applyFill="1" applyBorder="1" applyAlignment="1">
      <alignment vertical="top" wrapText="1"/>
    </xf>
    <xf numFmtId="0" fontId="34" fillId="18" borderId="0" xfId="0" applyFont="1" applyFill="1" applyAlignment="1">
      <alignment horizontal="left"/>
    </xf>
    <xf numFmtId="0" fontId="50" fillId="18" borderId="0" xfId="0" applyFont="1" applyFill="1" applyBorder="1" applyAlignment="1">
      <alignment horizontal="left" vertical="top" wrapText="1"/>
    </xf>
    <xf numFmtId="0" fontId="51" fillId="18" borderId="0" xfId="0" applyFont="1" applyFill="1" applyBorder="1" applyAlignment="1">
      <alignment horizontal="left" vertical="top" wrapText="1"/>
    </xf>
    <xf numFmtId="0" fontId="35" fillId="18" borderId="40" xfId="0" applyFont="1" applyFill="1" applyBorder="1" applyAlignment="1"/>
    <xf numFmtId="0" fontId="0" fillId="18" borderId="41" xfId="0" applyFill="1" applyBorder="1" applyAlignment="1"/>
    <xf numFmtId="0" fontId="0" fillId="18" borderId="42" xfId="0" applyFill="1" applyBorder="1" applyAlignment="1"/>
    <xf numFmtId="0" fontId="49" fillId="0" borderId="0" xfId="0" applyFont="1" applyAlignment="1">
      <alignment horizontal="center" vertical="center" wrapText="1"/>
    </xf>
    <xf numFmtId="0" fontId="47" fillId="18" borderId="39" xfId="0" applyFont="1" applyFill="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top" wrapText="1" indent="3"/>
    </xf>
    <xf numFmtId="49" fontId="6" fillId="0" borderId="0" xfId="0" applyNumberFormat="1" applyFont="1" applyAlignment="1">
      <alignment vertical="top" wrapText="1"/>
    </xf>
    <xf numFmtId="49" fontId="6" fillId="0" borderId="0" xfId="0" applyNumberFormat="1" applyFont="1" applyAlignment="1">
      <alignment horizontal="left" vertical="top" wrapText="1" indent="3"/>
    </xf>
    <xf numFmtId="49" fontId="6" fillId="0" borderId="0" xfId="0" applyNumberFormat="1" applyFont="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3">
    <dxf>
      <font>
        <color auto="1"/>
      </font>
    </dxf>
    <dxf>
      <fill>
        <patternFill>
          <bgColor rgb="FFFF0000"/>
        </patternFill>
      </fill>
    </dxf>
    <dxf>
      <fill>
        <patternFill>
          <bgColor rgb="FFFF0000"/>
        </patternFill>
      </fill>
    </dxf>
  </dxfs>
  <tableStyles count="0" defaultTableStyle="TableStyleMedium2" defaultPivotStyle="PivotStyleLight16"/>
  <colors>
    <mruColors>
      <color rgb="FFFF5050"/>
      <color rgb="FFFFFF99"/>
      <color rgb="FF00CCFF"/>
      <color rgb="FF33CCFF"/>
      <color rgb="FF006600"/>
      <color rgb="FF66FF33"/>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15735</xdr:colOff>
      <xdr:row>10</xdr:row>
      <xdr:rowOff>28573</xdr:rowOff>
    </xdr:from>
    <xdr:to>
      <xdr:col>4</xdr:col>
      <xdr:colOff>92076</xdr:colOff>
      <xdr:row>11</xdr:row>
      <xdr:rowOff>214312</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923" y="2640011"/>
          <a:ext cx="1909903" cy="527051"/>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zoomScale="120" zoomScaleNormal="120" workbookViewId="0">
      <pane xSplit="16" ySplit="16" topLeftCell="Q26" activePane="bottomRight" state="frozen"/>
      <selection pane="topRight" activeCell="Q1" sqref="Q1"/>
      <selection pane="bottomLeft" activeCell="A20" sqref="A20"/>
      <selection pane="bottomRight" activeCell="J11" sqref="J11"/>
    </sheetView>
  </sheetViews>
  <sheetFormatPr defaultRowHeight="15" x14ac:dyDescent="0.25"/>
  <cols>
    <col min="5" max="5" width="7.7109375" customWidth="1"/>
  </cols>
  <sheetData>
    <row r="1" spans="1:17" ht="16.5" customHeight="1" x14ac:dyDescent="0.4">
      <c r="A1" s="570"/>
      <c r="B1" s="571"/>
      <c r="C1" s="571"/>
      <c r="D1" s="571"/>
      <c r="E1" s="571"/>
      <c r="F1" s="571"/>
      <c r="G1" s="571"/>
      <c r="H1" s="571"/>
      <c r="I1" s="571"/>
      <c r="J1" s="571"/>
      <c r="K1" s="571"/>
      <c r="L1" s="571"/>
      <c r="M1" s="571"/>
      <c r="N1" s="571"/>
      <c r="O1" s="571"/>
      <c r="P1" s="571"/>
      <c r="Q1" s="572"/>
    </row>
    <row r="2" spans="1:17" ht="24.75" customHeight="1" x14ac:dyDescent="0.35">
      <c r="E2" s="565" t="s">
        <v>790</v>
      </c>
    </row>
    <row r="3" spans="1:17" ht="22.5" customHeight="1" x14ac:dyDescent="0.35">
      <c r="E3" s="565" t="s">
        <v>789</v>
      </c>
    </row>
    <row r="4" spans="1:17" ht="35.25" customHeight="1" x14ac:dyDescent="0.25">
      <c r="B4" s="573" t="s">
        <v>785</v>
      </c>
      <c r="C4" s="573"/>
      <c r="D4" s="573"/>
      <c r="E4" s="573"/>
      <c r="F4" s="573"/>
      <c r="G4" s="573"/>
      <c r="H4" s="573"/>
    </row>
    <row r="5" spans="1:17" ht="24.75" customHeight="1" x14ac:dyDescent="0.35">
      <c r="E5" s="379" t="s">
        <v>619</v>
      </c>
    </row>
    <row r="6" spans="1:17" ht="6.75" customHeight="1" x14ac:dyDescent="0.25">
      <c r="E6" s="380"/>
    </row>
    <row r="7" spans="1:17" ht="13.5" customHeight="1" x14ac:dyDescent="0.3">
      <c r="D7" s="389"/>
      <c r="E7" s="563" t="s">
        <v>786</v>
      </c>
      <c r="F7" s="389"/>
    </row>
    <row r="8" spans="1:17" ht="15" customHeight="1" x14ac:dyDescent="0.25">
      <c r="E8" s="564" t="s">
        <v>784</v>
      </c>
    </row>
    <row r="9" spans="1:17" ht="42" customHeight="1" thickBot="1" x14ac:dyDescent="0.3">
      <c r="B9" s="574" t="s">
        <v>787</v>
      </c>
      <c r="C9" s="574"/>
      <c r="D9" s="574"/>
      <c r="E9" s="574"/>
      <c r="F9" s="574"/>
      <c r="G9" s="574"/>
      <c r="H9" s="574"/>
    </row>
    <row r="10" spans="1:17" ht="8.25" customHeight="1" x14ac:dyDescent="0.25"/>
    <row r="11" spans="1:17" ht="27" customHeight="1" x14ac:dyDescent="0.25">
      <c r="F11" s="568" t="s">
        <v>788</v>
      </c>
      <c r="G11" s="568"/>
      <c r="H11" s="568"/>
      <c r="I11" s="566"/>
      <c r="J11" s="566"/>
      <c r="K11" s="566"/>
      <c r="L11" s="566"/>
    </row>
    <row r="12" spans="1:17" ht="27.75" customHeight="1" x14ac:dyDescent="0.25">
      <c r="F12" s="569" t="s">
        <v>791</v>
      </c>
      <c r="G12" s="569"/>
      <c r="H12" s="569"/>
    </row>
    <row r="13" spans="1:17" ht="12" customHeight="1" x14ac:dyDescent="0.25">
      <c r="F13" s="567" t="s">
        <v>620</v>
      </c>
    </row>
    <row r="14" spans="1:17" ht="12" customHeight="1" x14ac:dyDescent="0.25">
      <c r="F14" s="567" t="s">
        <v>621</v>
      </c>
    </row>
  </sheetData>
  <mergeCells count="5">
    <mergeCell ref="F11:H11"/>
    <mergeCell ref="F12:H12"/>
    <mergeCell ref="A1:Q1"/>
    <mergeCell ref="B4:H4"/>
    <mergeCell ref="B9:H9"/>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23"/>
  <sheetViews>
    <sheetView showGridLines="0" workbookViewId="0">
      <pane ySplit="1" topLeftCell="A29" activePane="bottomLeft" state="frozen"/>
      <selection pane="bottomLeft" activeCell="D9" sqref="D9"/>
    </sheetView>
  </sheetViews>
  <sheetFormatPr defaultRowHeight="15" x14ac:dyDescent="0.25"/>
  <cols>
    <col min="1" max="1" width="4.140625" customWidth="1"/>
    <col min="2" max="2" width="61.85546875" customWidth="1"/>
    <col min="3" max="5" width="18" customWidth="1"/>
    <col min="6" max="6" width="12.28515625" customWidth="1"/>
    <col min="7" max="7" width="19.42578125" customWidth="1"/>
  </cols>
  <sheetData>
    <row r="1" spans="2:5" ht="15.75" x14ac:dyDescent="0.25">
      <c r="B1" s="335" t="str">
        <f>A34</f>
        <v>Subsidies to ECD centres</v>
      </c>
      <c r="C1" s="336" t="s">
        <v>335</v>
      </c>
      <c r="D1" s="337" t="s">
        <v>336</v>
      </c>
      <c r="E1" s="338" t="s">
        <v>337</v>
      </c>
    </row>
    <row r="2" spans="2:5" x14ac:dyDescent="0.25">
      <c r="B2" s="123" t="s">
        <v>331</v>
      </c>
      <c r="C2" s="339">
        <f>SUM(C3:C4)</f>
        <v>7605241629.9225531</v>
      </c>
      <c r="D2" s="339">
        <f t="shared" ref="D2:E2" si="0">SUM(D3:D4)</f>
        <v>10581989258.466494</v>
      </c>
      <c r="E2" s="339">
        <f t="shared" si="0"/>
        <v>5172463423.1399183</v>
      </c>
    </row>
    <row r="3" spans="2:5" x14ac:dyDescent="0.25">
      <c r="B3" s="126" t="s">
        <v>329</v>
      </c>
      <c r="C3" s="340">
        <f>C10+C17+C24</f>
        <v>7605241629.9225531</v>
      </c>
      <c r="D3" s="340">
        <f t="shared" ref="D3:E3" si="1">D10+D17+D24</f>
        <v>10581989258.466494</v>
      </c>
      <c r="E3" s="340">
        <f t="shared" si="1"/>
        <v>5172463423.1399183</v>
      </c>
    </row>
    <row r="4" spans="2:5" x14ac:dyDescent="0.25">
      <c r="B4" s="128" t="s">
        <v>330</v>
      </c>
      <c r="C4" s="341">
        <f>C11+C18+C25</f>
        <v>0</v>
      </c>
      <c r="D4" s="341">
        <f t="shared" ref="D4:E4" si="2">D11+D18+D25</f>
        <v>0</v>
      </c>
      <c r="E4" s="341">
        <f t="shared" si="2"/>
        <v>0</v>
      </c>
    </row>
    <row r="5" spans="2:5" x14ac:dyDescent="0.25">
      <c r="B5" s="130" t="s">
        <v>332</v>
      </c>
      <c r="C5" s="339"/>
      <c r="D5" s="339"/>
      <c r="E5" s="339"/>
    </row>
    <row r="6" spans="2:5" x14ac:dyDescent="0.25">
      <c r="B6" s="123" t="s">
        <v>333</v>
      </c>
      <c r="C6" s="404">
        <f>C13+C20+C27</f>
        <v>0</v>
      </c>
      <c r="D6" s="404">
        <f t="shared" ref="D6:E6" si="3">D13+D20+D27</f>
        <v>0</v>
      </c>
      <c r="E6" s="404">
        <f t="shared" si="3"/>
        <v>0</v>
      </c>
    </row>
    <row r="7" spans="2:5" x14ac:dyDescent="0.25">
      <c r="B7" s="123" t="s">
        <v>626</v>
      </c>
      <c r="C7" s="343">
        <f>C3-C6</f>
        <v>7605241629.9225531</v>
      </c>
      <c r="D7" s="343">
        <f t="shared" ref="D7:E7" si="4">D3-D6</f>
        <v>10581989258.466494</v>
      </c>
      <c r="E7" s="343">
        <f t="shared" si="4"/>
        <v>5172463423.1399183</v>
      </c>
    </row>
    <row r="8" spans="2:5" x14ac:dyDescent="0.25">
      <c r="B8" s="122" t="s">
        <v>410</v>
      </c>
      <c r="C8" s="54"/>
      <c r="D8" s="54"/>
      <c r="E8" s="54"/>
    </row>
    <row r="9" spans="2:5" x14ac:dyDescent="0.25">
      <c r="B9" s="123" t="s">
        <v>331</v>
      </c>
      <c r="C9" s="339">
        <f>SUM(C10:C11)</f>
        <v>7441869071.3598528</v>
      </c>
      <c r="D9" s="339">
        <f t="shared" ref="D9:E9" si="5">SUM(D10:D11)</f>
        <v>10418616699.903793</v>
      </c>
      <c r="E9" s="339">
        <f t="shared" si="5"/>
        <v>5009090864.5772181</v>
      </c>
    </row>
    <row r="10" spans="2:5" x14ac:dyDescent="0.25">
      <c r="B10" s="126" t="s">
        <v>329</v>
      </c>
      <c r="C10" s="340">
        <f>C42*C43*C41</f>
        <v>7441869071.3598528</v>
      </c>
      <c r="D10" s="340">
        <f t="shared" ref="D10:E10" si="6">D42*D43*D41</f>
        <v>10418616699.903793</v>
      </c>
      <c r="E10" s="340">
        <f t="shared" si="6"/>
        <v>5009090864.5772181</v>
      </c>
    </row>
    <row r="11" spans="2:5" x14ac:dyDescent="0.25">
      <c r="B11" s="128" t="s">
        <v>330</v>
      </c>
      <c r="C11" s="341"/>
      <c r="D11" s="341"/>
      <c r="E11" s="341"/>
    </row>
    <row r="12" spans="2:5" x14ac:dyDescent="0.25">
      <c r="B12" s="130" t="s">
        <v>332</v>
      </c>
      <c r="C12" s="339"/>
      <c r="D12" s="339"/>
      <c r="E12" s="339"/>
    </row>
    <row r="13" spans="2:5" x14ac:dyDescent="0.25">
      <c r="B13" s="123" t="s">
        <v>333</v>
      </c>
      <c r="C13" s="354"/>
      <c r="D13" s="354"/>
      <c r="E13" s="354"/>
    </row>
    <row r="14" spans="2:5" x14ac:dyDescent="0.25">
      <c r="B14" s="123" t="s">
        <v>626</v>
      </c>
      <c r="C14" s="343">
        <f>C10-C13</f>
        <v>7441869071.3598528</v>
      </c>
      <c r="D14" s="343">
        <f t="shared" ref="D14:E14" si="7">D10-D13</f>
        <v>10418616699.903793</v>
      </c>
      <c r="E14" s="343">
        <f t="shared" si="7"/>
        <v>5009090864.5772181</v>
      </c>
    </row>
    <row r="15" spans="2:5" x14ac:dyDescent="0.25">
      <c r="B15" s="122" t="s">
        <v>411</v>
      </c>
      <c r="C15" s="54"/>
      <c r="D15" s="54"/>
      <c r="E15" s="54"/>
    </row>
    <row r="16" spans="2:5" x14ac:dyDescent="0.25">
      <c r="B16" s="123" t="s">
        <v>331</v>
      </c>
      <c r="C16" s="339">
        <f>SUM(C17:C18)</f>
        <v>11100700.104404682</v>
      </c>
      <c r="D16" s="339">
        <f t="shared" ref="D16:E16" si="8">SUM(D17:D18)</f>
        <v>11100700.104404682</v>
      </c>
      <c r="E16" s="339">
        <f t="shared" si="8"/>
        <v>11100700.104404682</v>
      </c>
    </row>
    <row r="17" spans="2:5" x14ac:dyDescent="0.25">
      <c r="B17" s="126" t="s">
        <v>329</v>
      </c>
      <c r="C17" s="340">
        <f>C32*C51+C53*C52</f>
        <v>11100700.104404682</v>
      </c>
      <c r="D17" s="340">
        <f>D32*D51+D53*D52</f>
        <v>11100700.104404682</v>
      </c>
      <c r="E17" s="340">
        <f>E32*E51+E53*E52</f>
        <v>11100700.104404682</v>
      </c>
    </row>
    <row r="18" spans="2:5" x14ac:dyDescent="0.25">
      <c r="B18" s="128" t="s">
        <v>330</v>
      </c>
      <c r="C18" s="341"/>
      <c r="D18" s="341"/>
      <c r="E18" s="341"/>
    </row>
    <row r="19" spans="2:5" x14ac:dyDescent="0.25">
      <c r="B19" s="130" t="s">
        <v>332</v>
      </c>
      <c r="C19" s="339"/>
      <c r="D19" s="339"/>
      <c r="E19" s="339"/>
    </row>
    <row r="20" spans="2:5" x14ac:dyDescent="0.25">
      <c r="B20" s="123" t="s">
        <v>333</v>
      </c>
      <c r="C20" s="354"/>
      <c r="D20" s="354"/>
      <c r="E20" s="354"/>
    </row>
    <row r="21" spans="2:5" x14ac:dyDescent="0.25">
      <c r="B21" s="123" t="s">
        <v>626</v>
      </c>
      <c r="C21" s="343">
        <f>C17-C20</f>
        <v>11100700.104404682</v>
      </c>
      <c r="D21" s="343">
        <f t="shared" ref="D21:E21" si="9">D17-D20</f>
        <v>11100700.104404682</v>
      </c>
      <c r="E21" s="343">
        <f t="shared" si="9"/>
        <v>11100700.104404682</v>
      </c>
    </row>
    <row r="22" spans="2:5" x14ac:dyDescent="0.25">
      <c r="B22" s="122" t="s">
        <v>412</v>
      </c>
      <c r="C22" s="378"/>
      <c r="D22" s="378"/>
      <c r="E22" s="378"/>
    </row>
    <row r="23" spans="2:5" x14ac:dyDescent="0.25">
      <c r="B23" s="123" t="s">
        <v>331</v>
      </c>
      <c r="C23" s="339">
        <f>SUM(C24:C25)</f>
        <v>152271858.45829624</v>
      </c>
      <c r="D23" s="339">
        <f t="shared" ref="D23:E23" si="10">SUM(D24:D25)</f>
        <v>152271858.45829624</v>
      </c>
      <c r="E23" s="339">
        <f t="shared" si="10"/>
        <v>152271858.45829624</v>
      </c>
    </row>
    <row r="24" spans="2:5" x14ac:dyDescent="0.25">
      <c r="B24" s="126" t="s">
        <v>329</v>
      </c>
      <c r="C24" s="340">
        <f>C31*C61+C60*C121+C62*C63</f>
        <v>152271858.45829624</v>
      </c>
      <c r="D24" s="340">
        <f>D31*D61+D60*D121+D62*D63</f>
        <v>152271858.45829624</v>
      </c>
      <c r="E24" s="340">
        <f>E31*E61+E60*E121+E62*E63</f>
        <v>152271858.45829624</v>
      </c>
    </row>
    <row r="25" spans="2:5" x14ac:dyDescent="0.25">
      <c r="B25" s="128" t="s">
        <v>330</v>
      </c>
      <c r="C25" s="341"/>
      <c r="D25" s="341"/>
      <c r="E25" s="341"/>
    </row>
    <row r="26" spans="2:5" x14ac:dyDescent="0.25">
      <c r="B26" s="130" t="s">
        <v>332</v>
      </c>
      <c r="C26" s="339"/>
      <c r="D26" s="339"/>
      <c r="E26" s="339"/>
    </row>
    <row r="27" spans="2:5" x14ac:dyDescent="0.25">
      <c r="B27" s="123" t="s">
        <v>333</v>
      </c>
      <c r="C27" s="354"/>
      <c r="D27" s="354"/>
      <c r="E27" s="354"/>
    </row>
    <row r="28" spans="2:5" x14ac:dyDescent="0.25">
      <c r="B28" s="123" t="s">
        <v>626</v>
      </c>
      <c r="C28" s="343">
        <f>C24-C27</f>
        <v>152271858.45829624</v>
      </c>
      <c r="D28" s="343">
        <f t="shared" ref="D28:E28" si="11">D24-D27</f>
        <v>152271858.45829624</v>
      </c>
      <c r="E28" s="343">
        <f t="shared" si="11"/>
        <v>152271858.45829624</v>
      </c>
    </row>
    <row r="29" spans="2:5" x14ac:dyDescent="0.25">
      <c r="B29" s="134" t="s">
        <v>562</v>
      </c>
      <c r="C29" s="125"/>
      <c r="D29" s="125"/>
      <c r="E29" s="125"/>
    </row>
    <row r="30" spans="2:5" x14ac:dyDescent="0.25">
      <c r="B30" s="92" t="s">
        <v>547</v>
      </c>
      <c r="C30" s="153">
        <f>C41</f>
        <v>1879259.8665050133</v>
      </c>
      <c r="D30" s="153">
        <f t="shared" ref="D30:E30" si="12">D41</f>
        <v>1879259.8665050133</v>
      </c>
      <c r="E30" s="153">
        <f t="shared" si="12"/>
        <v>1264921.9354992975</v>
      </c>
    </row>
    <row r="31" spans="2:5" ht="15" customHeight="1" x14ac:dyDescent="0.25">
      <c r="B31" s="92" t="s">
        <v>548</v>
      </c>
      <c r="C31" s="153">
        <f>C117*C57</f>
        <v>68925.915680944105</v>
      </c>
      <c r="D31" s="153">
        <f t="shared" ref="D31:E31" si="13">D117*D57</f>
        <v>68925.915680944105</v>
      </c>
      <c r="E31" s="153">
        <f t="shared" si="13"/>
        <v>68925.915680944105</v>
      </c>
    </row>
    <row r="32" spans="2:5" x14ac:dyDescent="0.25">
      <c r="B32" s="149" t="s">
        <v>549</v>
      </c>
      <c r="C32" s="150">
        <f>C109/C47</f>
        <v>8706.4314544350455</v>
      </c>
      <c r="D32" s="150">
        <f t="shared" ref="D32:E32" si="14">D109/D47</f>
        <v>8706.4314544350455</v>
      </c>
      <c r="E32" s="150">
        <f t="shared" si="14"/>
        <v>8706.4314544350455</v>
      </c>
    </row>
    <row r="33" spans="1:5" x14ac:dyDescent="0.25">
      <c r="C33" s="94"/>
      <c r="D33" s="94"/>
      <c r="E33" s="94"/>
    </row>
    <row r="34" spans="1:5" x14ac:dyDescent="0.25">
      <c r="A34" s="382" t="s">
        <v>29</v>
      </c>
      <c r="B34" s="384"/>
      <c r="C34" s="384"/>
      <c r="D34" s="384"/>
      <c r="E34" s="384"/>
    </row>
    <row r="35" spans="1:5" x14ac:dyDescent="0.25">
      <c r="B35" s="122" t="s">
        <v>22</v>
      </c>
      <c r="C35" s="54"/>
      <c r="D35" s="54"/>
      <c r="E35" s="54"/>
    </row>
    <row r="36" spans="1:5" x14ac:dyDescent="0.25">
      <c r="B36" s="386" t="s">
        <v>622</v>
      </c>
      <c r="C36" s="180"/>
      <c r="D36" s="180"/>
      <c r="E36" s="180"/>
    </row>
    <row r="37" spans="1:5" x14ac:dyDescent="0.25">
      <c r="B37" s="151" t="s">
        <v>315</v>
      </c>
      <c r="C37" s="103">
        <v>3</v>
      </c>
      <c r="D37" s="218">
        <v>3</v>
      </c>
      <c r="E37" s="218">
        <v>2</v>
      </c>
    </row>
    <row r="38" spans="1:5" x14ac:dyDescent="0.25">
      <c r="B38" s="152" t="s">
        <v>543</v>
      </c>
      <c r="C38" s="102">
        <v>0.1</v>
      </c>
      <c r="D38" s="258">
        <v>0.1</v>
      </c>
      <c r="E38" s="258">
        <v>0.1</v>
      </c>
    </row>
    <row r="39" spans="1:5" x14ac:dyDescent="0.25">
      <c r="B39" s="152" t="s">
        <v>544</v>
      </c>
      <c r="C39" s="102">
        <v>0.2</v>
      </c>
      <c r="D39" s="102">
        <v>0.2</v>
      </c>
      <c r="E39" s="102">
        <v>0.2</v>
      </c>
    </row>
    <row r="40" spans="1:5" x14ac:dyDescent="0.25">
      <c r="B40" s="152" t="s">
        <v>545</v>
      </c>
      <c r="C40" s="102">
        <v>0.8</v>
      </c>
      <c r="D40" s="258">
        <v>0.8</v>
      </c>
      <c r="E40" s="258">
        <v>0.8</v>
      </c>
    </row>
    <row r="41" spans="1:5" x14ac:dyDescent="0.25">
      <c r="B41" s="167" t="s">
        <v>546</v>
      </c>
      <c r="C41" s="184">
        <f>VLOOKUP(C37,Subsidy_tgt_grp,2,FALSE)*C38+VLOOKUP(C37,Subsidy_tgt_grp,3,FALSE)*C39+VLOOKUP(C37,Subsidy_tgt_grp,4,FALSE)*C40</f>
        <v>1879259.8665050133</v>
      </c>
      <c r="D41" s="184">
        <f>VLOOKUP(D37,Subsidy_tgt_grp,2,FALSE)*D38+VLOOKUP(D37,Subsidy_tgt_grp,3,FALSE)*D39+VLOOKUP(D37,Subsidy_tgt_grp,4,FALSE)*D40</f>
        <v>1879259.8665050133</v>
      </c>
      <c r="E41" s="184">
        <f>VLOOKUP(E37,Subsidy_tgt_grp,2,FALSE)*E38+VLOOKUP(E37,Subsidy_tgt_grp,3,FALSE)*E39+VLOOKUP(E37,Subsidy_tgt_grp,4,FALSE)*E40</f>
        <v>1264921.9354992975</v>
      </c>
    </row>
    <row r="42" spans="1:5" x14ac:dyDescent="0.25">
      <c r="B42" s="30" t="s">
        <v>34</v>
      </c>
      <c r="C42" s="344">
        <v>15</v>
      </c>
      <c r="D42" s="345">
        <v>21</v>
      </c>
      <c r="E42" s="345">
        <v>15</v>
      </c>
    </row>
    <row r="43" spans="1:5" x14ac:dyDescent="0.25">
      <c r="B43" s="30" t="s">
        <v>35</v>
      </c>
      <c r="C43" s="114">
        <v>264</v>
      </c>
      <c r="D43" s="186">
        <v>264</v>
      </c>
      <c r="E43" s="186">
        <v>264</v>
      </c>
    </row>
    <row r="44" spans="1:5" x14ac:dyDescent="0.25">
      <c r="B44" s="386" t="s">
        <v>411</v>
      </c>
      <c r="C44" s="180"/>
      <c r="D44" s="180"/>
      <c r="E44" s="180"/>
    </row>
    <row r="45" spans="1:5" x14ac:dyDescent="0.25">
      <c r="B45" s="30" t="s">
        <v>37</v>
      </c>
      <c r="C45" s="121">
        <v>0.9</v>
      </c>
      <c r="D45" s="187">
        <v>0.9</v>
      </c>
      <c r="E45" s="187">
        <v>0.9</v>
      </c>
    </row>
    <row r="46" spans="1:5" x14ac:dyDescent="0.25">
      <c r="B46" s="30" t="s">
        <v>38</v>
      </c>
      <c r="C46" s="121">
        <v>0.1</v>
      </c>
      <c r="D46" s="187">
        <v>0.1</v>
      </c>
      <c r="E46" s="187">
        <v>0.1</v>
      </c>
    </row>
    <row r="47" spans="1:5" x14ac:dyDescent="0.25">
      <c r="B47" s="30" t="s">
        <v>39</v>
      </c>
      <c r="C47" s="114">
        <v>10</v>
      </c>
      <c r="D47" s="186">
        <v>10</v>
      </c>
      <c r="E47" s="186">
        <v>10</v>
      </c>
    </row>
    <row r="48" spans="1:5" x14ac:dyDescent="0.25">
      <c r="B48" s="163" t="s">
        <v>40</v>
      </c>
      <c r="C48" s="228">
        <v>0.1</v>
      </c>
      <c r="D48" s="259">
        <v>0.1</v>
      </c>
      <c r="E48" s="259">
        <v>0.1</v>
      </c>
    </row>
    <row r="49" spans="2:5" x14ac:dyDescent="0.25">
      <c r="B49" s="30" t="s">
        <v>41</v>
      </c>
      <c r="C49" s="114">
        <v>3</v>
      </c>
      <c r="D49" s="186">
        <v>3</v>
      </c>
      <c r="E49" s="186">
        <v>3</v>
      </c>
    </row>
    <row r="50" spans="2:5" x14ac:dyDescent="0.25">
      <c r="B50" s="30" t="s">
        <v>42</v>
      </c>
      <c r="C50" s="114">
        <v>600</v>
      </c>
      <c r="D50" s="186">
        <v>600</v>
      </c>
      <c r="E50" s="186">
        <v>600</v>
      </c>
    </row>
    <row r="51" spans="2:5" x14ac:dyDescent="0.25">
      <c r="B51" s="160" t="s">
        <v>43</v>
      </c>
      <c r="C51" s="346">
        <v>800</v>
      </c>
      <c r="D51" s="347">
        <v>800</v>
      </c>
      <c r="E51" s="347">
        <v>800</v>
      </c>
    </row>
    <row r="52" spans="2:5" x14ac:dyDescent="0.25">
      <c r="B52" s="163" t="s">
        <v>644</v>
      </c>
      <c r="C52" s="372">
        <v>95000</v>
      </c>
      <c r="D52" s="373">
        <v>95000</v>
      </c>
      <c r="E52" s="373">
        <v>95000</v>
      </c>
    </row>
    <row r="53" spans="2:5" x14ac:dyDescent="0.25">
      <c r="B53" s="181" t="s">
        <v>550</v>
      </c>
      <c r="C53" s="192">
        <f>C112*C49</f>
        <v>43.532157272175226</v>
      </c>
      <c r="D53" s="192">
        <f>D112*D49</f>
        <v>43.532157272175226</v>
      </c>
      <c r="E53" s="192">
        <f t="shared" ref="E53" si="15">E112*E49</f>
        <v>43.532157272175226</v>
      </c>
    </row>
    <row r="54" spans="2:5" x14ac:dyDescent="0.25">
      <c r="B54" s="31" t="s">
        <v>412</v>
      </c>
      <c r="C54" s="30"/>
      <c r="D54" s="30"/>
      <c r="E54" s="30"/>
    </row>
    <row r="55" spans="2:5" x14ac:dyDescent="0.25">
      <c r="B55" s="160" t="s">
        <v>45</v>
      </c>
      <c r="C55" s="226">
        <v>0.9</v>
      </c>
      <c r="D55" s="239">
        <v>0.9</v>
      </c>
      <c r="E55" s="239">
        <v>0.9</v>
      </c>
    </row>
    <row r="56" spans="2:5" x14ac:dyDescent="0.25">
      <c r="B56" s="40" t="s">
        <v>46</v>
      </c>
      <c r="C56" s="257">
        <v>0.1</v>
      </c>
      <c r="D56" s="260">
        <v>0.1</v>
      </c>
      <c r="E56" s="260">
        <v>0.1</v>
      </c>
    </row>
    <row r="57" spans="2:5" x14ac:dyDescent="0.25">
      <c r="B57" s="40" t="s">
        <v>47</v>
      </c>
      <c r="C57" s="257">
        <v>0.95</v>
      </c>
      <c r="D57" s="260">
        <v>0.95</v>
      </c>
      <c r="E57" s="260">
        <v>0.95</v>
      </c>
    </row>
    <row r="58" spans="2:5" x14ac:dyDescent="0.25">
      <c r="B58" s="40" t="s">
        <v>41</v>
      </c>
      <c r="C58" s="164">
        <v>3</v>
      </c>
      <c r="D58" s="173">
        <v>3</v>
      </c>
      <c r="E58" s="173">
        <v>3</v>
      </c>
    </row>
    <row r="59" spans="2:5" x14ac:dyDescent="0.25">
      <c r="B59" s="40" t="s">
        <v>42</v>
      </c>
      <c r="C59" s="164">
        <v>600</v>
      </c>
      <c r="D59" s="173">
        <v>600</v>
      </c>
      <c r="E59" s="173">
        <v>600</v>
      </c>
    </row>
    <row r="60" spans="2:5" x14ac:dyDescent="0.25">
      <c r="B60" s="40" t="s">
        <v>48</v>
      </c>
      <c r="C60" s="368">
        <v>800</v>
      </c>
      <c r="D60" s="354">
        <v>800</v>
      </c>
      <c r="E60" s="354">
        <v>800</v>
      </c>
    </row>
    <row r="61" spans="2:5" x14ac:dyDescent="0.25">
      <c r="B61" s="40" t="s">
        <v>49</v>
      </c>
      <c r="C61" s="368">
        <v>800</v>
      </c>
      <c r="D61" s="354">
        <v>800</v>
      </c>
      <c r="E61" s="354">
        <v>800</v>
      </c>
    </row>
    <row r="62" spans="2:5" x14ac:dyDescent="0.25">
      <c r="B62" s="163" t="s">
        <v>524</v>
      </c>
      <c r="C62" s="372">
        <v>95000</v>
      </c>
      <c r="D62" s="373">
        <v>95000</v>
      </c>
      <c r="E62" s="373">
        <v>95000</v>
      </c>
    </row>
    <row r="63" spans="2:5" x14ac:dyDescent="0.25">
      <c r="B63" s="167" t="s">
        <v>551</v>
      </c>
      <c r="C63" s="184">
        <f>C58*C123</f>
        <v>380.90637613153319</v>
      </c>
      <c r="D63" s="184">
        <f t="shared" ref="D63:E63" si="16">D58*D123</f>
        <v>380.90637613153319</v>
      </c>
      <c r="E63" s="184">
        <f t="shared" si="16"/>
        <v>380.90637613153319</v>
      </c>
    </row>
    <row r="64" spans="2:5" x14ac:dyDescent="0.25">
      <c r="B64" s="132"/>
      <c r="C64" s="132"/>
      <c r="D64" s="132"/>
      <c r="E64" s="132"/>
    </row>
    <row r="65" spans="2:5" x14ac:dyDescent="0.25">
      <c r="B65" s="132"/>
      <c r="C65" s="132"/>
      <c r="D65" s="132"/>
      <c r="E65" s="132"/>
    </row>
    <row r="66" spans="2:5" x14ac:dyDescent="0.25">
      <c r="B66" s="132"/>
      <c r="C66" s="132"/>
      <c r="D66" s="132"/>
      <c r="E66" s="132"/>
    </row>
    <row r="67" spans="2:5" x14ac:dyDescent="0.25">
      <c r="B67" s="132"/>
      <c r="C67" s="132"/>
      <c r="D67" s="132"/>
      <c r="E67" s="132"/>
    </row>
    <row r="68" spans="2:5" x14ac:dyDescent="0.25">
      <c r="B68" s="132"/>
      <c r="C68" s="132"/>
      <c r="D68" s="132"/>
      <c r="E68" s="132"/>
    </row>
    <row r="69" spans="2:5" x14ac:dyDescent="0.25">
      <c r="B69" s="132"/>
      <c r="C69" s="132"/>
      <c r="D69" s="132"/>
      <c r="E69" s="132"/>
    </row>
    <row r="70" spans="2:5" x14ac:dyDescent="0.25">
      <c r="B70" s="132"/>
      <c r="C70" s="132"/>
      <c r="D70" s="132"/>
      <c r="E70" s="132"/>
    </row>
    <row r="71" spans="2:5" x14ac:dyDescent="0.25">
      <c r="B71" s="132"/>
      <c r="C71" s="132"/>
      <c r="D71" s="132"/>
      <c r="E71" s="132"/>
    </row>
    <row r="72" spans="2:5" x14ac:dyDescent="0.25">
      <c r="B72" s="132"/>
      <c r="C72" s="132"/>
      <c r="D72" s="132"/>
      <c r="E72" s="132"/>
    </row>
    <row r="73" spans="2:5" x14ac:dyDescent="0.25">
      <c r="B73" s="132"/>
      <c r="C73" s="132"/>
      <c r="D73" s="132"/>
      <c r="E73" s="132"/>
    </row>
    <row r="74" spans="2:5" x14ac:dyDescent="0.25">
      <c r="B74" s="132"/>
      <c r="C74" s="132"/>
      <c r="D74" s="132"/>
      <c r="E74" s="132"/>
    </row>
    <row r="75" spans="2:5" x14ac:dyDescent="0.25">
      <c r="B75" s="132"/>
      <c r="C75" s="132"/>
      <c r="D75" s="132"/>
      <c r="E75" s="132"/>
    </row>
    <row r="76" spans="2:5" x14ac:dyDescent="0.25">
      <c r="B76" s="132"/>
      <c r="C76" s="132"/>
      <c r="D76" s="132"/>
      <c r="E76" s="132"/>
    </row>
    <row r="77" spans="2:5" x14ac:dyDescent="0.25">
      <c r="B77" s="132"/>
      <c r="C77" s="132"/>
      <c r="D77" s="132"/>
      <c r="E77" s="132"/>
    </row>
    <row r="78" spans="2:5" x14ac:dyDescent="0.25">
      <c r="B78" s="132"/>
      <c r="C78" s="132"/>
      <c r="D78" s="132"/>
      <c r="E78" s="132"/>
    </row>
    <row r="79" spans="2:5" x14ac:dyDescent="0.25">
      <c r="B79" s="132"/>
      <c r="C79" s="132"/>
      <c r="D79" s="132"/>
      <c r="E79" s="132"/>
    </row>
    <row r="80" spans="2:5" x14ac:dyDescent="0.25">
      <c r="B80" s="132"/>
      <c r="C80" s="132"/>
      <c r="D80" s="132"/>
      <c r="E80" s="132"/>
    </row>
    <row r="81" spans="2:5" x14ac:dyDescent="0.25">
      <c r="B81" s="132"/>
      <c r="C81" s="132"/>
      <c r="D81" s="132"/>
      <c r="E81" s="132"/>
    </row>
    <row r="82" spans="2:5" x14ac:dyDescent="0.25">
      <c r="B82" s="132"/>
      <c r="C82" s="132"/>
      <c r="D82" s="132"/>
      <c r="E82" s="132"/>
    </row>
    <row r="83" spans="2:5" x14ac:dyDescent="0.25">
      <c r="B83" s="132"/>
      <c r="C83" s="132"/>
      <c r="D83" s="132"/>
      <c r="E83" s="132"/>
    </row>
    <row r="84" spans="2:5" x14ac:dyDescent="0.25">
      <c r="B84" s="132"/>
      <c r="C84" s="132"/>
      <c r="D84" s="132"/>
      <c r="E84" s="132"/>
    </row>
    <row r="85" spans="2:5" x14ac:dyDescent="0.25">
      <c r="B85" s="132"/>
      <c r="C85" s="132"/>
      <c r="D85" s="132"/>
      <c r="E85" s="132"/>
    </row>
    <row r="86" spans="2:5" x14ac:dyDescent="0.25">
      <c r="B86" s="132"/>
      <c r="C86" s="132"/>
      <c r="D86" s="132"/>
      <c r="E86" s="132"/>
    </row>
    <row r="87" spans="2:5" x14ac:dyDescent="0.25">
      <c r="B87" s="132"/>
      <c r="C87" s="132"/>
      <c r="D87" s="132"/>
      <c r="E87" s="132"/>
    </row>
    <row r="88" spans="2:5" x14ac:dyDescent="0.25">
      <c r="B88" s="132"/>
      <c r="C88" s="132"/>
      <c r="D88" s="132"/>
      <c r="E88" s="132"/>
    </row>
    <row r="89" spans="2:5" x14ac:dyDescent="0.25">
      <c r="B89" s="132"/>
      <c r="C89" s="132"/>
      <c r="D89" s="132"/>
      <c r="E89" s="132"/>
    </row>
    <row r="90" spans="2:5" x14ac:dyDescent="0.25">
      <c r="B90" s="132"/>
      <c r="C90" s="132"/>
      <c r="D90" s="132"/>
      <c r="E90" s="132"/>
    </row>
    <row r="91" spans="2:5" x14ac:dyDescent="0.25">
      <c r="B91" s="132"/>
      <c r="C91" s="132"/>
      <c r="D91" s="132"/>
      <c r="E91" s="132"/>
    </row>
    <row r="99" spans="2:5" x14ac:dyDescent="0.25">
      <c r="B99" s="1" t="s">
        <v>338</v>
      </c>
    </row>
    <row r="102" spans="2:5" x14ac:dyDescent="0.25">
      <c r="B102" s="1" t="s">
        <v>30</v>
      </c>
    </row>
    <row r="103" spans="2:5" x14ac:dyDescent="0.25">
      <c r="C103" s="94"/>
      <c r="D103" s="94"/>
      <c r="E103" s="94"/>
    </row>
    <row r="104" spans="2:5" x14ac:dyDescent="0.25">
      <c r="C104" s="94"/>
      <c r="D104" s="94"/>
      <c r="E104" s="94"/>
    </row>
    <row r="106" spans="2:5" x14ac:dyDescent="0.25">
      <c r="B106" s="31" t="s">
        <v>36</v>
      </c>
    </row>
    <row r="107" spans="2:5" x14ac:dyDescent="0.25">
      <c r="B107" t="s">
        <v>407</v>
      </c>
      <c r="C107" s="144">
        <f>'4.1.1'!C41+'4.1.1'!C42+'4.1.1'!C43</f>
        <v>80615.106059583748</v>
      </c>
      <c r="D107" s="144">
        <f>'4.1.1'!D41+'4.1.1'!D42+'4.1.1'!D43</f>
        <v>80615.106059583748</v>
      </c>
      <c r="E107" s="144">
        <f>'4.1.1'!E41+'4.1.1'!E42+'4.1.1'!E43</f>
        <v>80615.106059583748</v>
      </c>
    </row>
    <row r="108" spans="2:5" x14ac:dyDescent="0.25">
      <c r="B108" t="s">
        <v>408</v>
      </c>
      <c r="C108" s="94">
        <f>C45*C107</f>
        <v>72553.59545362537</v>
      </c>
      <c r="D108" s="94">
        <f t="shared" ref="D108:E108" si="17">D45*D107</f>
        <v>72553.59545362537</v>
      </c>
      <c r="E108" s="94">
        <f t="shared" si="17"/>
        <v>72553.59545362537</v>
      </c>
    </row>
    <row r="109" spans="2:5" x14ac:dyDescent="0.25">
      <c r="B109" t="s">
        <v>409</v>
      </c>
      <c r="C109" s="94">
        <f>C108*C46+C108*C48+C108</f>
        <v>87064.314544350447</v>
      </c>
      <c r="D109" s="94">
        <f>D108*D46+D108*D48+D108</f>
        <v>87064.314544350447</v>
      </c>
      <c r="E109" s="94">
        <f t="shared" ref="E109" si="18">E108*E46+E108*E48+E108</f>
        <v>87064.314544350447</v>
      </c>
    </row>
    <row r="112" spans="2:5" x14ac:dyDescent="0.25">
      <c r="B112" s="96" t="s">
        <v>396</v>
      </c>
      <c r="C112" s="97">
        <f>C32/C50</f>
        <v>14.510719090725075</v>
      </c>
      <c r="D112" s="97">
        <f>D32/D50</f>
        <v>14.510719090725075</v>
      </c>
      <c r="E112" s="97">
        <f>E32/E50</f>
        <v>14.510719090725075</v>
      </c>
    </row>
    <row r="115" spans="2:5" x14ac:dyDescent="0.25">
      <c r="B115" s="2" t="s">
        <v>44</v>
      </c>
    </row>
    <row r="117" spans="2:5" x14ac:dyDescent="0.25">
      <c r="B117" t="s">
        <v>408</v>
      </c>
      <c r="C117" s="94">
        <f>C107*C55</f>
        <v>72553.59545362537</v>
      </c>
      <c r="D117" s="94">
        <f t="shared" ref="D117:E117" si="19">D107*D55</f>
        <v>72553.59545362537</v>
      </c>
      <c r="E117" s="94">
        <f t="shared" si="19"/>
        <v>72553.59545362537</v>
      </c>
    </row>
    <row r="118" spans="2:5" x14ac:dyDescent="0.25">
      <c r="C118" s="94"/>
      <c r="D118" s="94"/>
      <c r="E118" s="94"/>
    </row>
    <row r="119" spans="2:5" x14ac:dyDescent="0.25">
      <c r="B119" t="s">
        <v>414</v>
      </c>
      <c r="C119" s="94">
        <f>C117*C57</f>
        <v>68925.915680944105</v>
      </c>
      <c r="D119" s="94">
        <f t="shared" ref="D119:E119" si="20">D117*D57</f>
        <v>68925.915680944105</v>
      </c>
      <c r="E119" s="94">
        <f t="shared" si="20"/>
        <v>68925.915680944105</v>
      </c>
    </row>
    <row r="120" spans="2:5" x14ac:dyDescent="0.25">
      <c r="B120" t="s">
        <v>415</v>
      </c>
      <c r="C120" s="94">
        <f>C56*C117</f>
        <v>7255.3595453625376</v>
      </c>
      <c r="D120" s="94">
        <f t="shared" ref="D120:E120" si="21">D56*D117</f>
        <v>7255.3595453625376</v>
      </c>
      <c r="E120" s="94">
        <f t="shared" si="21"/>
        <v>7255.3595453625376</v>
      </c>
    </row>
    <row r="121" spans="2:5" x14ac:dyDescent="0.25">
      <c r="B121" t="s">
        <v>413</v>
      </c>
      <c r="C121" s="94">
        <f>SUM(C119:C120)</f>
        <v>76181.275226306636</v>
      </c>
      <c r="D121" s="94">
        <f t="shared" ref="D121:E121" si="22">SUM(D119:D120)</f>
        <v>76181.275226306636</v>
      </c>
      <c r="E121" s="94">
        <f t="shared" si="22"/>
        <v>76181.275226306636</v>
      </c>
    </row>
    <row r="123" spans="2:5" x14ac:dyDescent="0.25">
      <c r="B123" t="s">
        <v>396</v>
      </c>
      <c r="C123" s="94">
        <f>C121/C59</f>
        <v>126.96879204384439</v>
      </c>
      <c r="D123" s="94">
        <f>D121/D59</f>
        <v>126.96879204384439</v>
      </c>
      <c r="E123" s="94">
        <f t="shared" ref="E123" si="23">E121/E59</f>
        <v>126.96879204384439</v>
      </c>
    </row>
  </sheetData>
  <sheetProtection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51"/>
  <sheetViews>
    <sheetView showGridLines="0" workbookViewId="0">
      <pane ySplit="1" topLeftCell="A2" activePane="bottomLeft" state="frozen"/>
      <selection pane="bottomLeft" activeCell="G47" sqref="G47"/>
    </sheetView>
  </sheetViews>
  <sheetFormatPr defaultRowHeight="15" x14ac:dyDescent="0.25"/>
  <cols>
    <col min="1" max="1" width="2.85546875" customWidth="1"/>
    <col min="2" max="2" width="70.28515625" customWidth="1"/>
    <col min="3" max="5" width="18" customWidth="1"/>
    <col min="6" max="6" width="12.28515625" customWidth="1"/>
    <col min="7" max="7" width="19.42578125" customWidth="1"/>
  </cols>
  <sheetData>
    <row r="1" spans="2:5" ht="15.75" x14ac:dyDescent="0.25">
      <c r="B1" s="335" t="str">
        <f>A41</f>
        <v>Inspection, Monitoring and Assessment of Partial Care and ECD services</v>
      </c>
      <c r="C1" s="336" t="s">
        <v>335</v>
      </c>
      <c r="D1" s="337" t="s">
        <v>336</v>
      </c>
      <c r="E1" s="338" t="s">
        <v>337</v>
      </c>
    </row>
    <row r="2" spans="2:5" x14ac:dyDescent="0.25">
      <c r="B2" s="123" t="s">
        <v>331</v>
      </c>
      <c r="C2" s="339">
        <f>SUM(C3:C4)</f>
        <v>902037922.46508467</v>
      </c>
      <c r="D2" s="339">
        <f t="shared" ref="D2:E2" si="0">SUM(D3:D4)</f>
        <v>902037922.46508467</v>
      </c>
      <c r="E2" s="339">
        <f t="shared" si="0"/>
        <v>902037922.46508467</v>
      </c>
    </row>
    <row r="3" spans="2:5" x14ac:dyDescent="0.25">
      <c r="B3" s="126" t="s">
        <v>329</v>
      </c>
      <c r="C3" s="340">
        <f>C10+C17+C24+C31</f>
        <v>902037922.46508467</v>
      </c>
      <c r="D3" s="340">
        <f t="shared" ref="D3:E3" si="1">D10+D17+D24+D31</f>
        <v>902037922.46508467</v>
      </c>
      <c r="E3" s="340">
        <f t="shared" si="1"/>
        <v>902037922.46508467</v>
      </c>
    </row>
    <row r="4" spans="2:5" x14ac:dyDescent="0.25">
      <c r="B4" s="128" t="s">
        <v>330</v>
      </c>
      <c r="C4" s="341">
        <f>C11+C18+C25+C32</f>
        <v>0</v>
      </c>
      <c r="D4" s="341">
        <f t="shared" ref="D4:E4" si="2">D11+D18+D25+D32</f>
        <v>0</v>
      </c>
      <c r="E4" s="341">
        <f t="shared" si="2"/>
        <v>0</v>
      </c>
    </row>
    <row r="5" spans="2:5" x14ac:dyDescent="0.25">
      <c r="B5" s="130" t="s">
        <v>332</v>
      </c>
      <c r="C5" s="339"/>
      <c r="D5" s="339"/>
      <c r="E5" s="339"/>
    </row>
    <row r="6" spans="2:5" x14ac:dyDescent="0.25">
      <c r="B6" s="123" t="s">
        <v>333</v>
      </c>
      <c r="C6" s="404">
        <f>C13+C20+C27+C34</f>
        <v>0</v>
      </c>
      <c r="D6" s="404">
        <f t="shared" ref="D6:E6" si="3">D13+D20+D27+D34</f>
        <v>0</v>
      </c>
      <c r="E6" s="404">
        <f t="shared" si="3"/>
        <v>0</v>
      </c>
    </row>
    <row r="7" spans="2:5" x14ac:dyDescent="0.25">
      <c r="B7" s="123" t="s">
        <v>626</v>
      </c>
      <c r="C7" s="343">
        <f>C3-C6</f>
        <v>902037922.46508467</v>
      </c>
      <c r="D7" s="343">
        <f t="shared" ref="D7:E7" si="4">D3-D6</f>
        <v>902037922.46508467</v>
      </c>
      <c r="E7" s="343">
        <f t="shared" si="4"/>
        <v>902037922.46508467</v>
      </c>
    </row>
    <row r="8" spans="2:5" x14ac:dyDescent="0.25">
      <c r="B8" s="122" t="s">
        <v>418</v>
      </c>
      <c r="C8" s="342"/>
      <c r="D8" s="342"/>
      <c r="E8" s="342"/>
    </row>
    <row r="9" spans="2:5" x14ac:dyDescent="0.25">
      <c r="B9" s="123" t="s">
        <v>331</v>
      </c>
      <c r="C9" s="339">
        <f>SUM(C10:C11)</f>
        <v>725066402.23348415</v>
      </c>
      <c r="D9" s="339">
        <f t="shared" ref="D9:E9" si="5">SUM(D10:D11)</f>
        <v>725066402.23348415</v>
      </c>
      <c r="E9" s="339">
        <f t="shared" si="5"/>
        <v>725066402.23348415</v>
      </c>
    </row>
    <row r="10" spans="2:5" x14ac:dyDescent="0.25">
      <c r="B10" s="126" t="s">
        <v>329</v>
      </c>
      <c r="C10" s="340">
        <f>C37*C47+C48*C49</f>
        <v>725066402.23348415</v>
      </c>
      <c r="D10" s="340">
        <f t="shared" ref="D10:E10" si="6">D37*D47+D48*D49</f>
        <v>725066402.23348415</v>
      </c>
      <c r="E10" s="340">
        <f t="shared" si="6"/>
        <v>725066402.23348415</v>
      </c>
    </row>
    <row r="11" spans="2:5" x14ac:dyDescent="0.25">
      <c r="B11" s="128" t="s">
        <v>330</v>
      </c>
      <c r="C11" s="341"/>
      <c r="D11" s="341"/>
      <c r="E11" s="341"/>
    </row>
    <row r="12" spans="2:5" x14ac:dyDescent="0.25">
      <c r="B12" s="130" t="s">
        <v>332</v>
      </c>
      <c r="C12" s="339"/>
      <c r="D12" s="339"/>
      <c r="E12" s="339"/>
    </row>
    <row r="13" spans="2:5" x14ac:dyDescent="0.25">
      <c r="B13" s="123" t="s">
        <v>333</v>
      </c>
      <c r="C13" s="368"/>
      <c r="D13" s="354"/>
      <c r="E13" s="354"/>
    </row>
    <row r="14" spans="2:5" x14ac:dyDescent="0.25">
      <c r="B14" s="123" t="s">
        <v>626</v>
      </c>
      <c r="C14" s="343">
        <f>C10-C13</f>
        <v>725066402.23348415</v>
      </c>
      <c r="D14" s="343">
        <f t="shared" ref="D14:E14" si="7">D10-D13</f>
        <v>725066402.23348415</v>
      </c>
      <c r="E14" s="343">
        <f t="shared" si="7"/>
        <v>725066402.23348415</v>
      </c>
    </row>
    <row r="15" spans="2:5" x14ac:dyDescent="0.25">
      <c r="B15" s="122" t="s">
        <v>419</v>
      </c>
      <c r="C15" s="342"/>
      <c r="D15" s="342"/>
      <c r="E15" s="342"/>
    </row>
    <row r="16" spans="2:5" x14ac:dyDescent="0.25">
      <c r="B16" s="123" t="s">
        <v>331</v>
      </c>
      <c r="C16" s="339">
        <f>SUM(C17:C18)</f>
        <v>45587842.476694606</v>
      </c>
      <c r="D16" s="339">
        <f t="shared" ref="D16:E16" si="8">SUM(D17:D18)</f>
        <v>45587842.476694606</v>
      </c>
      <c r="E16" s="339">
        <f t="shared" si="8"/>
        <v>45587842.476694606</v>
      </c>
    </row>
    <row r="17" spans="2:5" x14ac:dyDescent="0.25">
      <c r="B17" s="126" t="s">
        <v>329</v>
      </c>
      <c r="C17" s="340">
        <f>C55*C121+C60*C125+C61*C62</f>
        <v>45587842.476694606</v>
      </c>
      <c r="D17" s="340">
        <f t="shared" ref="D17:E17" si="9">D55*D121+D60*D125+D61*D62</f>
        <v>45587842.476694606</v>
      </c>
      <c r="E17" s="340">
        <f t="shared" si="9"/>
        <v>45587842.476694606</v>
      </c>
    </row>
    <row r="18" spans="2:5" x14ac:dyDescent="0.25">
      <c r="B18" s="128" t="s">
        <v>330</v>
      </c>
      <c r="C18" s="341"/>
      <c r="D18" s="341"/>
      <c r="E18" s="341"/>
    </row>
    <row r="19" spans="2:5" x14ac:dyDescent="0.25">
      <c r="B19" s="130" t="s">
        <v>332</v>
      </c>
      <c r="C19" s="339"/>
      <c r="D19" s="339"/>
      <c r="E19" s="339"/>
    </row>
    <row r="20" spans="2:5" x14ac:dyDescent="0.25">
      <c r="B20" s="123" t="s">
        <v>333</v>
      </c>
      <c r="C20" s="368"/>
      <c r="D20" s="354"/>
      <c r="E20" s="354"/>
    </row>
    <row r="21" spans="2:5" x14ac:dyDescent="0.25">
      <c r="B21" s="123" t="s">
        <v>626</v>
      </c>
      <c r="C21" s="343">
        <f>C17-C20</f>
        <v>45587842.476694606</v>
      </c>
      <c r="D21" s="343">
        <f t="shared" ref="D21:E21" si="10">D17-D20</f>
        <v>45587842.476694606</v>
      </c>
      <c r="E21" s="343">
        <f t="shared" si="10"/>
        <v>45587842.476694606</v>
      </c>
    </row>
    <row r="22" spans="2:5" x14ac:dyDescent="0.25">
      <c r="B22" s="122" t="s">
        <v>420</v>
      </c>
      <c r="C22" s="342"/>
      <c r="D22" s="342"/>
      <c r="E22" s="342"/>
    </row>
    <row r="23" spans="2:5" x14ac:dyDescent="0.25">
      <c r="B23" s="123" t="s">
        <v>331</v>
      </c>
      <c r="C23" s="339">
        <f>SUM(C24:C25)</f>
        <v>118403437.02501363</v>
      </c>
      <c r="D23" s="339">
        <f t="shared" ref="D23:E23" si="11">SUM(D24:D25)</f>
        <v>118403437.02501363</v>
      </c>
      <c r="E23" s="339">
        <f t="shared" si="11"/>
        <v>118403437.02501363</v>
      </c>
    </row>
    <row r="24" spans="2:5" x14ac:dyDescent="0.25">
      <c r="B24" s="126" t="s">
        <v>329</v>
      </c>
      <c r="C24" s="340">
        <f>C75*C39+C137</f>
        <v>118403437.02501363</v>
      </c>
      <c r="D24" s="340">
        <f t="shared" ref="D24:E24" si="12">D75*D39+D137</f>
        <v>118403437.02501363</v>
      </c>
      <c r="E24" s="340">
        <f t="shared" si="12"/>
        <v>118403437.02501363</v>
      </c>
    </row>
    <row r="25" spans="2:5" x14ac:dyDescent="0.25">
      <c r="B25" s="128" t="s">
        <v>330</v>
      </c>
      <c r="C25" s="341"/>
      <c r="D25" s="341"/>
      <c r="E25" s="341"/>
    </row>
    <row r="26" spans="2:5" x14ac:dyDescent="0.25">
      <c r="B26" s="130" t="s">
        <v>332</v>
      </c>
      <c r="C26" s="339"/>
      <c r="D26" s="339"/>
      <c r="E26" s="339"/>
    </row>
    <row r="27" spans="2:5" x14ac:dyDescent="0.25">
      <c r="B27" s="123" t="s">
        <v>333</v>
      </c>
      <c r="C27" s="368"/>
      <c r="D27" s="354"/>
      <c r="E27" s="354"/>
    </row>
    <row r="28" spans="2:5" x14ac:dyDescent="0.25">
      <c r="B28" s="123" t="s">
        <v>626</v>
      </c>
      <c r="C28" s="343">
        <f>C24-C27</f>
        <v>118403437.02501363</v>
      </c>
      <c r="D28" s="343">
        <f t="shared" ref="D28:E28" si="13">D24-D27</f>
        <v>118403437.02501363</v>
      </c>
      <c r="E28" s="343">
        <f t="shared" si="13"/>
        <v>118403437.02501363</v>
      </c>
    </row>
    <row r="29" spans="2:5" x14ac:dyDescent="0.25">
      <c r="B29" s="122" t="s">
        <v>421</v>
      </c>
      <c r="C29" s="342"/>
      <c r="D29" s="342"/>
      <c r="E29" s="342"/>
    </row>
    <row r="30" spans="2:5" x14ac:dyDescent="0.25">
      <c r="B30" s="123" t="s">
        <v>331</v>
      </c>
      <c r="C30" s="339">
        <f>SUM(C31:C32)</f>
        <v>12980240.729892407</v>
      </c>
      <c r="D30" s="339">
        <f t="shared" ref="D30:E30" si="14">SUM(D31:D32)</f>
        <v>12980240.729892407</v>
      </c>
      <c r="E30" s="339">
        <f t="shared" si="14"/>
        <v>12980240.729892407</v>
      </c>
    </row>
    <row r="31" spans="2:5" x14ac:dyDescent="0.25">
      <c r="B31" s="126" t="s">
        <v>329</v>
      </c>
      <c r="C31" s="340">
        <f>C85*C139+C88*C142+C91*C145+C94*C148+C96*C95</f>
        <v>12980240.729892407</v>
      </c>
      <c r="D31" s="340">
        <f t="shared" ref="D31:E31" si="15">D85*D139+D88*D142+D91*D145+D94*D148+D96*D95</f>
        <v>12980240.729892407</v>
      </c>
      <c r="E31" s="340">
        <f t="shared" si="15"/>
        <v>12980240.729892407</v>
      </c>
    </row>
    <row r="32" spans="2:5" x14ac:dyDescent="0.25">
      <c r="B32" s="128" t="s">
        <v>330</v>
      </c>
      <c r="C32" s="341"/>
      <c r="D32" s="341"/>
      <c r="E32" s="341"/>
    </row>
    <row r="33" spans="1:5" x14ac:dyDescent="0.25">
      <c r="B33" s="130" t="s">
        <v>332</v>
      </c>
      <c r="C33" s="339"/>
      <c r="D33" s="339"/>
      <c r="E33" s="339"/>
    </row>
    <row r="34" spans="1:5" x14ac:dyDescent="0.25">
      <c r="B34" s="123" t="s">
        <v>333</v>
      </c>
      <c r="C34" s="368"/>
      <c r="D34" s="354"/>
      <c r="E34" s="354"/>
    </row>
    <row r="35" spans="1:5" x14ac:dyDescent="0.25">
      <c r="B35" s="123" t="s">
        <v>626</v>
      </c>
      <c r="C35" s="343">
        <f>C31-C34</f>
        <v>12980240.729892407</v>
      </c>
      <c r="D35" s="343">
        <f t="shared" ref="D35:E35" si="16">D31-D34</f>
        <v>12980240.729892407</v>
      </c>
      <c r="E35" s="343">
        <f t="shared" si="16"/>
        <v>12980240.729892407</v>
      </c>
    </row>
    <row r="36" spans="1:5" x14ac:dyDescent="0.25">
      <c r="B36" s="31" t="s">
        <v>562</v>
      </c>
      <c r="C36" s="30"/>
      <c r="D36" s="30"/>
      <c r="E36" s="30"/>
    </row>
    <row r="37" spans="1:5" x14ac:dyDescent="0.25">
      <c r="B37" s="32" t="s">
        <v>728</v>
      </c>
      <c r="C37" s="133">
        <f>C44*ECD_Facilities</f>
        <v>399119.12049549591</v>
      </c>
      <c r="D37" s="133">
        <f>D44*ECD_Facilities</f>
        <v>399119.12049549591</v>
      </c>
      <c r="E37" s="133">
        <f>E44*ECD_Facilities</f>
        <v>399119.12049549591</v>
      </c>
    </row>
    <row r="38" spans="1:5" x14ac:dyDescent="0.25">
      <c r="B38" s="130" t="s">
        <v>729</v>
      </c>
      <c r="C38" s="153">
        <f>C142+C145+C148</f>
        <v>1995.5956024774796</v>
      </c>
      <c r="D38" s="153">
        <f t="shared" ref="D38:E38" si="17">D142+D145+D148</f>
        <v>1995.5956024774796</v>
      </c>
      <c r="E38" s="153">
        <f t="shared" si="17"/>
        <v>1995.5956024774796</v>
      </c>
    </row>
    <row r="39" spans="1:5" x14ac:dyDescent="0.25">
      <c r="B39" s="154" t="s">
        <v>730</v>
      </c>
      <c r="C39" s="150">
        <f>ECD_Facilities_registered*C73</f>
        <v>18138.398863406343</v>
      </c>
      <c r="D39" s="150">
        <f>ECD_Facilities_registered*D73</f>
        <v>18138.398863406343</v>
      </c>
      <c r="E39" s="150">
        <f>ECD_Facilities_registered*E73</f>
        <v>18138.398863406343</v>
      </c>
    </row>
    <row r="40" spans="1:5" x14ac:dyDescent="0.25">
      <c r="B40" s="30"/>
      <c r="C40" s="30"/>
      <c r="D40" s="30"/>
      <c r="E40" s="30"/>
    </row>
    <row r="41" spans="1:5" s="389" customFormat="1" x14ac:dyDescent="0.25">
      <c r="A41" s="385" t="s">
        <v>50</v>
      </c>
      <c r="B41" s="384"/>
      <c r="C41" s="384"/>
      <c r="D41" s="384"/>
      <c r="E41" s="384"/>
    </row>
    <row r="42" spans="1:5" x14ac:dyDescent="0.25">
      <c r="B42" s="122" t="s">
        <v>22</v>
      </c>
      <c r="C42" s="54"/>
      <c r="D42" s="54"/>
      <c r="E42" s="54"/>
    </row>
    <row r="43" spans="1:5" x14ac:dyDescent="0.25">
      <c r="A43" s="3"/>
      <c r="B43" s="386" t="s">
        <v>418</v>
      </c>
      <c r="C43" s="180"/>
      <c r="D43" s="180"/>
      <c r="E43" s="180"/>
    </row>
    <row r="44" spans="1:5" x14ac:dyDescent="0.25">
      <c r="A44" s="3"/>
      <c r="B44" s="32" t="s">
        <v>416</v>
      </c>
      <c r="C44" s="114">
        <v>4</v>
      </c>
      <c r="D44" s="186">
        <v>4</v>
      </c>
      <c r="E44" s="186">
        <v>4</v>
      </c>
    </row>
    <row r="45" spans="1:5" x14ac:dyDescent="0.25">
      <c r="A45" s="3"/>
      <c r="B45" s="32" t="s">
        <v>52</v>
      </c>
      <c r="C45" s="114">
        <v>2</v>
      </c>
      <c r="D45" s="186">
        <v>2</v>
      </c>
      <c r="E45" s="186">
        <v>2</v>
      </c>
    </row>
    <row r="46" spans="1:5" x14ac:dyDescent="0.25">
      <c r="A46" s="3"/>
      <c r="B46" s="32" t="s">
        <v>53</v>
      </c>
      <c r="C46" s="114">
        <v>600</v>
      </c>
      <c r="D46" s="186">
        <v>600</v>
      </c>
      <c r="E46" s="186">
        <v>600</v>
      </c>
    </row>
    <row r="47" spans="1:5" x14ac:dyDescent="0.25">
      <c r="A47" s="3"/>
      <c r="B47" s="32" t="s">
        <v>18</v>
      </c>
      <c r="C47" s="344">
        <v>1500</v>
      </c>
      <c r="D47" s="345">
        <v>1500</v>
      </c>
      <c r="E47" s="345">
        <v>1500</v>
      </c>
    </row>
    <row r="48" spans="1:5" x14ac:dyDescent="0.25">
      <c r="A48" s="3"/>
      <c r="B48" s="32" t="s">
        <v>552</v>
      </c>
      <c r="C48" s="344">
        <v>95000</v>
      </c>
      <c r="D48" s="345">
        <v>95000</v>
      </c>
      <c r="E48" s="345">
        <v>95000</v>
      </c>
    </row>
    <row r="49" spans="1:5" x14ac:dyDescent="0.25">
      <c r="A49" s="3"/>
      <c r="B49" s="181" t="s">
        <v>561</v>
      </c>
      <c r="C49" s="192">
        <f>C117*C45</f>
        <v>1330.3970683183197</v>
      </c>
      <c r="D49" s="192">
        <f t="shared" ref="D49:E49" si="18">D117*D45</f>
        <v>1330.3970683183197</v>
      </c>
      <c r="E49" s="192">
        <f t="shared" si="18"/>
        <v>1330.3970683183197</v>
      </c>
    </row>
    <row r="50" spans="1:5" x14ac:dyDescent="0.25">
      <c r="A50" s="3"/>
      <c r="B50" s="387" t="s">
        <v>419</v>
      </c>
      <c r="C50" s="180"/>
      <c r="D50" s="180"/>
      <c r="E50" s="180"/>
    </row>
    <row r="51" spans="1:5" x14ac:dyDescent="0.25">
      <c r="A51" s="3"/>
      <c r="B51" s="30" t="s">
        <v>57</v>
      </c>
      <c r="C51" s="30"/>
      <c r="D51" s="30"/>
      <c r="E51" s="30"/>
    </row>
    <row r="52" spans="1:5" x14ac:dyDescent="0.25">
      <c r="A52" s="3"/>
      <c r="B52" s="232" t="s">
        <v>56</v>
      </c>
      <c r="C52" s="226">
        <v>0.1</v>
      </c>
      <c r="D52" s="239">
        <v>0.1</v>
      </c>
      <c r="E52" s="239">
        <v>0.1</v>
      </c>
    </row>
    <row r="53" spans="1:5" x14ac:dyDescent="0.25">
      <c r="A53" s="3"/>
      <c r="B53" s="170" t="s">
        <v>58</v>
      </c>
      <c r="C53" s="114">
        <v>2</v>
      </c>
      <c r="D53" s="186">
        <v>2</v>
      </c>
      <c r="E53" s="186">
        <v>2</v>
      </c>
    </row>
    <row r="54" spans="1:5" x14ac:dyDescent="0.25">
      <c r="A54" s="3"/>
      <c r="B54" s="170" t="s">
        <v>59</v>
      </c>
      <c r="C54" s="114">
        <v>50</v>
      </c>
      <c r="D54" s="186">
        <v>50</v>
      </c>
      <c r="E54" s="186">
        <v>50</v>
      </c>
    </row>
    <row r="55" spans="1:5" x14ac:dyDescent="0.25">
      <c r="A55" s="3"/>
      <c r="B55" s="170" t="s">
        <v>61</v>
      </c>
      <c r="C55" s="344">
        <v>50</v>
      </c>
      <c r="D55" s="345">
        <v>50</v>
      </c>
      <c r="E55" s="345">
        <v>50</v>
      </c>
    </row>
    <row r="56" spans="1:5" x14ac:dyDescent="0.25">
      <c r="A56" s="3"/>
      <c r="B56" s="167" t="s">
        <v>60</v>
      </c>
      <c r="C56" s="167"/>
      <c r="D56" s="167"/>
      <c r="E56" s="167"/>
    </row>
    <row r="57" spans="1:5" x14ac:dyDescent="0.25">
      <c r="A57" s="3"/>
      <c r="B57" s="170" t="s">
        <v>56</v>
      </c>
      <c r="C57" s="121">
        <v>0.12</v>
      </c>
      <c r="D57" s="187">
        <v>0.12</v>
      </c>
      <c r="E57" s="187">
        <v>0.12</v>
      </c>
    </row>
    <row r="58" spans="1:5" x14ac:dyDescent="0.25">
      <c r="A58" s="3"/>
      <c r="B58" s="170" t="s">
        <v>58</v>
      </c>
      <c r="C58" s="114">
        <v>1</v>
      </c>
      <c r="D58" s="186">
        <v>1</v>
      </c>
      <c r="E58" s="186">
        <v>1</v>
      </c>
    </row>
    <row r="59" spans="1:5" x14ac:dyDescent="0.25">
      <c r="A59" s="3"/>
      <c r="B59" s="170" t="s">
        <v>62</v>
      </c>
      <c r="C59" s="114">
        <v>180</v>
      </c>
      <c r="D59" s="186">
        <v>180</v>
      </c>
      <c r="E59" s="186">
        <v>180</v>
      </c>
    </row>
    <row r="60" spans="1:5" x14ac:dyDescent="0.25">
      <c r="A60" s="3"/>
      <c r="B60" s="170" t="s">
        <v>63</v>
      </c>
      <c r="C60" s="344">
        <v>1500</v>
      </c>
      <c r="D60" s="345">
        <v>1500</v>
      </c>
      <c r="E60" s="345">
        <v>1500</v>
      </c>
    </row>
    <row r="61" spans="1:5" x14ac:dyDescent="0.25">
      <c r="A61" s="3"/>
      <c r="B61" s="170" t="s">
        <v>553</v>
      </c>
      <c r="C61" s="344">
        <v>95000</v>
      </c>
      <c r="D61" s="345">
        <v>95000</v>
      </c>
      <c r="E61" s="345">
        <v>95000</v>
      </c>
    </row>
    <row r="62" spans="1:5" x14ac:dyDescent="0.25">
      <c r="A62" s="3"/>
      <c r="B62" s="233" t="s">
        <v>559</v>
      </c>
      <c r="C62" s="192">
        <f>C123+C127</f>
        <v>338.58344545025176</v>
      </c>
      <c r="D62" s="192">
        <f>D123+D127</f>
        <v>338.58344545025176</v>
      </c>
      <c r="E62" s="192">
        <f t="shared" ref="E62" si="19">E123+E127</f>
        <v>338.58344545025176</v>
      </c>
    </row>
    <row r="63" spans="1:5" x14ac:dyDescent="0.25">
      <c r="A63" s="3"/>
      <c r="B63" s="387" t="s">
        <v>420</v>
      </c>
      <c r="C63" s="180"/>
      <c r="D63" s="180"/>
      <c r="E63" s="180"/>
    </row>
    <row r="64" spans="1:5" x14ac:dyDescent="0.25">
      <c r="A64" s="3"/>
      <c r="B64" s="30" t="s">
        <v>65</v>
      </c>
      <c r="C64" s="30"/>
      <c r="D64" s="30"/>
      <c r="E64" s="30"/>
    </row>
    <row r="65" spans="1:5" x14ac:dyDescent="0.25">
      <c r="A65" s="3"/>
      <c r="B65" s="170" t="s">
        <v>66</v>
      </c>
      <c r="C65" s="114">
        <v>1</v>
      </c>
      <c r="D65" s="186">
        <v>1</v>
      </c>
      <c r="E65" s="186">
        <v>1</v>
      </c>
    </row>
    <row r="66" spans="1:5" x14ac:dyDescent="0.25">
      <c r="A66" s="3"/>
      <c r="B66" s="170" t="s">
        <v>67</v>
      </c>
      <c r="C66" s="114">
        <v>1</v>
      </c>
      <c r="D66" s="186">
        <v>1</v>
      </c>
      <c r="E66" s="186">
        <v>1</v>
      </c>
    </row>
    <row r="67" spans="1:5" x14ac:dyDescent="0.25">
      <c r="A67" s="3"/>
      <c r="B67" s="170" t="s">
        <v>68</v>
      </c>
      <c r="C67" s="114">
        <v>1</v>
      </c>
      <c r="D67" s="186">
        <v>1</v>
      </c>
      <c r="E67" s="186">
        <v>1</v>
      </c>
    </row>
    <row r="68" spans="1:5" x14ac:dyDescent="0.25">
      <c r="A68" s="3"/>
      <c r="B68" s="170" t="s">
        <v>70</v>
      </c>
      <c r="C68" s="114">
        <v>1</v>
      </c>
      <c r="D68" s="186">
        <v>1</v>
      </c>
      <c r="E68" s="186">
        <v>1</v>
      </c>
    </row>
    <row r="69" spans="1:5" x14ac:dyDescent="0.25">
      <c r="A69" s="3"/>
      <c r="B69" s="234" t="s">
        <v>554</v>
      </c>
      <c r="C69" s="346">
        <v>170000</v>
      </c>
      <c r="D69" s="347">
        <v>170000</v>
      </c>
      <c r="E69" s="347">
        <v>170000</v>
      </c>
    </row>
    <row r="70" spans="1:5" x14ac:dyDescent="0.25">
      <c r="A70" s="3"/>
      <c r="B70" s="235" t="s">
        <v>555</v>
      </c>
      <c r="C70" s="368">
        <v>130000</v>
      </c>
      <c r="D70" s="354">
        <v>130000</v>
      </c>
      <c r="E70" s="354">
        <v>130000</v>
      </c>
    </row>
    <row r="71" spans="1:5" x14ac:dyDescent="0.25">
      <c r="A71" s="3"/>
      <c r="B71" s="235" t="s">
        <v>556</v>
      </c>
      <c r="C71" s="368">
        <v>160000</v>
      </c>
      <c r="D71" s="354">
        <v>160000</v>
      </c>
      <c r="E71" s="354">
        <v>160000</v>
      </c>
    </row>
    <row r="72" spans="1:5" x14ac:dyDescent="0.25">
      <c r="A72" s="3"/>
      <c r="B72" s="236" t="s">
        <v>557</v>
      </c>
      <c r="C72" s="372">
        <v>175000</v>
      </c>
      <c r="D72" s="373">
        <v>175000</v>
      </c>
      <c r="E72" s="373">
        <v>175000</v>
      </c>
    </row>
    <row r="73" spans="1:5" x14ac:dyDescent="0.25">
      <c r="A73" s="3"/>
      <c r="B73" s="30" t="s">
        <v>623</v>
      </c>
      <c r="C73" s="121">
        <v>0.25</v>
      </c>
      <c r="D73" s="187">
        <v>0.25</v>
      </c>
      <c r="E73" s="187">
        <v>0.25</v>
      </c>
    </row>
    <row r="74" spans="1:5" x14ac:dyDescent="0.25">
      <c r="A74" s="3"/>
      <c r="B74" s="30" t="s">
        <v>71</v>
      </c>
      <c r="C74" s="114">
        <v>180</v>
      </c>
      <c r="D74" s="186">
        <v>180</v>
      </c>
      <c r="E74" s="186">
        <v>180</v>
      </c>
    </row>
    <row r="75" spans="1:5" x14ac:dyDescent="0.25">
      <c r="A75" s="3"/>
      <c r="B75" s="30" t="s">
        <v>72</v>
      </c>
      <c r="C75" s="344">
        <v>3000</v>
      </c>
      <c r="D75" s="345">
        <v>3000</v>
      </c>
      <c r="E75" s="345">
        <v>3000</v>
      </c>
    </row>
    <row r="76" spans="1:5" x14ac:dyDescent="0.25">
      <c r="A76" s="3"/>
      <c r="B76" s="181" t="s">
        <v>428</v>
      </c>
      <c r="C76" s="237">
        <f>C39/C74</f>
        <v>100.76888257447968</v>
      </c>
      <c r="D76" s="237">
        <f t="shared" ref="D76:E76" si="20">D39/D74</f>
        <v>100.76888257447968</v>
      </c>
      <c r="E76" s="237">
        <f t="shared" si="20"/>
        <v>100.76888257447968</v>
      </c>
    </row>
    <row r="77" spans="1:5" x14ac:dyDescent="0.25">
      <c r="A77" s="3"/>
      <c r="B77" s="386" t="s">
        <v>421</v>
      </c>
      <c r="C77" s="180"/>
      <c r="D77" s="180"/>
      <c r="E77" s="180"/>
    </row>
    <row r="78" spans="1:5" x14ac:dyDescent="0.25">
      <c r="A78" s="3"/>
      <c r="B78" s="30" t="s">
        <v>74</v>
      </c>
      <c r="C78" s="113">
        <v>0.02</v>
      </c>
      <c r="D78" s="197">
        <v>0.02</v>
      </c>
      <c r="E78" s="197">
        <v>0.02</v>
      </c>
    </row>
    <row r="79" spans="1:5" x14ac:dyDescent="0.25">
      <c r="A79" s="3"/>
      <c r="B79" s="167" t="s">
        <v>75</v>
      </c>
      <c r="C79" s="167"/>
      <c r="D79" s="167"/>
      <c r="E79" s="167"/>
    </row>
    <row r="80" spans="1:5" x14ac:dyDescent="0.25">
      <c r="A80" s="3"/>
      <c r="B80" s="170" t="s">
        <v>735</v>
      </c>
      <c r="C80" s="113">
        <v>0.5</v>
      </c>
      <c r="D80" s="197">
        <v>0.5</v>
      </c>
      <c r="E80" s="197">
        <v>0.5</v>
      </c>
    </row>
    <row r="81" spans="1:5" x14ac:dyDescent="0.25">
      <c r="A81" s="3"/>
      <c r="B81" s="170" t="s">
        <v>736</v>
      </c>
      <c r="C81" s="113">
        <v>0.3</v>
      </c>
      <c r="D81" s="197">
        <v>0.3</v>
      </c>
      <c r="E81" s="197">
        <v>0.3</v>
      </c>
    </row>
    <row r="82" spans="1:5" x14ac:dyDescent="0.25">
      <c r="A82" s="3"/>
      <c r="B82" s="170" t="s">
        <v>737</v>
      </c>
      <c r="C82" s="113">
        <v>0.2</v>
      </c>
      <c r="D82" s="197">
        <v>0.2</v>
      </c>
      <c r="E82" s="197">
        <v>0.2</v>
      </c>
    </row>
    <row r="83" spans="1:5" x14ac:dyDescent="0.25">
      <c r="A83" s="3"/>
      <c r="B83" s="160" t="s">
        <v>79</v>
      </c>
      <c r="C83" s="160"/>
      <c r="D83" s="160"/>
      <c r="E83" s="160"/>
    </row>
    <row r="84" spans="1:5" x14ac:dyDescent="0.25">
      <c r="A84" s="3"/>
      <c r="B84" s="168" t="s">
        <v>80</v>
      </c>
      <c r="C84" s="164">
        <v>180</v>
      </c>
      <c r="D84" s="173">
        <v>180</v>
      </c>
      <c r="E84" s="173">
        <v>180</v>
      </c>
    </row>
    <row r="85" spans="1:5" x14ac:dyDescent="0.25">
      <c r="A85" s="3"/>
      <c r="B85" s="169" t="s">
        <v>81</v>
      </c>
      <c r="C85" s="376">
        <v>1500</v>
      </c>
      <c r="D85" s="377">
        <v>1500</v>
      </c>
      <c r="E85" s="377">
        <v>1500</v>
      </c>
    </row>
    <row r="86" spans="1:5" x14ac:dyDescent="0.25">
      <c r="A86" s="3"/>
      <c r="B86" s="30" t="s">
        <v>738</v>
      </c>
      <c r="C86" s="30"/>
      <c r="D86" s="30"/>
      <c r="E86" s="30"/>
    </row>
    <row r="87" spans="1:5" x14ac:dyDescent="0.25">
      <c r="A87" s="3"/>
      <c r="B87" s="170" t="s">
        <v>80</v>
      </c>
      <c r="C87" s="114">
        <v>150</v>
      </c>
      <c r="D87" s="186">
        <v>150</v>
      </c>
      <c r="E87" s="186">
        <v>150</v>
      </c>
    </row>
    <row r="88" spans="1:5" x14ac:dyDescent="0.25">
      <c r="A88" s="3"/>
      <c r="B88" s="170" t="s">
        <v>81</v>
      </c>
      <c r="C88" s="344">
        <v>1000</v>
      </c>
      <c r="D88" s="345">
        <v>1000</v>
      </c>
      <c r="E88" s="345">
        <v>1000</v>
      </c>
    </row>
    <row r="89" spans="1:5" x14ac:dyDescent="0.25">
      <c r="A89" s="3"/>
      <c r="B89" s="160" t="s">
        <v>739</v>
      </c>
      <c r="C89" s="160"/>
      <c r="D89" s="160"/>
      <c r="E89" s="160"/>
    </row>
    <row r="90" spans="1:5" x14ac:dyDescent="0.25">
      <c r="A90" s="3"/>
      <c r="B90" s="170" t="s">
        <v>80</v>
      </c>
      <c r="C90" s="114">
        <v>100</v>
      </c>
      <c r="D90" s="186">
        <v>100</v>
      </c>
      <c r="E90" s="186">
        <v>100</v>
      </c>
    </row>
    <row r="91" spans="1:5" x14ac:dyDescent="0.25">
      <c r="A91" s="3"/>
      <c r="B91" s="170" t="s">
        <v>81</v>
      </c>
      <c r="C91" s="344">
        <v>3000</v>
      </c>
      <c r="D91" s="345">
        <v>3000</v>
      </c>
      <c r="E91" s="345">
        <v>3000</v>
      </c>
    </row>
    <row r="92" spans="1:5" x14ac:dyDescent="0.25">
      <c r="A92" s="3"/>
      <c r="B92" s="160" t="s">
        <v>792</v>
      </c>
      <c r="C92" s="160"/>
      <c r="D92" s="160"/>
      <c r="E92" s="160"/>
    </row>
    <row r="93" spans="1:5" x14ac:dyDescent="0.25">
      <c r="A93" s="3"/>
      <c r="B93" s="168" t="s">
        <v>80</v>
      </c>
      <c r="C93" s="164">
        <v>40</v>
      </c>
      <c r="D93" s="173">
        <v>40</v>
      </c>
      <c r="E93" s="173">
        <v>40</v>
      </c>
    </row>
    <row r="94" spans="1:5" x14ac:dyDescent="0.25">
      <c r="A94" s="3"/>
      <c r="B94" s="168" t="s">
        <v>81</v>
      </c>
      <c r="C94" s="368">
        <v>10000</v>
      </c>
      <c r="D94" s="354">
        <v>10000</v>
      </c>
      <c r="E94" s="354">
        <v>10000</v>
      </c>
    </row>
    <row r="95" spans="1:5" x14ac:dyDescent="0.25">
      <c r="A95" s="3"/>
      <c r="B95" s="168" t="s">
        <v>558</v>
      </c>
      <c r="C95" s="368">
        <v>95000</v>
      </c>
      <c r="D95" s="354">
        <v>95000</v>
      </c>
      <c r="E95" s="354">
        <v>95000</v>
      </c>
    </row>
    <row r="96" spans="1:5" x14ac:dyDescent="0.25">
      <c r="A96" s="3"/>
      <c r="B96" s="238" t="s">
        <v>560</v>
      </c>
      <c r="C96" s="147">
        <f>C140+C143+C146+C149</f>
        <v>33.703392397397437</v>
      </c>
      <c r="D96" s="147">
        <f t="shared" ref="D96:E96" si="21">D140+D143+D146+D149</f>
        <v>33.703392397397437</v>
      </c>
      <c r="E96" s="147">
        <f t="shared" si="21"/>
        <v>33.703392397397437</v>
      </c>
    </row>
    <row r="97" spans="1:1" x14ac:dyDescent="0.25">
      <c r="A97" s="3"/>
    </row>
    <row r="98" spans="1:1" x14ac:dyDescent="0.25">
      <c r="A98" s="3"/>
    </row>
    <row r="99" spans="1:1" x14ac:dyDescent="0.25">
      <c r="A99" s="3"/>
    </row>
    <row r="100" spans="1:1" x14ac:dyDescent="0.25">
      <c r="A100" s="3"/>
    </row>
    <row r="101" spans="1:1" x14ac:dyDescent="0.25">
      <c r="A101" s="3"/>
    </row>
    <row r="114" spans="1:5" hidden="1" x14ac:dyDescent="0.25">
      <c r="A114" t="s">
        <v>338</v>
      </c>
    </row>
    <row r="115" spans="1:5" hidden="1" x14ac:dyDescent="0.25">
      <c r="B115" s="1" t="s">
        <v>55</v>
      </c>
    </row>
    <row r="116" spans="1:5" hidden="1" x14ac:dyDescent="0.25"/>
    <row r="117" spans="1:5" hidden="1" x14ac:dyDescent="0.25">
      <c r="B117" t="s">
        <v>417</v>
      </c>
      <c r="C117" s="108">
        <f>C37/C46</f>
        <v>665.19853415915986</v>
      </c>
      <c r="D117" s="108">
        <f t="shared" ref="D117:E117" si="22">D37/D46</f>
        <v>665.19853415915986</v>
      </c>
      <c r="E117" s="108">
        <f t="shared" si="22"/>
        <v>665.19853415915986</v>
      </c>
    </row>
    <row r="118" spans="1:5" hidden="1" x14ac:dyDescent="0.25"/>
    <row r="119" spans="1:5" hidden="1" x14ac:dyDescent="0.25">
      <c r="C119" s="108"/>
      <c r="D119" s="108"/>
      <c r="E119" s="108"/>
    </row>
    <row r="120" spans="1:5" hidden="1" x14ac:dyDescent="0.25">
      <c r="B120" s="1" t="s">
        <v>54</v>
      </c>
      <c r="C120" s="108"/>
      <c r="D120" s="108"/>
      <c r="E120" s="108"/>
    </row>
    <row r="121" spans="1:5" hidden="1" x14ac:dyDescent="0.25">
      <c r="B121" t="s">
        <v>426</v>
      </c>
      <c r="C121" s="108">
        <f>C52*ECD_Facilities_registered</f>
        <v>7255.3595453625376</v>
      </c>
      <c r="D121" s="108">
        <f>D52*ECD_Facilities_registered</f>
        <v>7255.3595453625376</v>
      </c>
      <c r="E121" s="108">
        <f>E52*ECD_Facilities_registered</f>
        <v>7255.3595453625376</v>
      </c>
    </row>
    <row r="122" spans="1:5" hidden="1" x14ac:dyDescent="0.25">
      <c r="B122" t="s">
        <v>422</v>
      </c>
      <c r="C122" s="108">
        <f>C121/C54</f>
        <v>145.10719090725075</v>
      </c>
      <c r="D122" s="479">
        <f>D121/D54</f>
        <v>145.10719090725075</v>
      </c>
      <c r="E122" s="108">
        <f t="shared" ref="E122" si="23">E121/E54</f>
        <v>145.10719090725075</v>
      </c>
    </row>
    <row r="123" spans="1:5" hidden="1" x14ac:dyDescent="0.25">
      <c r="B123" s="96" t="s">
        <v>423</v>
      </c>
      <c r="C123" s="478">
        <f>C122*C53</f>
        <v>290.21438181450151</v>
      </c>
      <c r="D123" s="478">
        <f>D122*D53</f>
        <v>290.21438181450151</v>
      </c>
      <c r="E123" s="145">
        <f t="shared" ref="E123" si="24">E122*E53</f>
        <v>290.21438181450151</v>
      </c>
    </row>
    <row r="124" spans="1:5" hidden="1" x14ac:dyDescent="0.25">
      <c r="C124" s="108"/>
      <c r="D124" s="108"/>
      <c r="E124" s="108"/>
    </row>
    <row r="125" spans="1:5" hidden="1" x14ac:dyDescent="0.25">
      <c r="B125" t="s">
        <v>427</v>
      </c>
      <c r="C125" s="108">
        <f>C57*ECD_Facilities_registered</f>
        <v>8706.4314544350436</v>
      </c>
      <c r="D125" s="108">
        <f>D57*ECD_Facilities_registered</f>
        <v>8706.4314544350436</v>
      </c>
      <c r="E125" s="108">
        <f>E57*ECD_Facilities_registered</f>
        <v>8706.4314544350436</v>
      </c>
    </row>
    <row r="126" spans="1:5" hidden="1" x14ac:dyDescent="0.25">
      <c r="B126" t="s">
        <v>424</v>
      </c>
      <c r="C126" s="108">
        <f>C125/C59</f>
        <v>48.369063635750244</v>
      </c>
      <c r="D126" s="108">
        <f t="shared" ref="D126:E126" si="25">D125/D59</f>
        <v>48.369063635750244</v>
      </c>
      <c r="E126" s="108">
        <f t="shared" si="25"/>
        <v>48.369063635750244</v>
      </c>
    </row>
    <row r="127" spans="1:5" hidden="1" x14ac:dyDescent="0.25">
      <c r="B127" s="96" t="s">
        <v>425</v>
      </c>
      <c r="C127" s="145">
        <f>C126*C58</f>
        <v>48.369063635750244</v>
      </c>
      <c r="D127" s="145">
        <f t="shared" ref="D127:E127" si="26">D126*D58</f>
        <v>48.369063635750244</v>
      </c>
      <c r="E127" s="145">
        <f t="shared" si="26"/>
        <v>48.369063635750244</v>
      </c>
    </row>
    <row r="128" spans="1:5" hidden="1" x14ac:dyDescent="0.25">
      <c r="C128" s="108"/>
      <c r="D128" s="108"/>
      <c r="E128" s="108"/>
    </row>
    <row r="129" spans="2:5" hidden="1" x14ac:dyDescent="0.25">
      <c r="B129" s="1" t="s">
        <v>64</v>
      </c>
      <c r="C129" s="108"/>
      <c r="D129" s="108"/>
      <c r="E129" s="108"/>
    </row>
    <row r="130" spans="2:5" hidden="1" x14ac:dyDescent="0.25"/>
    <row r="131" spans="2:5" hidden="1" x14ac:dyDescent="0.25"/>
    <row r="132" spans="2:5" hidden="1" x14ac:dyDescent="0.25">
      <c r="B132" t="s">
        <v>429</v>
      </c>
      <c r="C132" s="108"/>
      <c r="D132" s="108"/>
      <c r="E132" s="108"/>
    </row>
    <row r="133" spans="2:5" hidden="1" x14ac:dyDescent="0.25">
      <c r="B133" s="104" t="s">
        <v>66</v>
      </c>
      <c r="C133" s="145">
        <f>C65*C$76</f>
        <v>100.76888257447968</v>
      </c>
      <c r="D133" s="145">
        <f t="shared" ref="D133:E133" si="27">D65*D$76</f>
        <v>100.76888257447968</v>
      </c>
      <c r="E133" s="145">
        <f t="shared" si="27"/>
        <v>100.76888257447968</v>
      </c>
    </row>
    <row r="134" spans="2:5" hidden="1" x14ac:dyDescent="0.25">
      <c r="B134" s="104" t="s">
        <v>67</v>
      </c>
      <c r="C134" s="145">
        <f>C66*C$76</f>
        <v>100.76888257447968</v>
      </c>
      <c r="D134" s="145">
        <f t="shared" ref="D134:E134" si="28">D66*D$76</f>
        <v>100.76888257447968</v>
      </c>
      <c r="E134" s="145">
        <f t="shared" si="28"/>
        <v>100.76888257447968</v>
      </c>
    </row>
    <row r="135" spans="2:5" hidden="1" x14ac:dyDescent="0.25">
      <c r="B135" s="104" t="s">
        <v>68</v>
      </c>
      <c r="C135" s="145">
        <f>C67*C$76</f>
        <v>100.76888257447968</v>
      </c>
      <c r="D135" s="145">
        <f t="shared" ref="D135:E135" si="29">D67*D$76</f>
        <v>100.76888257447968</v>
      </c>
      <c r="E135" s="145">
        <f t="shared" si="29"/>
        <v>100.76888257447968</v>
      </c>
    </row>
    <row r="136" spans="2:5" hidden="1" x14ac:dyDescent="0.25">
      <c r="B136" s="104" t="s">
        <v>70</v>
      </c>
      <c r="C136" s="145">
        <f>C68*C$76</f>
        <v>100.76888257447968</v>
      </c>
      <c r="D136" s="145">
        <f t="shared" ref="D136:E136" si="30">D68*D$76</f>
        <v>100.76888257447968</v>
      </c>
      <c r="E136" s="145">
        <f t="shared" si="30"/>
        <v>100.76888257447968</v>
      </c>
    </row>
    <row r="137" spans="2:5" hidden="1" x14ac:dyDescent="0.25">
      <c r="B137" s="104" t="s">
        <v>563</v>
      </c>
      <c r="C137" s="108">
        <f>C133*C69+C134*C70+C135*C71+C136*C72</f>
        <v>63988240.43479459</v>
      </c>
      <c r="D137" s="108">
        <f t="shared" ref="D137:E137" si="31">D133*D69+D134*D70+D135*D71+D136*D72</f>
        <v>63988240.43479459</v>
      </c>
      <c r="E137" s="108">
        <f t="shared" si="31"/>
        <v>63988240.43479459</v>
      </c>
    </row>
    <row r="138" spans="2:5" hidden="1" x14ac:dyDescent="0.25">
      <c r="B138" s="1" t="s">
        <v>73</v>
      </c>
      <c r="C138" s="108"/>
      <c r="D138" s="108"/>
      <c r="E138" s="108"/>
    </row>
    <row r="139" spans="2:5" hidden="1" x14ac:dyDescent="0.25">
      <c r="B139" s="105" t="s">
        <v>430</v>
      </c>
      <c r="C139" s="108">
        <f>C78*ECD_Facilities</f>
        <v>1995.5956024774796</v>
      </c>
      <c r="D139" s="108">
        <f>D78*ECD_Facilities</f>
        <v>1995.5956024774796</v>
      </c>
      <c r="E139" s="108">
        <f>E78*ECD_Facilities</f>
        <v>1995.5956024774796</v>
      </c>
    </row>
    <row r="140" spans="2:5" hidden="1" x14ac:dyDescent="0.25">
      <c r="B140" s="104" t="s">
        <v>437</v>
      </c>
      <c r="C140" s="145">
        <f>C139/C84</f>
        <v>11.086642235985998</v>
      </c>
      <c r="D140" s="145">
        <f t="shared" ref="D140:E140" si="32">D139/D84</f>
        <v>11.086642235985998</v>
      </c>
      <c r="E140" s="145">
        <f t="shared" si="32"/>
        <v>11.086642235985998</v>
      </c>
    </row>
    <row r="141" spans="2:5" hidden="1" x14ac:dyDescent="0.25">
      <c r="B141" s="106"/>
      <c r="C141" s="108"/>
      <c r="D141" s="108"/>
      <c r="E141" s="108"/>
    </row>
    <row r="142" spans="2:5" hidden="1" x14ac:dyDescent="0.25">
      <c r="B142" s="13" t="s">
        <v>431</v>
      </c>
      <c r="C142" s="108">
        <f>C80*C139</f>
        <v>997.79780123873979</v>
      </c>
      <c r="D142" s="108">
        <f t="shared" ref="D142:E142" si="33">D80*D139</f>
        <v>997.79780123873979</v>
      </c>
      <c r="E142" s="108">
        <f t="shared" si="33"/>
        <v>997.79780123873979</v>
      </c>
    </row>
    <row r="143" spans="2:5" hidden="1" x14ac:dyDescent="0.25">
      <c r="B143" s="104" t="s">
        <v>432</v>
      </c>
      <c r="C143" s="145">
        <f>C142/C87</f>
        <v>6.6519853415915984</v>
      </c>
      <c r="D143" s="145">
        <f t="shared" ref="D143:E143" si="34">D142/D87</f>
        <v>6.6519853415915984</v>
      </c>
      <c r="E143" s="145">
        <f t="shared" si="34"/>
        <v>6.6519853415915984</v>
      </c>
    </row>
    <row r="144" spans="2:5" hidden="1" x14ac:dyDescent="0.25">
      <c r="C144" s="108"/>
      <c r="D144" s="108"/>
      <c r="E144" s="108"/>
    </row>
    <row r="145" spans="2:5" hidden="1" x14ac:dyDescent="0.25">
      <c r="B145" s="13" t="s">
        <v>433</v>
      </c>
      <c r="C145" s="108">
        <f>C139*C81</f>
        <v>598.67868074324383</v>
      </c>
      <c r="D145" s="108">
        <f t="shared" ref="D145:E145" si="35">D139*D81</f>
        <v>598.67868074324383</v>
      </c>
      <c r="E145" s="108">
        <f t="shared" si="35"/>
        <v>598.67868074324383</v>
      </c>
    </row>
    <row r="146" spans="2:5" hidden="1" x14ac:dyDescent="0.25">
      <c r="B146" s="104" t="s">
        <v>434</v>
      </c>
      <c r="C146" s="145">
        <f>C145/C90</f>
        <v>5.9867868074324386</v>
      </c>
      <c r="D146" s="145">
        <f t="shared" ref="D146:E146" si="36">D145/D90</f>
        <v>5.9867868074324386</v>
      </c>
      <c r="E146" s="145">
        <f t="shared" si="36"/>
        <v>5.9867868074324386</v>
      </c>
    </row>
    <row r="147" spans="2:5" hidden="1" x14ac:dyDescent="0.25">
      <c r="B147" s="106"/>
      <c r="C147" s="108"/>
      <c r="D147" s="108"/>
      <c r="E147" s="108"/>
    </row>
    <row r="148" spans="2:5" hidden="1" x14ac:dyDescent="0.25">
      <c r="B148" s="13" t="s">
        <v>435</v>
      </c>
      <c r="C148" s="108">
        <f>C139*C82</f>
        <v>399.11912049549596</v>
      </c>
      <c r="D148" s="108">
        <f t="shared" ref="D148:E148" si="37">D139*D82</f>
        <v>399.11912049549596</v>
      </c>
      <c r="E148" s="108">
        <f t="shared" si="37"/>
        <v>399.11912049549596</v>
      </c>
    </row>
    <row r="149" spans="2:5" hidden="1" x14ac:dyDescent="0.25">
      <c r="B149" s="104" t="s">
        <v>436</v>
      </c>
      <c r="C149" s="145">
        <f>C148/C93</f>
        <v>9.9779780123873998</v>
      </c>
      <c r="D149" s="145">
        <f t="shared" ref="D149:E149" si="38">D148/D93</f>
        <v>9.9779780123873998</v>
      </c>
      <c r="E149" s="145">
        <f t="shared" si="38"/>
        <v>9.9779780123873998</v>
      </c>
    </row>
    <row r="150" spans="2:5" hidden="1" x14ac:dyDescent="0.25"/>
    <row r="151" spans="2:5" hidden="1" x14ac:dyDescent="0.25"/>
  </sheetData>
  <sheetProtection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97"/>
  <sheetViews>
    <sheetView showGridLines="0" workbookViewId="0">
      <pane ySplit="1" topLeftCell="A2" activePane="bottomLeft" state="frozen"/>
      <selection pane="bottomLeft" activeCell="C44" sqref="C44"/>
    </sheetView>
  </sheetViews>
  <sheetFormatPr defaultRowHeight="15" x14ac:dyDescent="0.25"/>
  <cols>
    <col min="1" max="1" width="2.85546875" customWidth="1"/>
    <col min="2" max="2" width="67.5703125" customWidth="1"/>
    <col min="3" max="5" width="18" customWidth="1"/>
    <col min="6" max="6" width="12.28515625" customWidth="1"/>
    <col min="7" max="7" width="19.42578125" customWidth="1"/>
  </cols>
  <sheetData>
    <row r="1" spans="2:5" ht="15.75" x14ac:dyDescent="0.25">
      <c r="B1" s="335" t="str">
        <f>A27</f>
        <v>Funding to establish ECD centres and improve infrastructure</v>
      </c>
      <c r="C1" s="336" t="s">
        <v>335</v>
      </c>
      <c r="D1" s="337" t="s">
        <v>336</v>
      </c>
      <c r="E1" s="338" t="s">
        <v>337</v>
      </c>
    </row>
    <row r="2" spans="2:5" x14ac:dyDescent="0.25">
      <c r="B2" s="123" t="s">
        <v>331</v>
      </c>
      <c r="C2" s="404">
        <f>SUM(C3:C4)</f>
        <v>3202385780.8042192</v>
      </c>
      <c r="D2" s="404">
        <f t="shared" ref="D2:E2" si="0">SUM(D3:D4)</f>
        <v>595257991.28424549</v>
      </c>
      <c r="E2" s="404">
        <f t="shared" si="0"/>
        <v>595257991.28424549</v>
      </c>
    </row>
    <row r="3" spans="2:5" x14ac:dyDescent="0.25">
      <c r="B3" s="126" t="s">
        <v>329</v>
      </c>
      <c r="C3" s="480">
        <f>C10+C17</f>
        <v>0</v>
      </c>
      <c r="D3" s="480">
        <f t="shared" ref="D3:E3" si="1">D10+D17</f>
        <v>0</v>
      </c>
      <c r="E3" s="480">
        <f t="shared" si="1"/>
        <v>0</v>
      </c>
    </row>
    <row r="4" spans="2:5" x14ac:dyDescent="0.25">
      <c r="B4" s="128" t="s">
        <v>330</v>
      </c>
      <c r="C4" s="481">
        <f>C11+C18</f>
        <v>3202385780.8042192</v>
      </c>
      <c r="D4" s="481">
        <f t="shared" ref="D4:E4" si="2">D11+D18</f>
        <v>595257991.28424549</v>
      </c>
      <c r="E4" s="481">
        <f t="shared" si="2"/>
        <v>595257991.28424549</v>
      </c>
    </row>
    <row r="5" spans="2:5" x14ac:dyDescent="0.25">
      <c r="B5" s="130" t="s">
        <v>332</v>
      </c>
      <c r="C5" s="404">
        <f>C12+C19</f>
        <v>25321189894.731037</v>
      </c>
      <c r="D5" s="404">
        <f t="shared" ref="D5:E5" si="3">D12+D19</f>
        <v>4542758354.5376644</v>
      </c>
      <c r="E5" s="404">
        <f t="shared" si="3"/>
        <v>4542758354.5376644</v>
      </c>
    </row>
    <row r="6" spans="2:5" x14ac:dyDescent="0.25">
      <c r="B6" s="123" t="s">
        <v>333</v>
      </c>
      <c r="C6" s="404">
        <f>C13+C20</f>
        <v>0</v>
      </c>
      <c r="D6" s="404">
        <f t="shared" ref="D6:E6" si="4">D13+D20</f>
        <v>0</v>
      </c>
      <c r="E6" s="404">
        <f t="shared" si="4"/>
        <v>0</v>
      </c>
    </row>
    <row r="7" spans="2:5" x14ac:dyDescent="0.25">
      <c r="B7" s="123" t="s">
        <v>626</v>
      </c>
      <c r="C7" s="482">
        <f>C14+C21</f>
        <v>0</v>
      </c>
      <c r="D7" s="482">
        <f t="shared" ref="D7:E7" si="5">D14+D21</f>
        <v>0</v>
      </c>
      <c r="E7" s="482">
        <f t="shared" si="5"/>
        <v>0</v>
      </c>
    </row>
    <row r="8" spans="2:5" x14ac:dyDescent="0.25">
      <c r="B8" s="122" t="s">
        <v>438</v>
      </c>
      <c r="C8" s="483"/>
      <c r="D8" s="483"/>
      <c r="E8" s="483"/>
    </row>
    <row r="9" spans="2:5" x14ac:dyDescent="0.25">
      <c r="B9" s="123" t="s">
        <v>331</v>
      </c>
      <c r="C9" s="404">
        <f>SUM(C10:C11)</f>
        <v>1861852198.141988</v>
      </c>
      <c r="D9" s="404">
        <f t="shared" ref="D9:E9" si="6">SUM(D10:D11)</f>
        <v>313293679.62328708</v>
      </c>
      <c r="E9" s="404">
        <f t="shared" si="6"/>
        <v>313293679.62328708</v>
      </c>
    </row>
    <row r="10" spans="2:5" x14ac:dyDescent="0.25">
      <c r="B10" s="126" t="s">
        <v>329</v>
      </c>
      <c r="C10" s="480"/>
      <c r="D10" s="480"/>
      <c r="E10" s="480"/>
    </row>
    <row r="11" spans="2:5" x14ac:dyDescent="0.25">
      <c r="B11" s="128" t="s">
        <v>330</v>
      </c>
      <c r="C11" s="481">
        <f>C39*C37</f>
        <v>1861852198.141988</v>
      </c>
      <c r="D11" s="481">
        <f t="shared" ref="D11:E11" si="7">D39*D37</f>
        <v>313293679.62328708</v>
      </c>
      <c r="E11" s="481">
        <f t="shared" si="7"/>
        <v>313293679.62328708</v>
      </c>
    </row>
    <row r="12" spans="2:5" x14ac:dyDescent="0.25">
      <c r="B12" s="130" t="s">
        <v>332</v>
      </c>
      <c r="C12" s="404">
        <f>C38*C33*C37</f>
        <v>18618521981.41988</v>
      </c>
      <c r="D12" s="404">
        <f t="shared" ref="D12:E12" si="8">D38*D33*D37</f>
        <v>3132936796.2328715</v>
      </c>
      <c r="E12" s="404">
        <f t="shared" si="8"/>
        <v>3132936796.2328715</v>
      </c>
    </row>
    <row r="13" spans="2:5" x14ac:dyDescent="0.25">
      <c r="B13" s="123" t="s">
        <v>333</v>
      </c>
      <c r="C13" s="354"/>
      <c r="D13" s="354">
        <v>0</v>
      </c>
      <c r="E13" s="354"/>
    </row>
    <row r="14" spans="2:5" x14ac:dyDescent="0.25">
      <c r="B14" s="123" t="s">
        <v>626</v>
      </c>
      <c r="C14" s="482">
        <f>C10-C13</f>
        <v>0</v>
      </c>
      <c r="D14" s="482">
        <f t="shared" ref="D14:E14" si="9">D10-D13</f>
        <v>0</v>
      </c>
      <c r="E14" s="482">
        <f t="shared" si="9"/>
        <v>0</v>
      </c>
    </row>
    <row r="15" spans="2:5" x14ac:dyDescent="0.25">
      <c r="B15" s="122" t="s">
        <v>439</v>
      </c>
      <c r="C15" s="483"/>
      <c r="D15" s="483"/>
      <c r="E15" s="483"/>
    </row>
    <row r="16" spans="2:5" x14ac:dyDescent="0.25">
      <c r="B16" s="123" t="s">
        <v>331</v>
      </c>
      <c r="C16" s="404">
        <f>SUM(C17:C18)</f>
        <v>1340533582.6622314</v>
      </c>
      <c r="D16" s="404">
        <f t="shared" ref="D16:E16" si="10">SUM(D17:D18)</f>
        <v>281964311.66095847</v>
      </c>
      <c r="E16" s="404">
        <f t="shared" si="10"/>
        <v>281964311.66095847</v>
      </c>
    </row>
    <row r="17" spans="1:7" x14ac:dyDescent="0.25">
      <c r="B17" s="126" t="s">
        <v>329</v>
      </c>
      <c r="C17" s="480"/>
      <c r="D17" s="480"/>
      <c r="E17" s="480"/>
    </row>
    <row r="18" spans="1:7" x14ac:dyDescent="0.25">
      <c r="B18" s="128" t="s">
        <v>330</v>
      </c>
      <c r="C18" s="481">
        <f>C97</f>
        <v>1340533582.6622314</v>
      </c>
      <c r="D18" s="481">
        <f t="shared" ref="D18:E18" si="11">D97</f>
        <v>281964311.66095847</v>
      </c>
      <c r="E18" s="481">
        <f t="shared" si="11"/>
        <v>281964311.66095847</v>
      </c>
    </row>
    <row r="19" spans="1:7" x14ac:dyDescent="0.25">
      <c r="B19" s="130" t="s">
        <v>332</v>
      </c>
      <c r="C19" s="404">
        <f>C96</f>
        <v>6702667913.3111572</v>
      </c>
      <c r="D19" s="404">
        <f t="shared" ref="D19:E19" si="12">D96</f>
        <v>1409821558.3047924</v>
      </c>
      <c r="E19" s="404">
        <f t="shared" si="12"/>
        <v>1409821558.3047924</v>
      </c>
    </row>
    <row r="20" spans="1:7" x14ac:dyDescent="0.25">
      <c r="B20" s="123" t="s">
        <v>333</v>
      </c>
      <c r="C20" s="354"/>
      <c r="D20" s="354">
        <v>0</v>
      </c>
      <c r="E20" s="354"/>
    </row>
    <row r="21" spans="1:7" x14ac:dyDescent="0.25">
      <c r="B21" s="123" t="s">
        <v>626</v>
      </c>
      <c r="C21" s="482">
        <f>C17-C20</f>
        <v>0</v>
      </c>
      <c r="D21" s="482">
        <f t="shared" ref="D21:E21" si="13">D17-D20</f>
        <v>0</v>
      </c>
      <c r="E21" s="482">
        <f t="shared" si="13"/>
        <v>0</v>
      </c>
    </row>
    <row r="22" spans="1:7" x14ac:dyDescent="0.25">
      <c r="B22" s="31" t="s">
        <v>562</v>
      </c>
      <c r="C22" s="484"/>
      <c r="D22" s="484"/>
      <c r="E22" s="484"/>
    </row>
    <row r="23" spans="1:7" x14ac:dyDescent="0.25">
      <c r="B23" s="32" t="s">
        <v>567</v>
      </c>
      <c r="C23" s="485">
        <f>C39</f>
        <v>3103.0869969033133</v>
      </c>
      <c r="D23" s="485">
        <f t="shared" ref="D23:E23" si="14">D39</f>
        <v>522.15613270547851</v>
      </c>
      <c r="E23" s="485">
        <f t="shared" si="14"/>
        <v>522.15613270547851</v>
      </c>
    </row>
    <row r="24" spans="1:7" x14ac:dyDescent="0.25">
      <c r="B24" s="130" t="s">
        <v>565</v>
      </c>
      <c r="C24" s="485">
        <f>C54</f>
        <v>12412.347987613255</v>
      </c>
      <c r="D24" s="485">
        <f t="shared" ref="D24:E24" si="15">D54</f>
        <v>2610.7806635273928</v>
      </c>
      <c r="E24" s="485">
        <f t="shared" si="15"/>
        <v>2610.7806635273928</v>
      </c>
    </row>
    <row r="25" spans="1:7" x14ac:dyDescent="0.25">
      <c r="B25" s="154" t="s">
        <v>566</v>
      </c>
      <c r="C25" s="486">
        <f>SUM(C56:C58)</f>
        <v>19859.756780181211</v>
      </c>
      <c r="D25" s="486">
        <f t="shared" ref="D25:E25" si="16">SUM(D56:D58)</f>
        <v>4177.249061643829</v>
      </c>
      <c r="E25" s="486">
        <f t="shared" si="16"/>
        <v>4177.249061643829</v>
      </c>
    </row>
    <row r="26" spans="1:7" x14ac:dyDescent="0.25">
      <c r="B26" s="132"/>
      <c r="C26" s="484"/>
      <c r="D26" s="484"/>
      <c r="E26" s="484"/>
    </row>
    <row r="27" spans="1:7" x14ac:dyDescent="0.25">
      <c r="A27" s="382" t="s">
        <v>85</v>
      </c>
      <c r="B27" s="390"/>
      <c r="C27" s="487"/>
      <c r="D27" s="487"/>
      <c r="E27" s="487"/>
    </row>
    <row r="28" spans="1:7" x14ac:dyDescent="0.25">
      <c r="B28" s="122" t="s">
        <v>102</v>
      </c>
      <c r="C28" s="488"/>
      <c r="D28" s="488"/>
      <c r="E28" s="488"/>
    </row>
    <row r="29" spans="1:7" x14ac:dyDescent="0.25">
      <c r="B29" s="32" t="s">
        <v>3</v>
      </c>
      <c r="C29" s="489" t="s">
        <v>405</v>
      </c>
      <c r="D29" s="255" t="s">
        <v>405</v>
      </c>
      <c r="E29" s="255" t="s">
        <v>405</v>
      </c>
      <c r="F29" s="16"/>
      <c r="G29" s="16"/>
    </row>
    <row r="30" spans="1:7" x14ac:dyDescent="0.25">
      <c r="B30" s="32" t="s">
        <v>103</v>
      </c>
      <c r="C30" s="490">
        <v>3</v>
      </c>
      <c r="D30" s="186">
        <v>2</v>
      </c>
      <c r="E30" s="186">
        <v>2</v>
      </c>
      <c r="F30" s="16"/>
      <c r="G30" s="16"/>
    </row>
    <row r="31" spans="1:7" x14ac:dyDescent="0.25">
      <c r="B31" s="32" t="s">
        <v>441</v>
      </c>
      <c r="C31" s="491">
        <v>0.8</v>
      </c>
      <c r="D31" s="197">
        <v>0.8</v>
      </c>
      <c r="E31" s="197">
        <v>0.8</v>
      </c>
      <c r="F31" s="16"/>
      <c r="G31" s="16"/>
    </row>
    <row r="32" spans="1:7" x14ac:dyDescent="0.25">
      <c r="B32" s="161" t="s">
        <v>440</v>
      </c>
      <c r="C32" s="492">
        <v>50</v>
      </c>
      <c r="D32" s="174">
        <v>50</v>
      </c>
      <c r="E32" s="174">
        <v>50</v>
      </c>
      <c r="F32" s="16"/>
      <c r="G32" s="16"/>
    </row>
    <row r="33" spans="2:5" x14ac:dyDescent="0.25">
      <c r="B33" s="82" t="s">
        <v>442</v>
      </c>
      <c r="C33" s="485">
        <f>HLOOKUP(C29,Age_Quin_Matrix,(C30+1),FALSE)*C31/C32</f>
        <v>31030.869969033134</v>
      </c>
      <c r="D33" s="485">
        <f>HLOOKUP(D29,Age_Quin_Matrix,(D30+1),FALSE)*D31/D32</f>
        <v>20886.245308219142</v>
      </c>
      <c r="E33" s="485">
        <f>HLOOKUP(E29,Age_Quin_Matrix,(E30+1),FALSE)*E31/E32</f>
        <v>20886.245308219142</v>
      </c>
    </row>
    <row r="34" spans="2:5" x14ac:dyDescent="0.25">
      <c r="B34" s="160" t="s">
        <v>450</v>
      </c>
      <c r="C34" s="493">
        <v>10</v>
      </c>
      <c r="D34" s="172">
        <v>10</v>
      </c>
      <c r="E34" s="172">
        <v>10</v>
      </c>
    </row>
    <row r="35" spans="2:5" x14ac:dyDescent="0.25">
      <c r="B35" s="241" t="s">
        <v>451</v>
      </c>
      <c r="C35" s="494">
        <v>5</v>
      </c>
      <c r="D35" s="256">
        <v>5</v>
      </c>
      <c r="E35" s="256">
        <v>5</v>
      </c>
    </row>
    <row r="36" spans="2:5" x14ac:dyDescent="0.25">
      <c r="B36" s="386" t="s">
        <v>438</v>
      </c>
      <c r="C36" s="495"/>
      <c r="D36" s="495"/>
      <c r="E36" s="495"/>
    </row>
    <row r="37" spans="2:5" x14ac:dyDescent="0.25">
      <c r="B37" s="30" t="s">
        <v>91</v>
      </c>
      <c r="C37" s="496">
        <v>600000</v>
      </c>
      <c r="D37" s="345">
        <v>600000</v>
      </c>
      <c r="E37" s="345">
        <v>600000</v>
      </c>
    </row>
    <row r="38" spans="2:5" x14ac:dyDescent="0.25">
      <c r="B38" s="30" t="s">
        <v>443</v>
      </c>
      <c r="C38" s="497">
        <v>1</v>
      </c>
      <c r="D38" s="187">
        <v>0.25</v>
      </c>
      <c r="E38" s="187">
        <v>0.25</v>
      </c>
    </row>
    <row r="39" spans="2:5" x14ac:dyDescent="0.25">
      <c r="B39" s="181" t="s">
        <v>444</v>
      </c>
      <c r="C39" s="498">
        <f>C33*C38/C34</f>
        <v>3103.0869969033133</v>
      </c>
      <c r="D39" s="498">
        <f t="shared" ref="D39:E39" si="17">D33*D38/D34</f>
        <v>522.15613270547851</v>
      </c>
      <c r="E39" s="498">
        <f t="shared" si="17"/>
        <v>522.15613270547851</v>
      </c>
    </row>
    <row r="40" spans="2:5" x14ac:dyDescent="0.25">
      <c r="B40" s="386" t="s">
        <v>439</v>
      </c>
      <c r="C40" s="499" t="s">
        <v>594</v>
      </c>
      <c r="D40" s="499" t="s">
        <v>594</v>
      </c>
      <c r="E40" s="499" t="s">
        <v>594</v>
      </c>
    </row>
    <row r="41" spans="2:5" x14ac:dyDescent="0.25">
      <c r="B41" s="40" t="s">
        <v>447</v>
      </c>
      <c r="C41" s="500">
        <v>0.8</v>
      </c>
      <c r="D41" s="200">
        <v>0.25</v>
      </c>
      <c r="E41" s="200">
        <v>0.25</v>
      </c>
    </row>
    <row r="42" spans="2:5" x14ac:dyDescent="0.25">
      <c r="B42" s="161" t="s">
        <v>448</v>
      </c>
      <c r="C42" s="501">
        <v>0.5</v>
      </c>
      <c r="D42" s="201">
        <v>0.5</v>
      </c>
      <c r="E42" s="201">
        <v>0.5</v>
      </c>
    </row>
    <row r="43" spans="2:5" x14ac:dyDescent="0.25">
      <c r="B43" s="242" t="s">
        <v>446</v>
      </c>
      <c r="C43" s="502"/>
      <c r="D43" s="502"/>
      <c r="E43" s="502"/>
    </row>
    <row r="44" spans="2:5" x14ac:dyDescent="0.25">
      <c r="B44" s="243" t="s">
        <v>95</v>
      </c>
      <c r="C44" s="500">
        <v>0.3</v>
      </c>
      <c r="D44" s="200">
        <v>0.2</v>
      </c>
      <c r="E44" s="200">
        <v>0.2</v>
      </c>
    </row>
    <row r="45" spans="2:5" x14ac:dyDescent="0.25">
      <c r="B45" s="243" t="s">
        <v>793</v>
      </c>
      <c r="C45" s="500">
        <v>0.4</v>
      </c>
      <c r="D45" s="200">
        <v>0.4</v>
      </c>
      <c r="E45" s="200">
        <v>0.4</v>
      </c>
    </row>
    <row r="46" spans="2:5" x14ac:dyDescent="0.25">
      <c r="B46" s="243" t="s">
        <v>97</v>
      </c>
      <c r="C46" s="500">
        <v>0.3</v>
      </c>
      <c r="D46" s="200">
        <v>0.3</v>
      </c>
      <c r="E46" s="200">
        <v>0.3</v>
      </c>
    </row>
    <row r="47" spans="2:5" x14ac:dyDescent="0.25">
      <c r="B47" s="244" t="s">
        <v>98</v>
      </c>
      <c r="C47" s="501">
        <v>0.1</v>
      </c>
      <c r="D47" s="201">
        <v>0.1</v>
      </c>
      <c r="E47" s="201">
        <v>0.1</v>
      </c>
    </row>
    <row r="48" spans="2:5" x14ac:dyDescent="0.25">
      <c r="B48" s="82" t="s">
        <v>100</v>
      </c>
      <c r="C48" s="496">
        <v>150000</v>
      </c>
      <c r="D48" s="345">
        <v>150000</v>
      </c>
      <c r="E48" s="345">
        <v>150000</v>
      </c>
    </row>
    <row r="49" spans="2:5" x14ac:dyDescent="0.25">
      <c r="B49" s="234" t="s">
        <v>101</v>
      </c>
      <c r="C49" s="503"/>
      <c r="D49" s="503"/>
      <c r="E49" s="503"/>
    </row>
    <row r="50" spans="2:5" x14ac:dyDescent="0.25">
      <c r="B50" s="243" t="s">
        <v>793</v>
      </c>
      <c r="C50" s="500">
        <v>0.25</v>
      </c>
      <c r="D50" s="200">
        <v>0.25</v>
      </c>
      <c r="E50" s="200">
        <v>0.25</v>
      </c>
    </row>
    <row r="51" spans="2:5" x14ac:dyDescent="0.25">
      <c r="B51" s="243" t="s">
        <v>97</v>
      </c>
      <c r="C51" s="500">
        <v>0.5</v>
      </c>
      <c r="D51" s="200">
        <v>0.5</v>
      </c>
      <c r="E51" s="200">
        <v>0.5</v>
      </c>
    </row>
    <row r="52" spans="2:5" x14ac:dyDescent="0.25">
      <c r="B52" s="244" t="s">
        <v>98</v>
      </c>
      <c r="C52" s="501">
        <v>0.75</v>
      </c>
      <c r="D52" s="201">
        <v>0.75</v>
      </c>
      <c r="E52" s="201">
        <v>0.75</v>
      </c>
    </row>
    <row r="53" spans="2:5" x14ac:dyDescent="0.25">
      <c r="B53" s="82" t="s">
        <v>564</v>
      </c>
      <c r="C53" s="504"/>
      <c r="D53" s="504"/>
      <c r="E53" s="504"/>
    </row>
    <row r="54" spans="2:5" x14ac:dyDescent="0.25">
      <c r="B54" s="243" t="s">
        <v>94</v>
      </c>
      <c r="C54" s="505">
        <f>C42*C$41*C$33</f>
        <v>12412.347987613255</v>
      </c>
      <c r="D54" s="505">
        <f t="shared" ref="D54:E54" si="18">D42*D$41*D$33</f>
        <v>2610.7806635273928</v>
      </c>
      <c r="E54" s="505">
        <f t="shared" si="18"/>
        <v>2610.7806635273928</v>
      </c>
    </row>
    <row r="55" spans="2:5" x14ac:dyDescent="0.25">
      <c r="B55" s="243" t="s">
        <v>95</v>
      </c>
      <c r="C55" s="505">
        <f>C44*C$41*C$33</f>
        <v>7447.4087925679523</v>
      </c>
      <c r="D55" s="505">
        <f t="shared" ref="D55:E55" si="19">D44*D$41*D$33</f>
        <v>1044.3122654109573</v>
      </c>
      <c r="E55" s="505">
        <f t="shared" si="19"/>
        <v>1044.3122654109573</v>
      </c>
    </row>
    <row r="56" spans="2:5" x14ac:dyDescent="0.25">
      <c r="B56" s="243" t="s">
        <v>793</v>
      </c>
      <c r="C56" s="505">
        <f>C45*C$41*C$33</f>
        <v>9929.8783900906055</v>
      </c>
      <c r="D56" s="505">
        <f t="shared" ref="D56:E56" si="20">D45*D$41*D$33</f>
        <v>2088.6245308219145</v>
      </c>
      <c r="E56" s="505">
        <f t="shared" si="20"/>
        <v>2088.6245308219145</v>
      </c>
    </row>
    <row r="57" spans="2:5" x14ac:dyDescent="0.25">
      <c r="B57" s="243" t="s">
        <v>97</v>
      </c>
      <c r="C57" s="505">
        <f>C46*C$41*C$33</f>
        <v>7447.4087925679523</v>
      </c>
      <c r="D57" s="505">
        <f t="shared" ref="D57:E57" si="21">D46*D$41*D$33</f>
        <v>1566.4683981164355</v>
      </c>
      <c r="E57" s="505">
        <f t="shared" si="21"/>
        <v>1566.4683981164355</v>
      </c>
    </row>
    <row r="58" spans="2:5" x14ac:dyDescent="0.25">
      <c r="B58" s="245" t="s">
        <v>98</v>
      </c>
      <c r="C58" s="486">
        <f>C47*C$41*C$33</f>
        <v>2482.4695975226514</v>
      </c>
      <c r="D58" s="486">
        <f t="shared" ref="D58:E58" si="22">D47*D$41*D$33</f>
        <v>522.15613270547863</v>
      </c>
      <c r="E58" s="486">
        <f t="shared" si="22"/>
        <v>522.15613270547863</v>
      </c>
    </row>
    <row r="60" spans="2:5" x14ac:dyDescent="0.25">
      <c r="C60" s="254">
        <f>C41+C38</f>
        <v>1.8</v>
      </c>
      <c r="D60" s="254">
        <f t="shared" ref="D60:E60" si="23">D41+D38</f>
        <v>0.5</v>
      </c>
      <c r="E60" s="254">
        <f t="shared" si="23"/>
        <v>0.5</v>
      </c>
    </row>
    <row r="80" spans="1:1" hidden="1" x14ac:dyDescent="0.25">
      <c r="A80" s="1" t="s">
        <v>338</v>
      </c>
    </row>
    <row r="81" spans="2:5" hidden="1" x14ac:dyDescent="0.25"/>
    <row r="82" spans="2:5" hidden="1" x14ac:dyDescent="0.25">
      <c r="B82" t="s">
        <v>445</v>
      </c>
    </row>
    <row r="83" spans="2:5" hidden="1" x14ac:dyDescent="0.25"/>
    <row r="84" spans="2:5" hidden="1" x14ac:dyDescent="0.25"/>
    <row r="85" spans="2:5" hidden="1" x14ac:dyDescent="0.25"/>
    <row r="86" spans="2:5" hidden="1" x14ac:dyDescent="0.25"/>
    <row r="87" spans="2:5" hidden="1" x14ac:dyDescent="0.25"/>
    <row r="88" spans="2:5" hidden="1" x14ac:dyDescent="0.25"/>
    <row r="89" spans="2:5" hidden="1" x14ac:dyDescent="0.25"/>
    <row r="90" spans="2:5" hidden="1" x14ac:dyDescent="0.25">
      <c r="B90" s="19" t="s">
        <v>449</v>
      </c>
    </row>
    <row r="91" spans="2:5" hidden="1" x14ac:dyDescent="0.25">
      <c r="B91" s="19" t="s">
        <v>94</v>
      </c>
      <c r="C91" s="11">
        <f>C54*C48</f>
        <v>1861852198.1419883</v>
      </c>
      <c r="D91" s="11">
        <f t="shared" ref="D91:E91" si="24">D54*D48</f>
        <v>391617099.52910894</v>
      </c>
      <c r="E91" s="11">
        <f t="shared" si="24"/>
        <v>391617099.52910894</v>
      </c>
    </row>
    <row r="92" spans="2:5" hidden="1" x14ac:dyDescent="0.25">
      <c r="B92" s="19" t="s">
        <v>95</v>
      </c>
      <c r="C92" s="11"/>
      <c r="D92" s="11"/>
      <c r="E92" s="11"/>
    </row>
    <row r="93" spans="2:5" hidden="1" x14ac:dyDescent="0.25">
      <c r="B93" s="19" t="s">
        <v>96</v>
      </c>
      <c r="C93" s="11">
        <f>C50*C37*C56</f>
        <v>1489481758.5135908</v>
      </c>
      <c r="D93" s="11">
        <f t="shared" ref="D93:E93" si="25">D50*D37*D56</f>
        <v>313293679.6232872</v>
      </c>
      <c r="E93" s="11">
        <f t="shared" si="25"/>
        <v>313293679.6232872</v>
      </c>
    </row>
    <row r="94" spans="2:5" hidden="1" x14ac:dyDescent="0.25">
      <c r="B94" s="19" t="s">
        <v>97</v>
      </c>
      <c r="C94" s="11">
        <f>C51*C57*C37</f>
        <v>2234222637.7703857</v>
      </c>
      <c r="D94" s="11">
        <f t="shared" ref="D94:E94" si="26">D51*D57*D37</f>
        <v>469940519.43493068</v>
      </c>
      <c r="E94" s="11">
        <f t="shared" si="26"/>
        <v>469940519.43493068</v>
      </c>
    </row>
    <row r="95" spans="2:5" hidden="1" x14ac:dyDescent="0.25">
      <c r="B95" s="19" t="s">
        <v>98</v>
      </c>
      <c r="C95" s="11">
        <f>C58*C52*C37</f>
        <v>1117111318.8851931</v>
      </c>
      <c r="D95" s="11">
        <f t="shared" ref="D95:E95" si="27">D58*D52*D37</f>
        <v>234970259.71746537</v>
      </c>
      <c r="E95" s="11">
        <f t="shared" si="27"/>
        <v>234970259.71746537</v>
      </c>
    </row>
    <row r="96" spans="2:5" hidden="1" x14ac:dyDescent="0.25">
      <c r="B96" s="19" t="s">
        <v>452</v>
      </c>
      <c r="C96" s="29">
        <f>SUM(C91:C95)</f>
        <v>6702667913.3111572</v>
      </c>
      <c r="D96" s="29">
        <f t="shared" ref="D96:E96" si="28">SUM(D91:D95)</f>
        <v>1409821558.3047924</v>
      </c>
      <c r="E96" s="29">
        <f t="shared" si="28"/>
        <v>1409821558.3047924</v>
      </c>
    </row>
    <row r="97" spans="2:5" hidden="1" x14ac:dyDescent="0.25">
      <c r="B97" s="19" t="s">
        <v>453</v>
      </c>
      <c r="C97" s="29">
        <f>C96/C35</f>
        <v>1340533582.6622314</v>
      </c>
      <c r="D97" s="29">
        <f t="shared" ref="D97:E97" si="29">D96/D35</f>
        <v>281964311.66095847</v>
      </c>
      <c r="E97" s="29">
        <f t="shared" si="29"/>
        <v>281964311.66095847</v>
      </c>
    </row>
  </sheetData>
  <conditionalFormatting sqref="C41:E41">
    <cfRule type="expression" dxfId="2" priority="3">
      <formula>C60&gt;0.85</formula>
    </cfRule>
  </conditionalFormatting>
  <conditionalFormatting sqref="C38:E38">
    <cfRule type="expression" dxfId="1" priority="5">
      <formula>C60&gt;0.85</formula>
    </cfRule>
  </conditionalFormatting>
  <conditionalFormatting sqref="C40:E40">
    <cfRule type="expression" dxfId="0" priority="1">
      <formula>C60&gt;0.85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Population!$A$133:$A$136</xm:f>
          </x14:formula1>
          <xm:sqref>C29:E29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94"/>
  <sheetViews>
    <sheetView showGridLines="0" workbookViewId="0">
      <pane ySplit="1" topLeftCell="A2" activePane="bottomLeft" state="frozen"/>
      <selection pane="bottomLeft" activeCell="C24" sqref="C24"/>
    </sheetView>
  </sheetViews>
  <sheetFormatPr defaultRowHeight="15" x14ac:dyDescent="0.25"/>
  <cols>
    <col min="1" max="1" width="4.140625" style="30" customWidth="1"/>
    <col min="2" max="2" width="67.28515625" customWidth="1"/>
    <col min="3" max="5" width="18" customWidth="1"/>
    <col min="6" max="6" width="12.28515625" style="30" customWidth="1"/>
    <col min="7" max="7" width="19.42578125" style="30" customWidth="1"/>
    <col min="8" max="16384" width="9.140625" style="30"/>
  </cols>
  <sheetData>
    <row r="1" spans="1:5" ht="15.75" x14ac:dyDescent="0.25">
      <c r="B1" s="335" t="str">
        <f>A14</f>
        <v>Equipment and LSM materials for ECD centres</v>
      </c>
      <c r="C1" s="336" t="s">
        <v>335</v>
      </c>
      <c r="D1" s="337" t="s">
        <v>336</v>
      </c>
      <c r="E1" s="338" t="s">
        <v>337</v>
      </c>
    </row>
    <row r="2" spans="1:5" ht="12.75" x14ac:dyDescent="0.2">
      <c r="B2" s="123" t="s">
        <v>331</v>
      </c>
      <c r="C2" s="339">
        <f>SUM(C3:C4)</f>
        <v>426079404.28767049</v>
      </c>
      <c r="D2" s="339">
        <f t="shared" ref="D2:E2" si="0">SUM(D3:D4)</f>
        <v>426079404.28767049</v>
      </c>
      <c r="E2" s="339">
        <f t="shared" si="0"/>
        <v>426079404.28767049</v>
      </c>
    </row>
    <row r="3" spans="1:5" ht="12.75" x14ac:dyDescent="0.2">
      <c r="B3" s="126" t="s">
        <v>329</v>
      </c>
      <c r="C3" s="340"/>
      <c r="D3" s="340"/>
      <c r="E3" s="340"/>
    </row>
    <row r="4" spans="1:5" ht="12.75" x14ac:dyDescent="0.2">
      <c r="B4" s="128" t="s">
        <v>330</v>
      </c>
      <c r="C4" s="341">
        <f>C93</f>
        <v>426079404.28767049</v>
      </c>
      <c r="D4" s="341">
        <f t="shared" ref="D4:E4" si="1">D93</f>
        <v>426079404.28767049</v>
      </c>
      <c r="E4" s="341">
        <f t="shared" si="1"/>
        <v>426079404.28767049</v>
      </c>
    </row>
    <row r="5" spans="1:5" ht="12.75" x14ac:dyDescent="0.2">
      <c r="B5" s="130" t="s">
        <v>332</v>
      </c>
      <c r="C5" s="339">
        <f>C92</f>
        <v>2130397021.4383526</v>
      </c>
      <c r="D5" s="339">
        <f t="shared" ref="D5:E5" si="2">D92</f>
        <v>2130397021.4383526</v>
      </c>
      <c r="E5" s="339">
        <f t="shared" si="2"/>
        <v>2130397021.4383526</v>
      </c>
    </row>
    <row r="6" spans="1:5" ht="12.75" x14ac:dyDescent="0.2">
      <c r="B6" s="123" t="s">
        <v>333</v>
      </c>
      <c r="C6" s="354"/>
      <c r="D6" s="354"/>
      <c r="E6" s="354"/>
    </row>
    <row r="7" spans="1:5" ht="12.75" x14ac:dyDescent="0.2">
      <c r="B7" s="123" t="s">
        <v>626</v>
      </c>
      <c r="C7" s="343">
        <f>C3-C6</f>
        <v>0</v>
      </c>
      <c r="D7" s="343">
        <f t="shared" ref="D7:E7" si="3">D3-D6</f>
        <v>0</v>
      </c>
      <c r="E7" s="343">
        <f t="shared" si="3"/>
        <v>0</v>
      </c>
    </row>
    <row r="8" spans="1:5" ht="12.75" x14ac:dyDescent="0.2">
      <c r="B8" s="69" t="s">
        <v>562</v>
      </c>
      <c r="C8" s="125"/>
      <c r="D8" s="125"/>
      <c r="E8" s="125"/>
    </row>
    <row r="9" spans="1:5" ht="12.75" x14ac:dyDescent="0.2">
      <c r="B9" s="40" t="s">
        <v>624</v>
      </c>
      <c r="C9" s="125"/>
      <c r="D9" s="125"/>
      <c r="E9" s="125"/>
    </row>
    <row r="10" spans="1:5" ht="12.75" x14ac:dyDescent="0.2">
      <c r="B10" s="395" t="s">
        <v>106</v>
      </c>
      <c r="C10" s="111">
        <f>C22*C20/C29</f>
        <v>1253.1747184931485</v>
      </c>
      <c r="D10" s="111">
        <f>D22*D20/D29</f>
        <v>1253.1747184931485</v>
      </c>
      <c r="E10" s="111">
        <f>E22*E20/E29</f>
        <v>1253.1747184931485</v>
      </c>
    </row>
    <row r="11" spans="1:5" ht="12.75" x14ac:dyDescent="0.2">
      <c r="B11" s="375" t="s">
        <v>107</v>
      </c>
      <c r="C11" s="111">
        <f>C23*C20/C29</f>
        <v>1670.8996246575316</v>
      </c>
      <c r="D11" s="111">
        <f t="shared" ref="D11:E11" si="4">D23*D20/D29</f>
        <v>1670.8996246575316</v>
      </c>
      <c r="E11" s="111">
        <f t="shared" si="4"/>
        <v>1670.8996246575316</v>
      </c>
    </row>
    <row r="12" spans="1:5" ht="12.75" x14ac:dyDescent="0.2">
      <c r="B12" s="375" t="s">
        <v>108</v>
      </c>
      <c r="C12" s="111">
        <f>C20*C24/C29</f>
        <v>2088.624530821914</v>
      </c>
      <c r="D12" s="111">
        <f t="shared" ref="D12:E12" si="5">D20*D24/D29</f>
        <v>2088.624530821914</v>
      </c>
      <c r="E12" s="111">
        <f t="shared" si="5"/>
        <v>2088.624530821914</v>
      </c>
    </row>
    <row r="13" spans="1:5" ht="12.75" x14ac:dyDescent="0.2">
      <c r="A13" s="388"/>
      <c r="B13" s="391"/>
      <c r="C13" s="392"/>
      <c r="D13" s="392"/>
      <c r="E13" s="392"/>
    </row>
    <row r="14" spans="1:5" x14ac:dyDescent="0.25">
      <c r="A14" s="382" t="s">
        <v>104</v>
      </c>
      <c r="B14" s="393"/>
      <c r="C14" s="394"/>
      <c r="D14" s="394"/>
      <c r="E14" s="394"/>
    </row>
    <row r="15" spans="1:5" ht="12.75" x14ac:dyDescent="0.2">
      <c r="B15" s="122" t="s">
        <v>102</v>
      </c>
      <c r="C15" s="54"/>
      <c r="D15" s="54"/>
      <c r="E15" s="54"/>
    </row>
    <row r="16" spans="1:5" ht="12.75" x14ac:dyDescent="0.2">
      <c r="B16" s="32" t="s">
        <v>3</v>
      </c>
      <c r="C16" s="240" t="s">
        <v>405</v>
      </c>
      <c r="D16" s="255" t="s">
        <v>405</v>
      </c>
      <c r="E16" s="255" t="s">
        <v>405</v>
      </c>
    </row>
    <row r="17" spans="2:5" ht="12.75" x14ac:dyDescent="0.2">
      <c r="B17" s="32" t="s">
        <v>103</v>
      </c>
      <c r="C17" s="114">
        <v>2</v>
      </c>
      <c r="D17" s="186">
        <v>2</v>
      </c>
      <c r="E17" s="186">
        <v>2</v>
      </c>
    </row>
    <row r="18" spans="2:5" ht="12.75" x14ac:dyDescent="0.2">
      <c r="B18" s="32" t="s">
        <v>441</v>
      </c>
      <c r="C18" s="113">
        <v>0.8</v>
      </c>
      <c r="D18" s="197">
        <v>0.8</v>
      </c>
      <c r="E18" s="197">
        <v>0.8</v>
      </c>
    </row>
    <row r="19" spans="2:5" ht="12.75" x14ac:dyDescent="0.2">
      <c r="B19" s="161" t="s">
        <v>440</v>
      </c>
      <c r="C19" s="165">
        <v>50</v>
      </c>
      <c r="D19" s="174">
        <v>50</v>
      </c>
      <c r="E19" s="174">
        <v>50</v>
      </c>
    </row>
    <row r="20" spans="2:5" ht="12.75" x14ac:dyDescent="0.2">
      <c r="B20" s="30" t="str">
        <f>'4.1.5'!B33</f>
        <v>Number of ECD centres required to serve target group</v>
      </c>
      <c r="C20" s="405">
        <f>HLOOKUP(C16,Age_Quin_Matrix,(C17+1),FALSE)*C18/C19</f>
        <v>20886.245308219142</v>
      </c>
      <c r="D20" s="407">
        <f>HLOOKUP(D16,Age_Quin_Matrix,(D17+1),FALSE)*D18/D19</f>
        <v>20886.245308219142</v>
      </c>
      <c r="E20" s="407">
        <f>HLOOKUP(E16,Age_Quin_Matrix,(E17+1),FALSE)*E18/E19</f>
        <v>20886.245308219142</v>
      </c>
    </row>
    <row r="21" spans="2:5" ht="12.75" x14ac:dyDescent="0.2">
      <c r="B21" s="234" t="s">
        <v>454</v>
      </c>
      <c r="C21" s="160"/>
      <c r="D21" s="160"/>
      <c r="E21" s="160"/>
    </row>
    <row r="22" spans="2:5" ht="12.75" x14ac:dyDescent="0.2">
      <c r="B22" s="396" t="s">
        <v>106</v>
      </c>
      <c r="C22" s="257">
        <v>0.3</v>
      </c>
      <c r="D22" s="260">
        <v>0.3</v>
      </c>
      <c r="E22" s="260">
        <v>0.3</v>
      </c>
    </row>
    <row r="23" spans="2:5" ht="12.75" x14ac:dyDescent="0.2">
      <c r="B23" s="396" t="s">
        <v>107</v>
      </c>
      <c r="C23" s="113">
        <v>0.4</v>
      </c>
      <c r="D23" s="113">
        <v>0.4</v>
      </c>
      <c r="E23" s="113">
        <v>0.4</v>
      </c>
    </row>
    <row r="24" spans="2:5" ht="12.75" x14ac:dyDescent="0.2">
      <c r="B24" s="396" t="s">
        <v>108</v>
      </c>
      <c r="C24" s="113">
        <v>0.5</v>
      </c>
      <c r="D24" s="113">
        <v>0.5</v>
      </c>
      <c r="E24" s="113">
        <v>0.5</v>
      </c>
    </row>
    <row r="25" spans="2:5" ht="12.75" x14ac:dyDescent="0.2">
      <c r="B25" s="234" t="s">
        <v>109</v>
      </c>
      <c r="C25" s="160"/>
      <c r="D25" s="160"/>
      <c r="E25" s="160"/>
    </row>
    <row r="26" spans="2:5" ht="12.75" x14ac:dyDescent="0.2">
      <c r="B26" s="397" t="s">
        <v>110</v>
      </c>
      <c r="C26" s="368">
        <v>50000</v>
      </c>
      <c r="D26" s="354">
        <v>50000</v>
      </c>
      <c r="E26" s="354">
        <v>50000</v>
      </c>
    </row>
    <row r="27" spans="2:5" ht="12.75" x14ac:dyDescent="0.2">
      <c r="B27" s="397" t="s">
        <v>107</v>
      </c>
      <c r="C27" s="368">
        <v>30000</v>
      </c>
      <c r="D27" s="354">
        <v>30000</v>
      </c>
      <c r="E27" s="354">
        <v>30000</v>
      </c>
    </row>
    <row r="28" spans="2:5" ht="12.75" x14ac:dyDescent="0.2">
      <c r="B28" s="397" t="s">
        <v>111</v>
      </c>
      <c r="C28" s="368">
        <v>150000</v>
      </c>
      <c r="D28" s="354">
        <v>150000</v>
      </c>
      <c r="E28" s="354">
        <v>150000</v>
      </c>
    </row>
    <row r="29" spans="2:5" ht="12.75" x14ac:dyDescent="0.2">
      <c r="B29" s="246" t="s">
        <v>455</v>
      </c>
      <c r="C29" s="398">
        <v>5</v>
      </c>
      <c r="D29" s="399">
        <v>5</v>
      </c>
      <c r="E29" s="399">
        <v>5</v>
      </c>
    </row>
    <row r="30" spans="2:5" ht="12.75" x14ac:dyDescent="0.2">
      <c r="B30" s="30"/>
      <c r="C30" s="30"/>
      <c r="D30" s="30"/>
      <c r="E30" s="30"/>
    </row>
    <row r="86" spans="1:5" hidden="1" x14ac:dyDescent="0.25"/>
    <row r="87" spans="1:5" hidden="1" x14ac:dyDescent="0.25">
      <c r="A87" s="31" t="s">
        <v>338</v>
      </c>
    </row>
    <row r="88" spans="1:5" hidden="1" x14ac:dyDescent="0.25"/>
    <row r="89" spans="1:5" hidden="1" x14ac:dyDescent="0.25">
      <c r="B89" t="s">
        <v>106</v>
      </c>
      <c r="C89">
        <f>C22*C20*C26</f>
        <v>313293679.62328708</v>
      </c>
      <c r="D89">
        <f>D22*D20*D26</f>
        <v>313293679.62328708</v>
      </c>
      <c r="E89">
        <f>E22*E20*E26</f>
        <v>313293679.62328708</v>
      </c>
    </row>
    <row r="90" spans="1:5" ht="12.75" hidden="1" x14ac:dyDescent="0.2">
      <c r="B90" s="32" t="s">
        <v>107</v>
      </c>
      <c r="C90" s="110">
        <f>C23*C20*C27</f>
        <v>250634943.69862974</v>
      </c>
      <c r="D90" s="110">
        <f t="shared" ref="D90:E90" si="6">D23*D20*D27</f>
        <v>250634943.69862974</v>
      </c>
      <c r="E90" s="110">
        <f t="shared" si="6"/>
        <v>250634943.69862974</v>
      </c>
    </row>
    <row r="91" spans="1:5" ht="12.75" hidden="1" x14ac:dyDescent="0.2">
      <c r="B91" s="32" t="s">
        <v>108</v>
      </c>
      <c r="C91" s="110">
        <f>C28*C24*C20</f>
        <v>1566468398.1164358</v>
      </c>
      <c r="D91" s="110">
        <f t="shared" ref="D91:E91" si="7">D28*D24*D20</f>
        <v>1566468398.1164358</v>
      </c>
      <c r="E91" s="110">
        <f t="shared" si="7"/>
        <v>1566468398.1164358</v>
      </c>
    </row>
    <row r="92" spans="1:5" ht="12.75" hidden="1" x14ac:dyDescent="0.2">
      <c r="B92" s="32" t="s">
        <v>456</v>
      </c>
      <c r="C92" s="110">
        <f>SUM(C89:C91)</f>
        <v>2130397021.4383526</v>
      </c>
      <c r="D92" s="110">
        <f t="shared" ref="D92:E92" si="8">SUM(D89:D91)</f>
        <v>2130397021.4383526</v>
      </c>
      <c r="E92" s="110">
        <f t="shared" si="8"/>
        <v>2130397021.4383526</v>
      </c>
    </row>
    <row r="93" spans="1:5" ht="12.75" hidden="1" x14ac:dyDescent="0.2">
      <c r="B93" s="30"/>
      <c r="C93" s="112">
        <f>C92/C29</f>
        <v>426079404.28767049</v>
      </c>
      <c r="D93" s="112">
        <f t="shared" ref="D93:E93" si="9">D92/D29</f>
        <v>426079404.28767049</v>
      </c>
      <c r="E93" s="112">
        <f t="shared" si="9"/>
        <v>426079404.28767049</v>
      </c>
    </row>
    <row r="94" spans="1:5" x14ac:dyDescent="0.25">
      <c r="C94" s="112"/>
      <c r="D94" s="112"/>
      <c r="E94" s="112"/>
    </row>
  </sheetData>
  <sheetProtection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Population!$A$133:$A$136</xm:f>
          </x14:formula1>
          <xm:sqref>C16:E16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85"/>
  <sheetViews>
    <sheetView showGridLines="0" workbookViewId="0">
      <pane ySplit="1" topLeftCell="A2" activePane="bottomLeft" state="frozen"/>
      <selection pane="bottomLeft"/>
    </sheetView>
  </sheetViews>
  <sheetFormatPr defaultRowHeight="15" x14ac:dyDescent="0.25"/>
  <cols>
    <col min="1" max="1" width="4.140625" style="3" customWidth="1"/>
    <col min="2" max="2" width="61.85546875" customWidth="1"/>
    <col min="3" max="5" width="18" customWidth="1"/>
    <col min="6" max="6" width="12.28515625" style="3" customWidth="1"/>
    <col min="7" max="7" width="19.42578125" style="3" customWidth="1"/>
    <col min="8" max="16384" width="9.140625" style="3"/>
  </cols>
  <sheetData>
    <row r="1" spans="1:5" ht="15.75" x14ac:dyDescent="0.25">
      <c r="A1" s="30"/>
      <c r="B1" s="335" t="str">
        <f>A11</f>
        <v>Caregiver capacity building courses</v>
      </c>
      <c r="C1" s="336" t="s">
        <v>335</v>
      </c>
      <c r="D1" s="337" t="s">
        <v>336</v>
      </c>
      <c r="E1" s="338" t="s">
        <v>337</v>
      </c>
    </row>
    <row r="2" spans="1:5" ht="14.25" x14ac:dyDescent="0.2">
      <c r="A2" s="30"/>
      <c r="B2" s="123" t="s">
        <v>331</v>
      </c>
      <c r="C2" s="339">
        <f>SUM(C3:C4)</f>
        <v>1502584961.8445816</v>
      </c>
      <c r="D2" s="339">
        <f t="shared" ref="D2:E2" si="0">SUM(D3:D4)</f>
        <v>1502584961.8445816</v>
      </c>
      <c r="E2" s="339">
        <f t="shared" si="0"/>
        <v>1502584961.8445816</v>
      </c>
    </row>
    <row r="3" spans="1:5" ht="14.25" x14ac:dyDescent="0.2">
      <c r="A3" s="30"/>
      <c r="B3" s="126" t="s">
        <v>329</v>
      </c>
      <c r="C3" s="408">
        <f>C17*C19+C18*ECD_centres_subsidised</f>
        <v>1502584961.8445816</v>
      </c>
      <c r="D3" s="340">
        <f>D17*D19+D18*ECD_centres_subsidised</f>
        <v>1502584961.8445816</v>
      </c>
      <c r="E3" s="340">
        <f>E17*E19+E18*ECD_centres_subsidised</f>
        <v>1502584961.8445816</v>
      </c>
    </row>
    <row r="4" spans="1:5" ht="14.25" x14ac:dyDescent="0.2">
      <c r="A4" s="30"/>
      <c r="B4" s="128" t="s">
        <v>330</v>
      </c>
      <c r="C4" s="341">
        <f>C89</f>
        <v>0</v>
      </c>
      <c r="D4" s="341">
        <f t="shared" ref="D4:E4" si="1">D89</f>
        <v>0</v>
      </c>
      <c r="E4" s="341">
        <f t="shared" si="1"/>
        <v>0</v>
      </c>
    </row>
    <row r="5" spans="1:5" ht="14.25" x14ac:dyDescent="0.2">
      <c r="A5" s="30"/>
      <c r="B5" s="130" t="s">
        <v>332</v>
      </c>
      <c r="C5" s="339">
        <f>C88</f>
        <v>0</v>
      </c>
      <c r="D5" s="339">
        <f t="shared" ref="D5:E5" si="2">D88</f>
        <v>0</v>
      </c>
      <c r="E5" s="339">
        <f t="shared" si="2"/>
        <v>0</v>
      </c>
    </row>
    <row r="6" spans="1:5" ht="14.25" x14ac:dyDescent="0.2">
      <c r="A6" s="30"/>
      <c r="B6" s="134" t="s">
        <v>333</v>
      </c>
      <c r="C6" s="354"/>
      <c r="D6" s="354"/>
      <c r="E6" s="354"/>
    </row>
    <row r="7" spans="1:5" ht="14.25" x14ac:dyDescent="0.2">
      <c r="A7" s="30"/>
      <c r="B7" s="134" t="s">
        <v>626</v>
      </c>
      <c r="C7" s="343">
        <f>C3-C6</f>
        <v>1502584961.8445816</v>
      </c>
      <c r="D7" s="343">
        <f t="shared" ref="D7:E7" si="3">D3-D6</f>
        <v>1502584961.8445816</v>
      </c>
      <c r="E7" s="343">
        <f t="shared" si="3"/>
        <v>1502584961.8445816</v>
      </c>
    </row>
    <row r="8" spans="1:5" ht="14.25" x14ac:dyDescent="0.2">
      <c r="A8" s="30"/>
      <c r="B8" s="31" t="s">
        <v>562</v>
      </c>
      <c r="C8" s="30"/>
      <c r="D8" s="30"/>
      <c r="E8" s="30"/>
    </row>
    <row r="9" spans="1:5" ht="14.25" x14ac:dyDescent="0.2">
      <c r="A9" s="30"/>
      <c r="B9" s="154" t="s">
        <v>570</v>
      </c>
      <c r="C9" s="247">
        <f>C84</f>
        <v>68925.915680944105</v>
      </c>
      <c r="D9" s="247">
        <f t="shared" ref="D9:E9" si="4">D84</f>
        <v>68925.915680944105</v>
      </c>
      <c r="E9" s="247">
        <f t="shared" si="4"/>
        <v>68925.915680944105</v>
      </c>
    </row>
    <row r="10" spans="1:5" ht="14.25" x14ac:dyDescent="0.2">
      <c r="A10" s="30"/>
      <c r="B10" s="30"/>
      <c r="C10" s="30"/>
      <c r="D10" s="30"/>
      <c r="E10" s="30"/>
    </row>
    <row r="11" spans="1:5" ht="14.25" x14ac:dyDescent="0.2">
      <c r="A11" s="382" t="s">
        <v>112</v>
      </c>
      <c r="B11" s="400"/>
      <c r="C11" s="400"/>
      <c r="D11" s="400"/>
      <c r="E11" s="400"/>
    </row>
    <row r="12" spans="1:5" customFormat="1" x14ac:dyDescent="0.25">
      <c r="B12" s="122" t="s">
        <v>22</v>
      </c>
      <c r="C12" s="54"/>
      <c r="D12" s="54"/>
      <c r="E12" s="54"/>
    </row>
    <row r="13" spans="1:5" customFormat="1" x14ac:dyDescent="0.25">
      <c r="B13" s="40" t="s">
        <v>627</v>
      </c>
      <c r="C13" s="195">
        <v>0.6</v>
      </c>
      <c r="D13" s="200">
        <v>0.6</v>
      </c>
      <c r="E13" s="200">
        <v>0.6</v>
      </c>
    </row>
    <row r="14" spans="1:5" ht="14.25" x14ac:dyDescent="0.2">
      <c r="A14" s="30"/>
      <c r="B14" s="40" t="s">
        <v>113</v>
      </c>
      <c r="C14" s="164">
        <v>1</v>
      </c>
      <c r="D14" s="173">
        <v>1</v>
      </c>
      <c r="E14" s="173">
        <v>1</v>
      </c>
    </row>
    <row r="15" spans="1:5" ht="14.25" x14ac:dyDescent="0.2">
      <c r="A15" s="30"/>
      <c r="B15" s="40" t="s">
        <v>114</v>
      </c>
      <c r="C15" s="164">
        <v>20</v>
      </c>
      <c r="D15" s="173">
        <v>20</v>
      </c>
      <c r="E15" s="173">
        <v>20</v>
      </c>
    </row>
    <row r="16" spans="1:5" ht="14.25" x14ac:dyDescent="0.2">
      <c r="A16" s="30"/>
      <c r="B16" s="40" t="s">
        <v>116</v>
      </c>
      <c r="C16" s="164">
        <v>40</v>
      </c>
      <c r="D16" s="173">
        <v>40</v>
      </c>
      <c r="E16" s="173">
        <v>40</v>
      </c>
    </row>
    <row r="17" spans="1:5" ht="14.25" x14ac:dyDescent="0.2">
      <c r="A17" s="30"/>
      <c r="B17" s="40" t="s">
        <v>117</v>
      </c>
      <c r="C17" s="368">
        <v>120000</v>
      </c>
      <c r="D17" s="354">
        <v>120000</v>
      </c>
      <c r="E17" s="354">
        <v>120000</v>
      </c>
    </row>
    <row r="18" spans="1:5" ht="14.25" x14ac:dyDescent="0.2">
      <c r="A18" s="30"/>
      <c r="B18" s="163" t="s">
        <v>118</v>
      </c>
      <c r="C18" s="372">
        <v>20000</v>
      </c>
      <c r="D18" s="373">
        <v>20000</v>
      </c>
      <c r="E18" s="373">
        <v>20000</v>
      </c>
    </row>
    <row r="19" spans="1:5" ht="14.25" x14ac:dyDescent="0.2">
      <c r="B19" s="163" t="s">
        <v>568</v>
      </c>
      <c r="C19" s="248">
        <f>(ECD_centres_subsidised*C13)/C16*C14</f>
        <v>1033.8887352141614</v>
      </c>
      <c r="D19" s="248">
        <f>(ECD_centres_subsidised*D13)/D16*D14</f>
        <v>1033.8887352141614</v>
      </c>
      <c r="E19" s="248">
        <f>(ECD_centres_subsidised*E13)/E16*E14</f>
        <v>1033.8887352141614</v>
      </c>
    </row>
    <row r="81" spans="1:5" ht="15.75" customHeight="1" x14ac:dyDescent="0.25"/>
    <row r="82" spans="1:5" x14ac:dyDescent="0.25">
      <c r="A82" s="2" t="s">
        <v>338</v>
      </c>
    </row>
    <row r="84" spans="1:5" ht="14.25" x14ac:dyDescent="0.2">
      <c r="B84" s="30" t="s">
        <v>569</v>
      </c>
      <c r="C84" s="146">
        <f>ECD_centres_subsidised</f>
        <v>68925.915680944105</v>
      </c>
      <c r="D84" s="146">
        <f>ECD_centres_subsidised</f>
        <v>68925.915680944105</v>
      </c>
      <c r="E84" s="146">
        <f>ECD_centres_subsidised</f>
        <v>68925.915680944105</v>
      </c>
    </row>
    <row r="85" spans="1:5" x14ac:dyDescent="0.25">
      <c r="B85" s="3" t="s">
        <v>457</v>
      </c>
    </row>
  </sheetData>
  <sheetProtection sheet="1" objects="1" scenarios="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87"/>
  <sheetViews>
    <sheetView showGridLines="0" workbookViewId="0">
      <pane ySplit="1" topLeftCell="A5" activePane="bottomLeft" state="frozen"/>
      <selection pane="bottomLeft" activeCell="C20" sqref="C20"/>
    </sheetView>
  </sheetViews>
  <sheetFormatPr defaultRowHeight="15" x14ac:dyDescent="0.25"/>
  <cols>
    <col min="1" max="1" width="2.140625" style="3" customWidth="1"/>
    <col min="2" max="2" width="61.85546875" customWidth="1"/>
    <col min="3" max="5" width="18" customWidth="1"/>
    <col min="6" max="6" width="12.28515625" style="3" customWidth="1"/>
    <col min="7" max="7" width="19.42578125" style="3" customWidth="1"/>
    <col min="8" max="16384" width="9.140625" style="3"/>
  </cols>
  <sheetData>
    <row r="1" spans="1:5" ht="15.75" x14ac:dyDescent="0.25">
      <c r="A1" s="30"/>
      <c r="B1" s="335" t="str">
        <f>A12</f>
        <v>Home-based visiting programme</v>
      </c>
      <c r="C1" s="336" t="s">
        <v>335</v>
      </c>
      <c r="D1" s="337" t="s">
        <v>336</v>
      </c>
      <c r="E1" s="338" t="s">
        <v>337</v>
      </c>
    </row>
    <row r="2" spans="1:5" ht="14.25" x14ac:dyDescent="0.2">
      <c r="A2" s="30"/>
      <c r="B2" s="123" t="s">
        <v>331</v>
      </c>
      <c r="C2" s="339">
        <f>SUM(C3:C4)</f>
        <v>382000000</v>
      </c>
      <c r="D2" s="339">
        <f t="shared" ref="D2:E2" si="0">SUM(D3:D4)</f>
        <v>209000000</v>
      </c>
      <c r="E2" s="339">
        <f t="shared" si="0"/>
        <v>295500000</v>
      </c>
    </row>
    <row r="3" spans="1:5" ht="14.25" x14ac:dyDescent="0.2">
      <c r="A3" s="30"/>
      <c r="B3" s="126" t="s">
        <v>329</v>
      </c>
      <c r="C3" s="340">
        <f>C84+C85+C86+C87</f>
        <v>382000000</v>
      </c>
      <c r="D3" s="340">
        <f t="shared" ref="D3:E3" si="1">D84+D85+D86+D87</f>
        <v>209000000</v>
      </c>
      <c r="E3" s="340">
        <f t="shared" si="1"/>
        <v>295500000</v>
      </c>
    </row>
    <row r="4" spans="1:5" ht="14.25" x14ac:dyDescent="0.2">
      <c r="A4" s="30"/>
      <c r="B4" s="128" t="s">
        <v>330</v>
      </c>
      <c r="C4" s="341">
        <f>C89</f>
        <v>0</v>
      </c>
      <c r="D4" s="341">
        <f t="shared" ref="D4:E4" si="2">D89</f>
        <v>0</v>
      </c>
      <c r="E4" s="341">
        <f t="shared" si="2"/>
        <v>0</v>
      </c>
    </row>
    <row r="5" spans="1:5" ht="14.25" x14ac:dyDescent="0.2">
      <c r="A5" s="30"/>
      <c r="B5" s="130" t="s">
        <v>332</v>
      </c>
      <c r="C5" s="339">
        <f>C88</f>
        <v>0</v>
      </c>
      <c r="D5" s="339">
        <f t="shared" ref="D5:E5" si="3">D88</f>
        <v>0</v>
      </c>
      <c r="E5" s="339">
        <f t="shared" si="3"/>
        <v>0</v>
      </c>
    </row>
    <row r="6" spans="1:5" ht="14.25" x14ac:dyDescent="0.2">
      <c r="A6" s="30"/>
      <c r="B6" s="134" t="s">
        <v>333</v>
      </c>
      <c r="C6" s="354"/>
      <c r="D6" s="354"/>
      <c r="E6" s="354"/>
    </row>
    <row r="7" spans="1:5" ht="14.25" x14ac:dyDescent="0.2">
      <c r="A7" s="30"/>
      <c r="B7" s="134" t="s">
        <v>626</v>
      </c>
      <c r="C7" s="343">
        <f>C3-C6</f>
        <v>382000000</v>
      </c>
      <c r="D7" s="343">
        <f t="shared" ref="D7:E7" si="4">D3-D6</f>
        <v>209000000</v>
      </c>
      <c r="E7" s="343">
        <f t="shared" si="4"/>
        <v>295500000</v>
      </c>
    </row>
    <row r="8" spans="1:5" ht="14.25" x14ac:dyDescent="0.2">
      <c r="A8" s="30"/>
      <c r="B8" s="155" t="s">
        <v>562</v>
      </c>
      <c r="C8" s="156"/>
      <c r="D8" s="156"/>
      <c r="E8" s="156"/>
    </row>
    <row r="9" spans="1:5" ht="14.25" x14ac:dyDescent="0.2">
      <c r="A9" s="30"/>
      <c r="B9" s="130" t="s">
        <v>646</v>
      </c>
      <c r="C9" s="153">
        <f>C17*C16*C14*C18</f>
        <v>160000</v>
      </c>
      <c r="D9" s="153">
        <f t="shared" ref="D9:E9" si="5">D17*D16*D14*D18</f>
        <v>80000</v>
      </c>
      <c r="E9" s="153">
        <f t="shared" si="5"/>
        <v>120000</v>
      </c>
    </row>
    <row r="10" spans="1:5" ht="14.25" x14ac:dyDescent="0.2">
      <c r="A10" s="30"/>
      <c r="B10" s="154" t="s">
        <v>645</v>
      </c>
      <c r="C10" s="150">
        <f>C18*C17</f>
        <v>400</v>
      </c>
      <c r="D10" s="150">
        <f t="shared" ref="D10:E10" si="6">D18*D17</f>
        <v>200</v>
      </c>
      <c r="E10" s="150">
        <f t="shared" si="6"/>
        <v>300</v>
      </c>
    </row>
    <row r="11" spans="1:5" ht="14.25" x14ac:dyDescent="0.2">
      <c r="A11" s="30"/>
      <c r="B11" s="30"/>
      <c r="C11" s="30"/>
      <c r="D11" s="30"/>
      <c r="E11" s="30"/>
    </row>
    <row r="12" spans="1:5" ht="14.25" x14ac:dyDescent="0.2">
      <c r="A12" s="382" t="s">
        <v>119</v>
      </c>
      <c r="B12" s="384"/>
      <c r="C12" s="384"/>
      <c r="D12" s="384"/>
      <c r="E12" s="384"/>
    </row>
    <row r="13" spans="1:5" x14ac:dyDescent="0.25">
      <c r="A13"/>
      <c r="B13" s="122" t="s">
        <v>22</v>
      </c>
      <c r="C13" s="54"/>
      <c r="D13" s="54"/>
      <c r="E13" s="54"/>
    </row>
    <row r="14" spans="1:5" ht="14.25" x14ac:dyDescent="0.2">
      <c r="A14" s="30"/>
      <c r="B14" s="160" t="s">
        <v>120</v>
      </c>
      <c r="C14" s="166">
        <v>20</v>
      </c>
      <c r="D14" s="172">
        <v>20</v>
      </c>
      <c r="E14" s="172">
        <v>20</v>
      </c>
    </row>
    <row r="15" spans="1:5" ht="14.25" x14ac:dyDescent="0.2">
      <c r="A15" s="30"/>
      <c r="B15" s="40" t="s">
        <v>121</v>
      </c>
      <c r="C15" s="164">
        <v>10</v>
      </c>
      <c r="D15" s="173">
        <v>10</v>
      </c>
      <c r="E15" s="173">
        <v>10</v>
      </c>
    </row>
    <row r="16" spans="1:5" ht="14.25" x14ac:dyDescent="0.2">
      <c r="A16" s="30"/>
      <c r="B16" s="163" t="s">
        <v>122</v>
      </c>
      <c r="C16" s="165">
        <v>20</v>
      </c>
      <c r="D16" s="174">
        <v>20</v>
      </c>
      <c r="E16" s="174">
        <v>20</v>
      </c>
    </row>
    <row r="17" spans="1:5" ht="14.25" x14ac:dyDescent="0.2">
      <c r="A17" s="30"/>
      <c r="B17" s="160" t="s">
        <v>123</v>
      </c>
      <c r="C17" s="166">
        <v>200</v>
      </c>
      <c r="D17" s="172">
        <v>100</v>
      </c>
      <c r="E17" s="172">
        <v>150</v>
      </c>
    </row>
    <row r="18" spans="1:5" ht="14.25" x14ac:dyDescent="0.2">
      <c r="A18" s="30"/>
      <c r="B18" s="163" t="s">
        <v>124</v>
      </c>
      <c r="C18" s="165">
        <v>2</v>
      </c>
      <c r="D18" s="174">
        <v>2</v>
      </c>
      <c r="E18" s="174">
        <v>2</v>
      </c>
    </row>
    <row r="19" spans="1:5" ht="14.25" x14ac:dyDescent="0.2">
      <c r="A19" s="30"/>
      <c r="B19" s="30" t="s">
        <v>458</v>
      </c>
      <c r="C19" s="114">
        <v>80</v>
      </c>
      <c r="D19" s="186">
        <v>80</v>
      </c>
      <c r="E19" s="186">
        <v>80</v>
      </c>
    </row>
    <row r="20" spans="1:5" ht="14.25" x14ac:dyDescent="0.2">
      <c r="A20" s="30"/>
      <c r="B20" s="160" t="s">
        <v>126</v>
      </c>
      <c r="C20" s="346">
        <v>800000</v>
      </c>
      <c r="D20" s="347">
        <v>800000</v>
      </c>
      <c r="E20" s="347">
        <v>800000</v>
      </c>
    </row>
    <row r="21" spans="1:5" ht="14.25" x14ac:dyDescent="0.2">
      <c r="A21" s="30"/>
      <c r="B21" s="40" t="s">
        <v>127</v>
      </c>
      <c r="C21" s="368">
        <v>25000</v>
      </c>
      <c r="D21" s="354">
        <v>25000</v>
      </c>
      <c r="E21" s="354">
        <v>25000</v>
      </c>
    </row>
    <row r="22" spans="1:5" ht="14.25" x14ac:dyDescent="0.2">
      <c r="A22" s="30"/>
      <c r="B22" s="40" t="s">
        <v>128</v>
      </c>
      <c r="C22" s="368">
        <v>40000</v>
      </c>
      <c r="D22" s="354">
        <v>40000</v>
      </c>
      <c r="E22" s="354">
        <v>40000</v>
      </c>
    </row>
    <row r="23" spans="1:5" ht="14.25" x14ac:dyDescent="0.2">
      <c r="A23" s="30"/>
      <c r="B23" s="163" t="s">
        <v>129</v>
      </c>
      <c r="C23" s="372">
        <v>450000</v>
      </c>
      <c r="D23" s="373">
        <v>450000</v>
      </c>
      <c r="E23" s="373">
        <v>450000</v>
      </c>
    </row>
    <row r="24" spans="1:5" ht="14.25" x14ac:dyDescent="0.2">
      <c r="B24" s="167" t="s">
        <v>767</v>
      </c>
      <c r="C24" s="184">
        <f>C10</f>
        <v>400</v>
      </c>
      <c r="D24" s="184">
        <f t="shared" ref="D24:E24" si="7">D10</f>
        <v>200</v>
      </c>
      <c r="E24" s="184">
        <f t="shared" si="7"/>
        <v>300</v>
      </c>
    </row>
    <row r="25" spans="1:5" ht="14.25" x14ac:dyDescent="0.2">
      <c r="B25" s="167" t="s">
        <v>768</v>
      </c>
      <c r="C25" s="184">
        <f>C10*C14</f>
        <v>8000</v>
      </c>
      <c r="D25" s="184">
        <f t="shared" ref="D25:E25" si="8">D10*D14</f>
        <v>4000</v>
      </c>
      <c r="E25" s="184">
        <f t="shared" si="8"/>
        <v>6000</v>
      </c>
    </row>
    <row r="26" spans="1:5" ht="14.25" x14ac:dyDescent="0.2">
      <c r="B26" s="3"/>
      <c r="C26" s="3"/>
      <c r="D26" s="3"/>
      <c r="E26" s="3"/>
    </row>
    <row r="80" spans="1:1" x14ac:dyDescent="0.25">
      <c r="A80" s="3" t="s">
        <v>338</v>
      </c>
    </row>
    <row r="84" spans="2:5" ht="14.25" x14ac:dyDescent="0.2">
      <c r="B84" s="3" t="s">
        <v>460</v>
      </c>
      <c r="C84" s="115">
        <f>C10*C20</f>
        <v>320000000</v>
      </c>
      <c r="D84" s="115">
        <f>D10*D20</f>
        <v>160000000</v>
      </c>
      <c r="E84" s="115">
        <f>E10*E20</f>
        <v>240000000</v>
      </c>
    </row>
    <row r="85" spans="2:5" ht="14.25" x14ac:dyDescent="0.2">
      <c r="B85" s="3" t="s">
        <v>461</v>
      </c>
      <c r="C85" s="115">
        <f>C21*C10</f>
        <v>10000000</v>
      </c>
      <c r="D85" s="115">
        <f>D21*D10</f>
        <v>5000000</v>
      </c>
      <c r="E85" s="115">
        <f>E21*E10</f>
        <v>7500000</v>
      </c>
    </row>
    <row r="86" spans="2:5" ht="14.25" x14ac:dyDescent="0.2">
      <c r="B86" s="3" t="s">
        <v>128</v>
      </c>
      <c r="C86" s="115">
        <f>C22*C10</f>
        <v>16000000</v>
      </c>
      <c r="D86" s="115">
        <f>D22*D10</f>
        <v>8000000</v>
      </c>
      <c r="E86" s="115">
        <f>E22*E10</f>
        <v>12000000</v>
      </c>
    </row>
    <row r="87" spans="2:5" ht="14.25" x14ac:dyDescent="0.2">
      <c r="B87" s="3" t="s">
        <v>459</v>
      </c>
      <c r="C87" s="115">
        <f>C23*C19</f>
        <v>36000000</v>
      </c>
      <c r="D87" s="115">
        <f t="shared" ref="D87:E87" si="9">D23*D19</f>
        <v>36000000</v>
      </c>
      <c r="E87" s="115">
        <f t="shared" si="9"/>
        <v>36000000</v>
      </c>
    </row>
  </sheetData>
  <sheetProtection sheet="1" objects="1" scenarios="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96"/>
  <sheetViews>
    <sheetView showGridLines="0" workbookViewId="0">
      <pane ySplit="1" topLeftCell="A2" activePane="bottomLeft" state="frozen"/>
      <selection pane="bottomLeft" activeCell="C14" sqref="C14"/>
    </sheetView>
  </sheetViews>
  <sheetFormatPr defaultRowHeight="15" x14ac:dyDescent="0.25"/>
  <cols>
    <col min="1" max="1" width="4.140625" customWidth="1"/>
    <col min="2" max="2" width="61.85546875" customWidth="1"/>
    <col min="3" max="3" width="21.85546875" customWidth="1"/>
    <col min="4" max="5" width="18" customWidth="1"/>
    <col min="6" max="6" width="12.28515625" customWidth="1"/>
    <col min="7" max="7" width="19.42578125" customWidth="1"/>
  </cols>
  <sheetData>
    <row r="1" spans="1:5" ht="15.75" x14ac:dyDescent="0.25">
      <c r="A1" s="30"/>
      <c r="B1" s="335" t="str">
        <f>A11</f>
        <v>Community based playgroups</v>
      </c>
      <c r="C1" s="336" t="s">
        <v>335</v>
      </c>
      <c r="D1" s="337" t="s">
        <v>336</v>
      </c>
      <c r="E1" s="338" t="s">
        <v>337</v>
      </c>
    </row>
    <row r="2" spans="1:5" x14ac:dyDescent="0.25">
      <c r="A2" s="30"/>
      <c r="B2" s="123" t="s">
        <v>331</v>
      </c>
      <c r="C2" s="339">
        <f>SUM(C3:C4)</f>
        <v>786000000</v>
      </c>
      <c r="D2" s="339">
        <f t="shared" ref="D2:E2" si="0">SUM(D3:D4)</f>
        <v>786000000</v>
      </c>
      <c r="E2" s="339">
        <f t="shared" si="0"/>
        <v>786000000</v>
      </c>
    </row>
    <row r="3" spans="1:5" x14ac:dyDescent="0.25">
      <c r="A3" s="30"/>
      <c r="B3" s="126" t="s">
        <v>329</v>
      </c>
      <c r="C3" s="340">
        <f>C91+C92+C93</f>
        <v>486000000</v>
      </c>
      <c r="D3" s="340">
        <f t="shared" ref="D3:E3" si="1">D91+D92+D93</f>
        <v>486000000</v>
      </c>
      <c r="E3" s="340">
        <f t="shared" si="1"/>
        <v>486000000</v>
      </c>
    </row>
    <row r="4" spans="1:5" x14ac:dyDescent="0.25">
      <c r="A4" s="30"/>
      <c r="B4" s="128" t="s">
        <v>330</v>
      </c>
      <c r="C4" s="341">
        <f>C88</f>
        <v>300000000</v>
      </c>
      <c r="D4" s="341">
        <f t="shared" ref="D4:E4" si="2">D88</f>
        <v>300000000</v>
      </c>
      <c r="E4" s="341">
        <f t="shared" si="2"/>
        <v>300000000</v>
      </c>
    </row>
    <row r="5" spans="1:5" x14ac:dyDescent="0.25">
      <c r="A5" s="30"/>
      <c r="B5" s="130" t="s">
        <v>332</v>
      </c>
      <c r="C5" s="339">
        <f>C89</f>
        <v>300000000</v>
      </c>
      <c r="D5" s="339">
        <f t="shared" ref="D5:E5" si="3">D89</f>
        <v>300000000</v>
      </c>
      <c r="E5" s="339">
        <f t="shared" si="3"/>
        <v>300000000</v>
      </c>
    </row>
    <row r="6" spans="1:5" x14ac:dyDescent="0.25">
      <c r="A6" s="30"/>
      <c r="B6" s="134" t="s">
        <v>333</v>
      </c>
      <c r="C6" s="354"/>
      <c r="D6" s="354"/>
      <c r="E6" s="354"/>
    </row>
    <row r="7" spans="1:5" x14ac:dyDescent="0.25">
      <c r="A7" s="30"/>
      <c r="B7" s="134" t="s">
        <v>626</v>
      </c>
      <c r="C7" s="343">
        <f>C3-C6</f>
        <v>486000000</v>
      </c>
      <c r="D7" s="343">
        <f t="shared" ref="D7:E7" si="4">D3-D6</f>
        <v>486000000</v>
      </c>
      <c r="E7" s="343">
        <f t="shared" si="4"/>
        <v>486000000</v>
      </c>
    </row>
    <row r="8" spans="1:5" x14ac:dyDescent="0.25">
      <c r="A8" s="30"/>
      <c r="B8" s="69" t="s">
        <v>562</v>
      </c>
      <c r="C8" s="125"/>
      <c r="D8" s="125"/>
      <c r="E8" s="125"/>
    </row>
    <row r="9" spans="1:5" x14ac:dyDescent="0.25">
      <c r="A9" s="30"/>
      <c r="B9" s="154" t="s">
        <v>571</v>
      </c>
      <c r="C9" s="150">
        <f>C86</f>
        <v>1000</v>
      </c>
      <c r="D9" s="150">
        <f t="shared" ref="D9:E9" si="5">D86</f>
        <v>1000</v>
      </c>
      <c r="E9" s="150">
        <f t="shared" si="5"/>
        <v>1000</v>
      </c>
    </row>
    <row r="10" spans="1:5" x14ac:dyDescent="0.25">
      <c r="A10" s="30"/>
      <c r="B10" s="32"/>
      <c r="C10" s="30"/>
      <c r="D10" s="30"/>
      <c r="E10" s="30"/>
    </row>
    <row r="11" spans="1:5" x14ac:dyDescent="0.25">
      <c r="A11" s="382" t="s">
        <v>130</v>
      </c>
      <c r="B11" s="384"/>
      <c r="C11" s="384"/>
      <c r="D11" s="384"/>
      <c r="E11" s="384"/>
    </row>
    <row r="12" spans="1:5" x14ac:dyDescent="0.25">
      <c r="B12" s="122" t="s">
        <v>22</v>
      </c>
      <c r="C12" s="54"/>
      <c r="D12" s="54"/>
      <c r="E12" s="54"/>
    </row>
    <row r="13" spans="1:5" x14ac:dyDescent="0.25">
      <c r="A13" s="30"/>
      <c r="B13" s="160" t="s">
        <v>123</v>
      </c>
      <c r="C13" s="166">
        <v>200</v>
      </c>
      <c r="D13" s="172">
        <v>200</v>
      </c>
      <c r="E13" s="172">
        <v>200</v>
      </c>
    </row>
    <row r="14" spans="1:5" x14ac:dyDescent="0.25">
      <c r="A14" s="30"/>
      <c r="B14" s="40" t="s">
        <v>124</v>
      </c>
      <c r="C14" s="164">
        <v>5</v>
      </c>
      <c r="D14" s="173">
        <v>5</v>
      </c>
      <c r="E14" s="173">
        <v>5</v>
      </c>
    </row>
    <row r="15" spans="1:5" x14ac:dyDescent="0.25">
      <c r="A15" s="30"/>
      <c r="B15" s="40" t="s">
        <v>628</v>
      </c>
      <c r="C15" s="411">
        <v>2</v>
      </c>
      <c r="D15" s="173">
        <v>2</v>
      </c>
      <c r="E15" s="173">
        <v>2</v>
      </c>
    </row>
    <row r="16" spans="1:5" x14ac:dyDescent="0.25">
      <c r="A16" s="30"/>
      <c r="B16" s="40" t="s">
        <v>464</v>
      </c>
      <c r="C16" s="164">
        <v>5</v>
      </c>
      <c r="D16" s="173">
        <v>5</v>
      </c>
      <c r="E16" s="173">
        <v>5</v>
      </c>
    </row>
    <row r="17" spans="1:5" x14ac:dyDescent="0.25">
      <c r="A17" s="30"/>
      <c r="B17" s="40" t="s">
        <v>132</v>
      </c>
      <c r="C17" s="368">
        <v>180000</v>
      </c>
      <c r="D17" s="354">
        <v>180000</v>
      </c>
      <c r="E17" s="354">
        <v>180000</v>
      </c>
    </row>
    <row r="18" spans="1:5" x14ac:dyDescent="0.25">
      <c r="A18" s="30"/>
      <c r="B18" s="40" t="s">
        <v>133</v>
      </c>
      <c r="C18" s="368">
        <v>60000</v>
      </c>
      <c r="D18" s="354">
        <v>60000</v>
      </c>
      <c r="E18" s="354">
        <v>60000</v>
      </c>
    </row>
    <row r="19" spans="1:5" x14ac:dyDescent="0.25">
      <c r="A19" s="30"/>
      <c r="B19" s="163" t="s">
        <v>134</v>
      </c>
      <c r="C19" s="372">
        <v>30000</v>
      </c>
      <c r="D19" s="373">
        <v>30000</v>
      </c>
      <c r="E19" s="373">
        <v>30000</v>
      </c>
    </row>
    <row r="20" spans="1:5" x14ac:dyDescent="0.25">
      <c r="A20" s="30"/>
      <c r="B20" s="30" t="s">
        <v>135</v>
      </c>
      <c r="C20" s="374"/>
      <c r="D20" s="374"/>
      <c r="E20" s="374"/>
    </row>
    <row r="21" spans="1:5" x14ac:dyDescent="0.25">
      <c r="A21" s="30"/>
      <c r="B21" s="170" t="s">
        <v>136</v>
      </c>
      <c r="C21" s="344">
        <v>220000</v>
      </c>
      <c r="D21" s="345">
        <v>220000</v>
      </c>
      <c r="E21" s="345">
        <v>220000</v>
      </c>
    </row>
    <row r="22" spans="1:5" x14ac:dyDescent="0.25">
      <c r="A22" s="30"/>
      <c r="B22" s="170" t="s">
        <v>137</v>
      </c>
      <c r="C22" s="344">
        <v>80000</v>
      </c>
      <c r="D22" s="345">
        <v>80000</v>
      </c>
      <c r="E22" s="345">
        <v>80000</v>
      </c>
    </row>
    <row r="23" spans="1:5" x14ac:dyDescent="0.25">
      <c r="A23" s="30"/>
      <c r="B23" s="167" t="s">
        <v>629</v>
      </c>
      <c r="C23" s="409">
        <f>C86/C16</f>
        <v>200</v>
      </c>
      <c r="D23" s="409">
        <f t="shared" ref="D23:E23" si="6">D86/D16</f>
        <v>200</v>
      </c>
      <c r="E23" s="409">
        <f t="shared" si="6"/>
        <v>200</v>
      </c>
    </row>
    <row r="24" spans="1:5" x14ac:dyDescent="0.25">
      <c r="A24" s="3"/>
      <c r="B24" s="167" t="s">
        <v>568</v>
      </c>
      <c r="C24" s="410">
        <f>C86*C15</f>
        <v>2000</v>
      </c>
      <c r="D24" s="410">
        <f t="shared" ref="D24:E24" si="7">D86*D15</f>
        <v>2000</v>
      </c>
      <c r="E24" s="410">
        <f t="shared" si="7"/>
        <v>2000</v>
      </c>
    </row>
    <row r="85" spans="1:6" x14ac:dyDescent="0.25">
      <c r="B85" s="3"/>
      <c r="C85" s="3"/>
      <c r="D85" s="3"/>
      <c r="E85" s="3"/>
    </row>
    <row r="86" spans="1:6" x14ac:dyDescent="0.25">
      <c r="A86" s="2" t="s">
        <v>338</v>
      </c>
      <c r="B86" s="3" t="s">
        <v>462</v>
      </c>
      <c r="C86" s="3">
        <f>C13*C14</f>
        <v>1000</v>
      </c>
      <c r="D86" s="3">
        <f t="shared" ref="D86:E86" si="8">D13*D14</f>
        <v>1000</v>
      </c>
      <c r="E86" s="3">
        <f t="shared" si="8"/>
        <v>1000</v>
      </c>
    </row>
    <row r="87" spans="1:6" x14ac:dyDescent="0.25">
      <c r="A87" s="3"/>
      <c r="B87" s="3"/>
      <c r="C87" s="3"/>
      <c r="D87" s="3"/>
      <c r="E87" s="3"/>
    </row>
    <row r="88" spans="1:6" x14ac:dyDescent="0.25">
      <c r="A88" s="3"/>
      <c r="B88" s="3" t="s">
        <v>463</v>
      </c>
      <c r="C88" s="115">
        <f>(C21*C86+C22*C86)/C95</f>
        <v>300000000</v>
      </c>
      <c r="D88" s="115">
        <f t="shared" ref="D88:E88" si="9">(D21*D86+D22*D86)/D95</f>
        <v>300000000</v>
      </c>
      <c r="E88" s="115">
        <f t="shared" si="9"/>
        <v>300000000</v>
      </c>
    </row>
    <row r="89" spans="1:6" x14ac:dyDescent="0.25">
      <c r="A89" s="3"/>
      <c r="B89" s="3" t="s">
        <v>468</v>
      </c>
      <c r="C89" s="115">
        <f>C22*C86+C21*C86</f>
        <v>300000000</v>
      </c>
      <c r="D89" s="115">
        <f t="shared" ref="D89:E89" si="10">D22*D86+D21*D86</f>
        <v>300000000</v>
      </c>
      <c r="E89" s="115">
        <f t="shared" si="10"/>
        <v>300000000</v>
      </c>
    </row>
    <row r="90" spans="1:6" x14ac:dyDescent="0.25">
      <c r="A90" s="3"/>
    </row>
    <row r="91" spans="1:6" x14ac:dyDescent="0.25">
      <c r="A91" s="3"/>
      <c r="B91" s="3" t="s">
        <v>630</v>
      </c>
      <c r="C91" s="115">
        <f>C23*C17+C24*C17</f>
        <v>396000000</v>
      </c>
      <c r="D91" s="115">
        <f t="shared" ref="D91:E91" si="11">D23*D17+D24*D17</f>
        <v>396000000</v>
      </c>
      <c r="E91" s="115">
        <f t="shared" si="11"/>
        <v>396000000</v>
      </c>
      <c r="F91" s="115"/>
    </row>
    <row r="92" spans="1:6" x14ac:dyDescent="0.25">
      <c r="A92" s="3"/>
      <c r="B92" s="3" t="s">
        <v>466</v>
      </c>
      <c r="C92" s="84">
        <f>C18*C86</f>
        <v>60000000</v>
      </c>
      <c r="D92" s="84">
        <f t="shared" ref="D92:E92" si="12">D18*D86</f>
        <v>60000000</v>
      </c>
      <c r="E92" s="84">
        <f t="shared" si="12"/>
        <v>60000000</v>
      </c>
    </row>
    <row r="93" spans="1:6" x14ac:dyDescent="0.25">
      <c r="A93" s="3"/>
      <c r="B93" s="3" t="s">
        <v>467</v>
      </c>
      <c r="C93" s="84">
        <f>C86*C19</f>
        <v>30000000</v>
      </c>
      <c r="D93" s="84">
        <f t="shared" ref="D93:E93" si="13">D86*D19</f>
        <v>30000000</v>
      </c>
      <c r="E93" s="84">
        <f t="shared" si="13"/>
        <v>30000000</v>
      </c>
    </row>
    <row r="94" spans="1:6" x14ac:dyDescent="0.25">
      <c r="A94" s="3"/>
      <c r="B94" s="3"/>
      <c r="C94" s="3"/>
      <c r="D94" s="3"/>
      <c r="E94" s="3"/>
    </row>
    <row r="95" spans="1:6" x14ac:dyDescent="0.25">
      <c r="A95" s="3"/>
      <c r="B95" s="30" t="s">
        <v>465</v>
      </c>
      <c r="C95" s="114">
        <v>1</v>
      </c>
      <c r="D95" s="114">
        <v>1</v>
      </c>
      <c r="E95" s="114">
        <v>1</v>
      </c>
    </row>
    <row r="96" spans="1:6" x14ac:dyDescent="0.25">
      <c r="A96" s="3"/>
    </row>
  </sheetData>
  <sheetProtection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19"/>
  <sheetViews>
    <sheetView showGridLines="0" tabSelected="1" workbookViewId="0">
      <pane ySplit="1" topLeftCell="A2" activePane="bottomLeft" state="frozen"/>
      <selection pane="bottomLeft" activeCell="C8" sqref="C8"/>
    </sheetView>
  </sheetViews>
  <sheetFormatPr defaultRowHeight="15" x14ac:dyDescent="0.25"/>
  <cols>
    <col min="1" max="1" width="4.140625" style="3" customWidth="1"/>
    <col min="2" max="2" width="70.85546875" customWidth="1"/>
    <col min="3" max="5" width="18" customWidth="1"/>
    <col min="6" max="6" width="12.28515625" style="3" customWidth="1"/>
    <col min="7" max="7" width="19.42578125" style="3" customWidth="1"/>
    <col min="8" max="16384" width="9.140625" style="3"/>
  </cols>
  <sheetData>
    <row r="1" spans="1:5" ht="15.75" x14ac:dyDescent="0.25">
      <c r="A1" s="30"/>
      <c r="B1" s="335" t="str">
        <f>A13</f>
        <v>Toy libraries</v>
      </c>
      <c r="C1" s="336" t="s">
        <v>335</v>
      </c>
      <c r="D1" s="337" t="s">
        <v>336</v>
      </c>
      <c r="E1" s="338" t="s">
        <v>337</v>
      </c>
    </row>
    <row r="2" spans="1:5" ht="14.25" x14ac:dyDescent="0.2">
      <c r="A2" s="30"/>
      <c r="B2" s="123" t="s">
        <v>331</v>
      </c>
      <c r="C2" s="339">
        <f>SUM(C3:C4)</f>
        <v>1598811600</v>
      </c>
      <c r="D2" s="339">
        <f t="shared" ref="D2:E2" si="0">SUM(D3:D4)</f>
        <v>1598811600</v>
      </c>
      <c r="E2" s="339">
        <f t="shared" si="0"/>
        <v>1598811600</v>
      </c>
    </row>
    <row r="3" spans="1:5" ht="14.25" x14ac:dyDescent="0.2">
      <c r="A3" s="30"/>
      <c r="B3" s="126" t="s">
        <v>329</v>
      </c>
      <c r="C3" s="340">
        <f>C104+C107+C108</f>
        <v>1149858000</v>
      </c>
      <c r="D3" s="340">
        <f t="shared" ref="D3:E3" si="1">D104+D107+D108</f>
        <v>1149858000</v>
      </c>
      <c r="E3" s="340">
        <f t="shared" si="1"/>
        <v>1149858000</v>
      </c>
    </row>
    <row r="4" spans="1:5" ht="14.25" x14ac:dyDescent="0.2">
      <c r="A4" s="30"/>
      <c r="B4" s="128" t="s">
        <v>330</v>
      </c>
      <c r="C4" s="341">
        <f>(C111+C112+C113)/C34</f>
        <v>448953600</v>
      </c>
      <c r="D4" s="341">
        <f t="shared" ref="D4:E4" si="2">(D111+D112+D113)/D34</f>
        <v>448953600</v>
      </c>
      <c r="E4" s="341">
        <f t="shared" si="2"/>
        <v>448953600</v>
      </c>
    </row>
    <row r="5" spans="1:5" ht="14.25" x14ac:dyDescent="0.2">
      <c r="A5" s="30"/>
      <c r="B5" s="130" t="s">
        <v>332</v>
      </c>
      <c r="C5" s="339">
        <f>C111+C112+C113</f>
        <v>2244768000</v>
      </c>
      <c r="D5" s="339">
        <f t="shared" ref="D5:E5" si="3">D111+D112+D113</f>
        <v>2244768000</v>
      </c>
      <c r="E5" s="339">
        <f t="shared" si="3"/>
        <v>2244768000</v>
      </c>
    </row>
    <row r="6" spans="1:5" ht="14.25" x14ac:dyDescent="0.2">
      <c r="A6" s="30"/>
      <c r="B6" s="134" t="s">
        <v>333</v>
      </c>
      <c r="C6" s="368"/>
      <c r="D6" s="354"/>
      <c r="E6" s="354"/>
    </row>
    <row r="7" spans="1:5" ht="14.25" x14ac:dyDescent="0.2">
      <c r="A7" s="30"/>
      <c r="B7" s="134" t="s">
        <v>626</v>
      </c>
      <c r="C7" s="343">
        <f>C3-C6</f>
        <v>1149858000</v>
      </c>
      <c r="D7" s="343">
        <f t="shared" ref="D7:E7" si="4">D3-D6</f>
        <v>1149858000</v>
      </c>
      <c r="E7" s="343">
        <f t="shared" si="4"/>
        <v>1149858000</v>
      </c>
    </row>
    <row r="8" spans="1:5" ht="14.25" x14ac:dyDescent="0.2">
      <c r="A8" s="30"/>
      <c r="B8" s="69" t="s">
        <v>562</v>
      </c>
      <c r="C8" s="3"/>
      <c r="D8" s="3"/>
      <c r="E8" s="3"/>
    </row>
    <row r="9" spans="1:5" ht="14.25" x14ac:dyDescent="0.2">
      <c r="A9" s="30"/>
      <c r="B9" s="32" t="s">
        <v>647</v>
      </c>
      <c r="C9" s="153">
        <f>SUM(C20:C22)</f>
        <v>9520.7999999999993</v>
      </c>
      <c r="D9" s="153">
        <f t="shared" ref="D9:E9" si="5">SUM(D20:D22)</f>
        <v>9520.7999999999993</v>
      </c>
      <c r="E9" s="153">
        <f t="shared" si="5"/>
        <v>9520.7999999999993</v>
      </c>
    </row>
    <row r="10" spans="1:5" ht="14.25" x14ac:dyDescent="0.2">
      <c r="A10" s="30"/>
      <c r="B10" s="32" t="s">
        <v>648</v>
      </c>
      <c r="C10" s="153">
        <f>C9/C34</f>
        <v>1904.1599999999999</v>
      </c>
      <c r="D10" s="153">
        <f>D9/D34</f>
        <v>1904.1599999999999</v>
      </c>
      <c r="E10" s="153">
        <f>E9/E34</f>
        <v>1904.1599999999999</v>
      </c>
    </row>
    <row r="11" spans="1:5" ht="14.25" x14ac:dyDescent="0.2">
      <c r="A11" s="30"/>
      <c r="B11" s="154" t="s">
        <v>649</v>
      </c>
      <c r="C11" s="150">
        <f>C23*(C20+C21)/C34</f>
        <v>245.4</v>
      </c>
      <c r="D11" s="150">
        <f t="shared" ref="D11:E11" si="6">D23*(D20+D21)/D34</f>
        <v>245.4</v>
      </c>
      <c r="E11" s="150">
        <f t="shared" si="6"/>
        <v>245.4</v>
      </c>
    </row>
    <row r="12" spans="1:5" ht="14.25" x14ac:dyDescent="0.2">
      <c r="A12" s="30"/>
      <c r="B12" s="31"/>
      <c r="C12" s="30"/>
      <c r="D12" s="30"/>
      <c r="E12" s="30"/>
    </row>
    <row r="13" spans="1:5" ht="14.25" x14ac:dyDescent="0.2">
      <c r="A13" s="382" t="s">
        <v>138</v>
      </c>
      <c r="B13" s="384"/>
      <c r="C13" s="384"/>
      <c r="D13" s="384"/>
      <c r="E13" s="384"/>
    </row>
    <row r="14" spans="1:5" x14ac:dyDescent="0.25">
      <c r="A14"/>
      <c r="B14" s="122" t="s">
        <v>22</v>
      </c>
      <c r="C14" s="54"/>
      <c r="D14" s="54"/>
      <c r="E14" s="54"/>
    </row>
    <row r="15" spans="1:5" s="30" customFormat="1" ht="12.75" x14ac:dyDescent="0.2">
      <c r="B15" s="250" t="s">
        <v>525</v>
      </c>
      <c r="C15" s="160"/>
      <c r="D15" s="160"/>
      <c r="E15" s="160"/>
    </row>
    <row r="16" spans="1:5" ht="14.25" x14ac:dyDescent="0.2">
      <c r="A16" s="30"/>
      <c r="B16" s="168" t="s">
        <v>140</v>
      </c>
      <c r="C16" s="195">
        <v>0.8</v>
      </c>
      <c r="D16" s="195">
        <v>0.8</v>
      </c>
      <c r="E16" s="195">
        <v>0.8</v>
      </c>
    </row>
    <row r="17" spans="1:5" ht="14.25" x14ac:dyDescent="0.2">
      <c r="A17" s="30"/>
      <c r="B17" s="168" t="s">
        <v>141</v>
      </c>
      <c r="C17" s="195">
        <v>1</v>
      </c>
      <c r="D17" s="200">
        <v>1</v>
      </c>
      <c r="E17" s="200">
        <v>1</v>
      </c>
    </row>
    <row r="18" spans="1:5" ht="14.25" x14ac:dyDescent="0.2">
      <c r="A18" s="30"/>
      <c r="B18" s="169" t="s">
        <v>142</v>
      </c>
      <c r="C18" s="196">
        <v>0.4</v>
      </c>
      <c r="D18" s="196">
        <v>0.4</v>
      </c>
      <c r="E18" s="196">
        <v>0.4</v>
      </c>
    </row>
    <row r="19" spans="1:5" ht="14.25" x14ac:dyDescent="0.2">
      <c r="A19" s="30"/>
      <c r="B19" s="157" t="s">
        <v>572</v>
      </c>
      <c r="C19" s="30"/>
      <c r="D19" s="30"/>
      <c r="E19" s="30"/>
    </row>
    <row r="20" spans="1:5" ht="14.25" x14ac:dyDescent="0.2">
      <c r="A20" s="30"/>
      <c r="B20" s="170" t="s">
        <v>140</v>
      </c>
      <c r="C20" s="249">
        <f>C96</f>
        <v>1320</v>
      </c>
      <c r="D20" s="249">
        <f t="shared" ref="D20:E20" si="7">D96</f>
        <v>1320</v>
      </c>
      <c r="E20" s="249">
        <f t="shared" si="7"/>
        <v>1320</v>
      </c>
    </row>
    <row r="21" spans="1:5" ht="14.25" x14ac:dyDescent="0.2">
      <c r="A21" s="30"/>
      <c r="B21" s="170" t="s">
        <v>141</v>
      </c>
      <c r="C21" s="249">
        <f>C99</f>
        <v>316</v>
      </c>
      <c r="D21" s="249">
        <f t="shared" ref="D21:E21" si="8">D99</f>
        <v>316</v>
      </c>
      <c r="E21" s="249">
        <f t="shared" si="8"/>
        <v>316</v>
      </c>
    </row>
    <row r="22" spans="1:5" ht="14.25" x14ac:dyDescent="0.2">
      <c r="A22" s="30"/>
      <c r="B22" s="169" t="s">
        <v>142</v>
      </c>
      <c r="C22" s="251">
        <f>C91</f>
        <v>7884.8</v>
      </c>
      <c r="D22" s="251">
        <f t="shared" ref="D22:E22" si="9">D91</f>
        <v>7884.8</v>
      </c>
      <c r="E22" s="251">
        <f t="shared" si="9"/>
        <v>7884.8</v>
      </c>
    </row>
    <row r="23" spans="1:5" ht="14.25" x14ac:dyDescent="0.2">
      <c r="A23" s="30"/>
      <c r="B23" s="252" t="s">
        <v>759</v>
      </c>
      <c r="C23" s="189">
        <v>0.75</v>
      </c>
      <c r="D23" s="189">
        <v>0.75</v>
      </c>
      <c r="E23" s="189">
        <v>0.75</v>
      </c>
    </row>
    <row r="24" spans="1:5" ht="14.25" x14ac:dyDescent="0.2">
      <c r="A24" s="30"/>
      <c r="B24" s="236" t="s">
        <v>469</v>
      </c>
      <c r="C24" s="165">
        <v>1</v>
      </c>
      <c r="D24" s="174">
        <v>1</v>
      </c>
      <c r="E24" s="174">
        <v>1</v>
      </c>
    </row>
    <row r="25" spans="1:5" ht="14.25" x14ac:dyDescent="0.2">
      <c r="A25" s="30"/>
      <c r="B25" s="135" t="s">
        <v>144</v>
      </c>
      <c r="C25" s="344">
        <v>80000</v>
      </c>
      <c r="D25" s="345">
        <v>80000</v>
      </c>
      <c r="E25" s="345">
        <v>80000</v>
      </c>
    </row>
    <row r="26" spans="1:5" ht="14.25" x14ac:dyDescent="0.2">
      <c r="A26" s="30"/>
      <c r="B26" s="135" t="s">
        <v>145</v>
      </c>
      <c r="C26" s="344">
        <v>20000</v>
      </c>
      <c r="D26" s="345">
        <v>20000</v>
      </c>
      <c r="E26" s="345">
        <v>20000</v>
      </c>
    </row>
    <row r="27" spans="1:5" ht="14.25" x14ac:dyDescent="0.2">
      <c r="A27" s="30"/>
      <c r="B27" s="135" t="s">
        <v>146</v>
      </c>
      <c r="C27" s="344">
        <v>5000</v>
      </c>
      <c r="D27" s="345">
        <v>5000</v>
      </c>
      <c r="E27" s="345">
        <v>5000</v>
      </c>
    </row>
    <row r="28" spans="1:5" ht="14.25" x14ac:dyDescent="0.2">
      <c r="A28" s="30"/>
      <c r="B28" s="135" t="s">
        <v>147</v>
      </c>
      <c r="C28" s="344">
        <v>15000</v>
      </c>
      <c r="D28" s="345">
        <v>15000</v>
      </c>
      <c r="E28" s="345">
        <v>15000</v>
      </c>
    </row>
    <row r="29" spans="1:5" ht="14.25" x14ac:dyDescent="0.2">
      <c r="A29" s="30"/>
      <c r="B29" s="135" t="s">
        <v>528</v>
      </c>
      <c r="C29" s="344">
        <v>30000</v>
      </c>
      <c r="D29" s="345">
        <v>30000</v>
      </c>
      <c r="E29" s="345">
        <v>30000</v>
      </c>
    </row>
    <row r="30" spans="1:5" ht="14.25" x14ac:dyDescent="0.2">
      <c r="A30" s="30"/>
      <c r="B30" s="135" t="s">
        <v>529</v>
      </c>
      <c r="C30" s="344">
        <v>100000</v>
      </c>
      <c r="D30" s="345">
        <v>100000</v>
      </c>
      <c r="E30" s="345">
        <v>100000</v>
      </c>
    </row>
    <row r="31" spans="1:5" ht="14.25" x14ac:dyDescent="0.2">
      <c r="A31" s="30"/>
      <c r="B31" s="253" t="s">
        <v>150</v>
      </c>
      <c r="C31" s="368">
        <v>80000</v>
      </c>
      <c r="D31" s="354">
        <v>80000</v>
      </c>
      <c r="E31" s="354">
        <v>80000</v>
      </c>
    </row>
    <row r="32" spans="1:5" ht="14.25" x14ac:dyDescent="0.2">
      <c r="A32" s="30"/>
      <c r="B32" s="163" t="s">
        <v>508</v>
      </c>
      <c r="C32" s="372">
        <v>200000</v>
      </c>
      <c r="D32" s="372">
        <v>200000</v>
      </c>
      <c r="E32" s="372">
        <v>200000</v>
      </c>
    </row>
    <row r="33" spans="1:5" ht="14.25" x14ac:dyDescent="0.2">
      <c r="A33" s="30"/>
      <c r="B33" s="30" t="s">
        <v>152</v>
      </c>
      <c r="C33" s="113">
        <v>0.03</v>
      </c>
      <c r="D33" s="197">
        <v>0.03</v>
      </c>
      <c r="E33" s="197">
        <v>0.03</v>
      </c>
    </row>
    <row r="34" spans="1:5" ht="14.25" x14ac:dyDescent="0.2">
      <c r="A34" s="30"/>
      <c r="B34" s="163" t="s">
        <v>526</v>
      </c>
      <c r="C34" s="165">
        <v>5</v>
      </c>
      <c r="D34" s="174">
        <v>5</v>
      </c>
      <c r="E34" s="174">
        <v>5</v>
      </c>
    </row>
    <row r="35" spans="1:5" ht="14.25" x14ac:dyDescent="0.2">
      <c r="B35" s="167" t="s">
        <v>769</v>
      </c>
      <c r="C35" s="526">
        <f>C20/C24+C21*C23</f>
        <v>1557</v>
      </c>
      <c r="D35" s="526">
        <f t="shared" ref="D35:E35" si="10">D20/D24+D21*D23</f>
        <v>1557</v>
      </c>
      <c r="E35" s="526">
        <f t="shared" si="10"/>
        <v>1557</v>
      </c>
    </row>
    <row r="88" spans="1:5" hidden="1" x14ac:dyDescent="0.25">
      <c r="A88" s="2" t="s">
        <v>338</v>
      </c>
    </row>
    <row r="89" spans="1:5" hidden="1" x14ac:dyDescent="0.25">
      <c r="B89" s="3" t="s">
        <v>470</v>
      </c>
      <c r="C89" s="108">
        <v>15757</v>
      </c>
      <c r="D89" s="108">
        <v>15757</v>
      </c>
      <c r="E89" s="108">
        <v>15757</v>
      </c>
    </row>
    <row r="90" spans="1:5" hidden="1" x14ac:dyDescent="0.25">
      <c r="B90" s="3" t="s">
        <v>471</v>
      </c>
      <c r="C90" s="108">
        <v>3955</v>
      </c>
      <c r="D90" s="108">
        <v>3955</v>
      </c>
      <c r="E90" s="108">
        <v>3955</v>
      </c>
    </row>
    <row r="91" spans="1:5" ht="14.25" hidden="1" x14ac:dyDescent="0.2">
      <c r="B91" s="116" t="s">
        <v>478</v>
      </c>
      <c r="C91" s="117">
        <f>SUM(C89:C90)*C18</f>
        <v>7884.8</v>
      </c>
      <c r="D91" s="117">
        <f t="shared" ref="D91:E91" si="11">SUM(D89:D90)*D18</f>
        <v>7884.8</v>
      </c>
      <c r="E91" s="117">
        <f t="shared" si="11"/>
        <v>7884.8</v>
      </c>
    </row>
    <row r="92" spans="1:5" ht="14.25" hidden="1" x14ac:dyDescent="0.2">
      <c r="B92" s="3" t="s">
        <v>472</v>
      </c>
      <c r="C92" s="3">
        <v>5</v>
      </c>
      <c r="D92" s="3">
        <v>5</v>
      </c>
      <c r="E92" s="3">
        <v>5</v>
      </c>
    </row>
    <row r="93" spans="1:5" ht="14.25" hidden="1" x14ac:dyDescent="0.2">
      <c r="B93" s="3" t="s">
        <v>474</v>
      </c>
      <c r="C93" s="3">
        <f>C92*234</f>
        <v>1170</v>
      </c>
      <c r="D93" s="3">
        <f t="shared" ref="D93:E93" si="12">D92*234</f>
        <v>1170</v>
      </c>
      <c r="E93" s="3">
        <f t="shared" si="12"/>
        <v>1170</v>
      </c>
    </row>
    <row r="94" spans="1:5" ht="14.25" hidden="1" x14ac:dyDescent="0.2">
      <c r="B94" s="3" t="s">
        <v>475</v>
      </c>
      <c r="C94" s="3">
        <v>60</v>
      </c>
      <c r="D94" s="3">
        <v>60</v>
      </c>
      <c r="E94" s="3">
        <v>60</v>
      </c>
    </row>
    <row r="95" spans="1:5" ht="14.25" hidden="1" x14ac:dyDescent="0.2">
      <c r="B95" s="3" t="s">
        <v>473</v>
      </c>
      <c r="C95" s="3">
        <f>C94*8</f>
        <v>480</v>
      </c>
      <c r="D95" s="3">
        <f t="shared" ref="D95:E95" si="13">D94*8</f>
        <v>480</v>
      </c>
      <c r="E95" s="3">
        <f t="shared" si="13"/>
        <v>480</v>
      </c>
    </row>
    <row r="96" spans="1:5" ht="14.25" hidden="1" x14ac:dyDescent="0.2">
      <c r="B96" s="116" t="s">
        <v>479</v>
      </c>
      <c r="C96" s="116">
        <f>(C95+C93)*C16</f>
        <v>1320</v>
      </c>
      <c r="D96" s="116">
        <f t="shared" ref="D96:E96" si="14">(D95+D93)*D16</f>
        <v>1320</v>
      </c>
      <c r="E96" s="116">
        <f t="shared" si="14"/>
        <v>1320</v>
      </c>
    </row>
    <row r="97" spans="2:5" ht="14.25" hidden="1" x14ac:dyDescent="0.2">
      <c r="B97" s="3" t="s">
        <v>476</v>
      </c>
      <c r="C97" s="3">
        <v>1</v>
      </c>
      <c r="D97" s="3">
        <v>1</v>
      </c>
      <c r="E97" s="3">
        <v>1</v>
      </c>
    </row>
    <row r="98" spans="2:5" ht="14.25" hidden="1" x14ac:dyDescent="0.2">
      <c r="B98" s="3" t="s">
        <v>477</v>
      </c>
      <c r="C98" s="3">
        <v>10</v>
      </c>
      <c r="D98" s="3">
        <v>10</v>
      </c>
      <c r="E98" s="3">
        <v>10</v>
      </c>
    </row>
    <row r="99" spans="2:5" ht="14.25" hidden="1" x14ac:dyDescent="0.2">
      <c r="B99" s="116" t="s">
        <v>480</v>
      </c>
      <c r="C99" s="116">
        <f>(C98*8+C97*236)*C17</f>
        <v>316</v>
      </c>
      <c r="D99" s="116">
        <f t="shared" ref="D99:E99" si="15">(D98*8+D97*236)*D17</f>
        <v>316</v>
      </c>
      <c r="E99" s="116">
        <f t="shared" si="15"/>
        <v>316</v>
      </c>
    </row>
    <row r="100" spans="2:5" hidden="1" x14ac:dyDescent="0.25"/>
    <row r="101" spans="2:5" hidden="1" x14ac:dyDescent="0.25"/>
    <row r="102" spans="2:5" ht="14.25" hidden="1" x14ac:dyDescent="0.2">
      <c r="B102" s="3" t="s">
        <v>481</v>
      </c>
      <c r="C102" s="109">
        <f>C99+C96+C91</f>
        <v>9520.7999999999993</v>
      </c>
      <c r="D102" s="109">
        <f t="shared" ref="D102:E102" si="16">D99+D96+D91</f>
        <v>9520.7999999999993</v>
      </c>
      <c r="E102" s="109">
        <f t="shared" si="16"/>
        <v>9520.7999999999993</v>
      </c>
    </row>
    <row r="103" spans="2:5" ht="14.25" hidden="1" x14ac:dyDescent="0.2">
      <c r="B103" s="3" t="s">
        <v>482</v>
      </c>
      <c r="C103" s="109">
        <f>C102/C24</f>
        <v>9520.7999999999993</v>
      </c>
      <c r="D103" s="109">
        <f t="shared" ref="D103:E103" si="17">D102/D24</f>
        <v>9520.7999999999993</v>
      </c>
      <c r="E103" s="109">
        <f t="shared" si="17"/>
        <v>9520.7999999999993</v>
      </c>
    </row>
    <row r="104" spans="2:5" ht="14.25" hidden="1" x14ac:dyDescent="0.2">
      <c r="B104" s="3" t="s">
        <v>483</v>
      </c>
      <c r="C104" s="78">
        <f>C103*C25</f>
        <v>761664000</v>
      </c>
      <c r="D104" s="78">
        <f t="shared" ref="D104:E104" si="18">D103*D25</f>
        <v>761664000</v>
      </c>
      <c r="E104" s="78">
        <f t="shared" si="18"/>
        <v>761664000</v>
      </c>
    </row>
    <row r="105" spans="2:5" hidden="1" x14ac:dyDescent="0.25"/>
    <row r="106" spans="2:5" hidden="1" x14ac:dyDescent="0.25"/>
    <row r="107" spans="2:5" ht="14.25" hidden="1" x14ac:dyDescent="0.2">
      <c r="B107" s="3" t="s">
        <v>487</v>
      </c>
      <c r="C107" s="78">
        <f>(C26+C28+C27)*C102</f>
        <v>380832000</v>
      </c>
      <c r="D107" s="78">
        <f t="shared" ref="D107:E107" si="19">(D26+D28+D27)*D102</f>
        <v>380832000</v>
      </c>
      <c r="E107" s="78">
        <f t="shared" si="19"/>
        <v>380832000</v>
      </c>
    </row>
    <row r="108" spans="2:5" ht="14.25" hidden="1" x14ac:dyDescent="0.2">
      <c r="B108" s="3" t="s">
        <v>489</v>
      </c>
      <c r="C108" s="84">
        <f>C112*C33</f>
        <v>7362000</v>
      </c>
      <c r="D108" s="84">
        <f t="shared" ref="D108:E108" si="20">D112*D33</f>
        <v>7362000</v>
      </c>
      <c r="E108" s="84">
        <f t="shared" si="20"/>
        <v>7362000</v>
      </c>
    </row>
    <row r="109" spans="2:5" hidden="1" x14ac:dyDescent="0.25"/>
    <row r="110" spans="2:5" hidden="1" x14ac:dyDescent="0.25">
      <c r="B110" s="2" t="s">
        <v>484</v>
      </c>
    </row>
    <row r="111" spans="2:5" ht="14.25" hidden="1" x14ac:dyDescent="0.2">
      <c r="B111" s="3" t="s">
        <v>485</v>
      </c>
      <c r="C111" s="109">
        <f>C29*C102</f>
        <v>285624000</v>
      </c>
      <c r="D111" s="109">
        <f t="shared" ref="D111:E111" si="21">D29*D102</f>
        <v>285624000</v>
      </c>
      <c r="E111" s="109">
        <f t="shared" si="21"/>
        <v>285624000</v>
      </c>
    </row>
    <row r="112" spans="2:5" ht="14.25" hidden="1" x14ac:dyDescent="0.2">
      <c r="B112" s="3" t="s">
        <v>486</v>
      </c>
      <c r="C112" s="109">
        <f>C96*C23*C32+C23*C32*C99</f>
        <v>245400000</v>
      </c>
      <c r="D112" s="109">
        <f t="shared" ref="D112:E112" si="22">D96*D23*D32+D23*D32*D99</f>
        <v>245400000</v>
      </c>
      <c r="E112" s="109">
        <f t="shared" si="22"/>
        <v>245400000</v>
      </c>
    </row>
    <row r="113" spans="2:5" ht="14.25" hidden="1" x14ac:dyDescent="0.2">
      <c r="B113" s="3" t="s">
        <v>488</v>
      </c>
      <c r="C113" s="109">
        <f>(C30+C31)*C102</f>
        <v>1713743999.9999998</v>
      </c>
      <c r="D113" s="109">
        <f t="shared" ref="D113:E113" si="23">(D30+D31)*D102</f>
        <v>1713743999.9999998</v>
      </c>
      <c r="E113" s="109">
        <f t="shared" si="23"/>
        <v>1713743999.9999998</v>
      </c>
    </row>
    <row r="114" spans="2:5" hidden="1" x14ac:dyDescent="0.25"/>
    <row r="115" spans="2:5" hidden="1" x14ac:dyDescent="0.25">
      <c r="B115" s="3" t="s">
        <v>760</v>
      </c>
    </row>
    <row r="116" spans="2:5" hidden="1" x14ac:dyDescent="0.25">
      <c r="B116" s="19" t="s">
        <v>761</v>
      </c>
      <c r="C116">
        <f>C23*C99</f>
        <v>237</v>
      </c>
    </row>
    <row r="117" spans="2:5" hidden="1" x14ac:dyDescent="0.25">
      <c r="B117" s="19" t="s">
        <v>762</v>
      </c>
      <c r="C117">
        <f>C23*C96</f>
        <v>990</v>
      </c>
    </row>
    <row r="118" spans="2:5" hidden="1" x14ac:dyDescent="0.25">
      <c r="B118" s="3" t="s">
        <v>763</v>
      </c>
      <c r="C118" s="1">
        <f>SUM(C116:C117)</f>
        <v>1227</v>
      </c>
    </row>
    <row r="119" spans="2:5" hidden="1" x14ac:dyDescent="0.25">
      <c r="B119" t="s">
        <v>764</v>
      </c>
      <c r="C119" s="525">
        <f>C118*C32</f>
        <v>245400000</v>
      </c>
    </row>
  </sheetData>
  <sheetProtection sheet="1" objects="1" scenarios="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A1:F93"/>
  <sheetViews>
    <sheetView showGridLines="0" workbookViewId="0">
      <pane ySplit="1" topLeftCell="A5" activePane="bottomLeft" state="frozen"/>
      <selection pane="bottomLeft" activeCell="C14" sqref="C14"/>
    </sheetView>
  </sheetViews>
  <sheetFormatPr defaultRowHeight="15" x14ac:dyDescent="0.25"/>
  <cols>
    <col min="1" max="1" width="2.85546875" style="3" customWidth="1"/>
    <col min="2" max="2" width="61.85546875" customWidth="1"/>
    <col min="3" max="5" width="18" customWidth="1"/>
    <col min="6" max="16384" width="9.140625" style="3"/>
  </cols>
  <sheetData>
    <row r="1" spans="1:6" ht="15.75" x14ac:dyDescent="0.25">
      <c r="A1" s="30"/>
      <c r="B1" s="335" t="str">
        <f>A12</f>
        <v>Training of ECD practitioners</v>
      </c>
      <c r="C1" s="336" t="s">
        <v>335</v>
      </c>
      <c r="D1" s="337" t="s">
        <v>336</v>
      </c>
      <c r="E1" s="338" t="s">
        <v>337</v>
      </c>
      <c r="F1" s="30"/>
    </row>
    <row r="2" spans="1:6" ht="14.25" x14ac:dyDescent="0.2">
      <c r="A2" s="30"/>
      <c r="B2" s="123" t="s">
        <v>331</v>
      </c>
      <c r="C2" s="339">
        <f>SUM(C3:C4)</f>
        <v>1508573651.8556499</v>
      </c>
      <c r="D2" s="339">
        <f t="shared" ref="D2:E2" si="0">SUM(D3:D4)</f>
        <v>1508573651.8556499</v>
      </c>
      <c r="E2" s="339">
        <f t="shared" si="0"/>
        <v>1508573651.8556499</v>
      </c>
      <c r="F2" s="30"/>
    </row>
    <row r="3" spans="1:6" ht="14.25" x14ac:dyDescent="0.2">
      <c r="A3" s="30"/>
      <c r="B3" s="126" t="s">
        <v>329</v>
      </c>
      <c r="C3" s="340">
        <f>(C91+C88)/C19</f>
        <v>1508573651.8556499</v>
      </c>
      <c r="D3" s="340">
        <f t="shared" ref="D3:E3" si="1">(D91+D88)/D19</f>
        <v>1508573651.8556499</v>
      </c>
      <c r="E3" s="340">
        <f t="shared" si="1"/>
        <v>1508573651.8556499</v>
      </c>
      <c r="F3" s="30"/>
    </row>
    <row r="4" spans="1:6" ht="14.25" x14ac:dyDescent="0.2">
      <c r="A4" s="30"/>
      <c r="B4" s="128" t="s">
        <v>330</v>
      </c>
      <c r="C4" s="341"/>
      <c r="D4" s="341"/>
      <c r="E4" s="341"/>
      <c r="F4" s="30"/>
    </row>
    <row r="5" spans="1:6" ht="14.25" x14ac:dyDescent="0.2">
      <c r="A5" s="30"/>
      <c r="B5" s="130" t="s">
        <v>332</v>
      </c>
      <c r="C5" s="339">
        <f>C112+C113+C114</f>
        <v>0</v>
      </c>
      <c r="D5" s="339">
        <f t="shared" ref="D5:E5" si="2">D112+D113+D114</f>
        <v>0</v>
      </c>
      <c r="E5" s="339">
        <f t="shared" si="2"/>
        <v>0</v>
      </c>
      <c r="F5" s="30"/>
    </row>
    <row r="6" spans="1:6" ht="14.25" x14ac:dyDescent="0.2">
      <c r="A6" s="30"/>
      <c r="B6" s="134" t="s">
        <v>333</v>
      </c>
      <c r="C6" s="354"/>
      <c r="D6" s="354"/>
      <c r="E6" s="354"/>
      <c r="F6" s="30"/>
    </row>
    <row r="7" spans="1:6" ht="14.25" x14ac:dyDescent="0.2">
      <c r="A7" s="30"/>
      <c r="B7" s="134" t="s">
        <v>626</v>
      </c>
      <c r="C7" s="343">
        <f>C3-C6</f>
        <v>1508573651.8556499</v>
      </c>
      <c r="D7" s="343">
        <f t="shared" ref="D7:E7" si="3">D3-D6</f>
        <v>1508573651.8556499</v>
      </c>
      <c r="E7" s="343">
        <f t="shared" si="3"/>
        <v>1508573651.8556499</v>
      </c>
      <c r="F7" s="30"/>
    </row>
    <row r="8" spans="1:6" ht="14.25" x14ac:dyDescent="0.2">
      <c r="A8" s="30"/>
      <c r="B8" s="69" t="s">
        <v>562</v>
      </c>
      <c r="C8" s="125"/>
      <c r="D8" s="125"/>
      <c r="E8" s="125"/>
      <c r="F8" s="30"/>
    </row>
    <row r="9" spans="1:6" ht="14.25" x14ac:dyDescent="0.2">
      <c r="A9" s="30"/>
      <c r="B9" s="130" t="s">
        <v>573</v>
      </c>
      <c r="C9" s="153">
        <f>C20/C24</f>
        <v>40307.553029791874</v>
      </c>
      <c r="D9" s="153">
        <f t="shared" ref="D9:E9" si="4">D20/D24</f>
        <v>40307.553029791874</v>
      </c>
      <c r="E9" s="153">
        <f t="shared" si="4"/>
        <v>40307.553029791874</v>
      </c>
      <c r="F9" s="30"/>
    </row>
    <row r="10" spans="1:6" ht="14.25" x14ac:dyDescent="0.2">
      <c r="A10" s="30"/>
      <c r="B10" s="154" t="s">
        <v>574</v>
      </c>
      <c r="C10" s="150">
        <f>C21/C24</f>
        <v>8174.2597312348234</v>
      </c>
      <c r="D10" s="150">
        <f t="shared" ref="D10:E10" si="5">D21/D24</f>
        <v>8174.2597312348234</v>
      </c>
      <c r="E10" s="150">
        <f t="shared" si="5"/>
        <v>8174.2597312348234</v>
      </c>
      <c r="F10" s="30"/>
    </row>
    <row r="11" spans="1:6" ht="14.25" x14ac:dyDescent="0.2">
      <c r="A11" s="30"/>
      <c r="B11" s="31"/>
      <c r="C11" s="30"/>
      <c r="D11" s="30"/>
      <c r="E11" s="30"/>
      <c r="F11" s="30"/>
    </row>
    <row r="12" spans="1:6" ht="14.25" x14ac:dyDescent="0.2">
      <c r="A12" s="382" t="s">
        <v>154</v>
      </c>
      <c r="B12" s="384"/>
      <c r="C12" s="384"/>
      <c r="D12" s="384"/>
      <c r="E12" s="384"/>
      <c r="F12" s="30"/>
    </row>
    <row r="13" spans="1:6" x14ac:dyDescent="0.25">
      <c r="A13"/>
      <c r="B13" s="122" t="s">
        <v>22</v>
      </c>
      <c r="C13" s="54"/>
      <c r="D13" s="54"/>
      <c r="E13" s="54"/>
      <c r="F13" s="30"/>
    </row>
    <row r="14" spans="1:6" ht="14.25" x14ac:dyDescent="0.2">
      <c r="A14" s="30"/>
      <c r="B14" s="167" t="s">
        <v>157</v>
      </c>
      <c r="C14" s="184">
        <f>SUM('4.1.1'!C41:C43)</f>
        <v>80615.106059583748</v>
      </c>
      <c r="D14" s="184">
        <f>SUM('4.1.1'!D41:D43)</f>
        <v>80615.106059583748</v>
      </c>
      <c r="E14" s="184">
        <f>SUM('4.1.1'!E41:E43)</f>
        <v>80615.106059583748</v>
      </c>
      <c r="F14" s="30"/>
    </row>
    <row r="15" spans="1:6" ht="14.25" x14ac:dyDescent="0.2">
      <c r="A15" s="30"/>
      <c r="B15" s="30" t="s">
        <v>531</v>
      </c>
      <c r="C15" s="114">
        <v>3</v>
      </c>
      <c r="D15" s="186">
        <v>3</v>
      </c>
      <c r="E15" s="186">
        <v>3</v>
      </c>
      <c r="F15" s="30"/>
    </row>
    <row r="16" spans="1:6" ht="14.25" x14ac:dyDescent="0.2">
      <c r="A16" s="30"/>
      <c r="B16" s="30" t="s">
        <v>530</v>
      </c>
      <c r="C16" s="121">
        <v>0.5</v>
      </c>
      <c r="D16" s="187">
        <v>0.5</v>
      </c>
      <c r="E16" s="187">
        <v>0.5</v>
      </c>
      <c r="F16" s="30"/>
    </row>
    <row r="17" spans="1:6" ht="14.25" x14ac:dyDescent="0.2">
      <c r="A17" s="30"/>
      <c r="B17" s="167" t="s">
        <v>509</v>
      </c>
      <c r="C17" s="184">
        <f>'4.2.3'!C85</f>
        <v>28850.32846318173</v>
      </c>
      <c r="D17" s="184">
        <f>'4.2.3'!D85</f>
        <v>28850.32846318173</v>
      </c>
      <c r="E17" s="184">
        <f>'4.2.3'!E85</f>
        <v>28850.32846318173</v>
      </c>
      <c r="F17" s="30"/>
    </row>
    <row r="18" spans="1:6" ht="14.25" x14ac:dyDescent="0.2">
      <c r="A18" s="30"/>
      <c r="B18" s="30" t="s">
        <v>511</v>
      </c>
      <c r="C18" s="121">
        <v>0.85</v>
      </c>
      <c r="D18" s="187">
        <v>0.85</v>
      </c>
      <c r="E18" s="187">
        <v>0.85</v>
      </c>
      <c r="F18" s="30"/>
    </row>
    <row r="19" spans="1:6" ht="14.25" x14ac:dyDescent="0.2">
      <c r="A19" s="30"/>
      <c r="B19" s="30" t="s">
        <v>512</v>
      </c>
      <c r="C19" s="136">
        <v>10</v>
      </c>
      <c r="D19" s="188">
        <v>10</v>
      </c>
      <c r="E19" s="188">
        <v>10</v>
      </c>
      <c r="F19" s="30"/>
    </row>
    <row r="20" spans="1:6" ht="14.25" x14ac:dyDescent="0.2">
      <c r="A20" s="30"/>
      <c r="B20" s="160" t="s">
        <v>513</v>
      </c>
      <c r="C20" s="185">
        <f>C14*C15*C16</f>
        <v>120922.65908937562</v>
      </c>
      <c r="D20" s="185">
        <f t="shared" ref="D20:E20" si="6">D14*D15*D16</f>
        <v>120922.65908937562</v>
      </c>
      <c r="E20" s="185">
        <f t="shared" si="6"/>
        <v>120922.65908937562</v>
      </c>
      <c r="F20" s="30"/>
    </row>
    <row r="21" spans="1:6" ht="14.25" x14ac:dyDescent="0.2">
      <c r="A21" s="30"/>
      <c r="B21" s="163" t="s">
        <v>515</v>
      </c>
      <c r="C21" s="162">
        <f>C18*C17</f>
        <v>24522.779193704471</v>
      </c>
      <c r="D21" s="162">
        <f t="shared" ref="D21:E21" si="7">D18*D17</f>
        <v>24522.779193704471</v>
      </c>
      <c r="E21" s="162">
        <f t="shared" si="7"/>
        <v>24522.779193704471</v>
      </c>
      <c r="F21" s="30"/>
    </row>
    <row r="22" spans="1:6" ht="14.25" x14ac:dyDescent="0.2">
      <c r="A22" s="30"/>
      <c r="B22" s="160" t="s">
        <v>155</v>
      </c>
      <c r="C22" s="346">
        <v>70000</v>
      </c>
      <c r="D22" s="347">
        <v>70000</v>
      </c>
      <c r="E22" s="347">
        <v>70000</v>
      </c>
      <c r="F22" s="30"/>
    </row>
    <row r="23" spans="1:6" ht="14.25" x14ac:dyDescent="0.2">
      <c r="A23" s="30"/>
      <c r="B23" s="40" t="s">
        <v>510</v>
      </c>
      <c r="C23" s="368">
        <v>90000</v>
      </c>
      <c r="D23" s="354">
        <v>90000</v>
      </c>
      <c r="E23" s="354">
        <v>90000</v>
      </c>
      <c r="F23" s="30"/>
    </row>
    <row r="24" spans="1:6" ht="14.25" x14ac:dyDescent="0.2">
      <c r="A24" s="30"/>
      <c r="B24" s="163" t="s">
        <v>156</v>
      </c>
      <c r="C24" s="165">
        <v>3</v>
      </c>
      <c r="D24" s="174">
        <v>3</v>
      </c>
      <c r="E24" s="174">
        <v>3</v>
      </c>
      <c r="F24" s="30"/>
    </row>
    <row r="29" spans="1:6" x14ac:dyDescent="0.25">
      <c r="C29" s="81"/>
      <c r="D29" s="81"/>
      <c r="E29" s="81"/>
    </row>
    <row r="30" spans="1:6" x14ac:dyDescent="0.25">
      <c r="C30" s="78"/>
      <c r="D30" s="78"/>
      <c r="E30" s="78"/>
    </row>
    <row r="35" spans="2:5" x14ac:dyDescent="0.25">
      <c r="B35" s="2"/>
    </row>
    <row r="37" spans="2:5" x14ac:dyDescent="0.25">
      <c r="C37" s="81"/>
      <c r="D37" s="81"/>
      <c r="E37" s="81"/>
    </row>
    <row r="38" spans="2:5" x14ac:dyDescent="0.25">
      <c r="C38" s="81"/>
      <c r="D38" s="81"/>
      <c r="E38" s="81"/>
    </row>
    <row r="39" spans="2:5" x14ac:dyDescent="0.25">
      <c r="C39" s="79"/>
      <c r="D39" s="79"/>
      <c r="E39" s="79"/>
    </row>
    <row r="41" spans="2:5" x14ac:dyDescent="0.25">
      <c r="C41" s="79"/>
      <c r="D41" s="79"/>
      <c r="E41" s="79"/>
    </row>
    <row r="43" spans="2:5" x14ac:dyDescent="0.25">
      <c r="C43" s="79"/>
      <c r="D43" s="79"/>
      <c r="E43" s="79"/>
    </row>
    <row r="45" spans="2:5" x14ac:dyDescent="0.25">
      <c r="C45" s="79"/>
      <c r="D45" s="79"/>
      <c r="E45" s="79"/>
    </row>
    <row r="47" spans="2:5" x14ac:dyDescent="0.25">
      <c r="C47" s="81"/>
      <c r="D47" s="81"/>
      <c r="E47" s="81"/>
    </row>
    <row r="48" spans="2:5" x14ac:dyDescent="0.25">
      <c r="C48" s="78"/>
      <c r="D48" s="78"/>
      <c r="E48" s="78"/>
    </row>
    <row r="50" spans="2:5" x14ac:dyDescent="0.25">
      <c r="B50" s="2"/>
    </row>
    <row r="52" spans="2:5" x14ac:dyDescent="0.25">
      <c r="C52" s="81"/>
      <c r="D52" s="81"/>
      <c r="E52" s="81"/>
    </row>
    <row r="53" spans="2:5" x14ac:dyDescent="0.25">
      <c r="C53" s="81"/>
      <c r="D53" s="81"/>
      <c r="E53" s="81"/>
    </row>
    <row r="54" spans="2:5" x14ac:dyDescent="0.25">
      <c r="C54" s="81"/>
      <c r="D54" s="81"/>
      <c r="E54" s="81"/>
    </row>
    <row r="56" spans="2:5" x14ac:dyDescent="0.25">
      <c r="C56" s="81"/>
      <c r="D56" s="81"/>
      <c r="E56" s="81"/>
    </row>
    <row r="57" spans="2:5" x14ac:dyDescent="0.25">
      <c r="C57" s="81"/>
      <c r="D57" s="81"/>
      <c r="E57" s="81"/>
    </row>
    <row r="59" spans="2:5" x14ac:dyDescent="0.25">
      <c r="C59" s="78"/>
      <c r="D59" s="78"/>
      <c r="E59" s="78"/>
    </row>
    <row r="60" spans="2:5" x14ac:dyDescent="0.25">
      <c r="C60" s="78"/>
      <c r="D60" s="78"/>
      <c r="E60" s="78"/>
    </row>
    <row r="61" spans="2:5" x14ac:dyDescent="0.25">
      <c r="C61" s="78"/>
      <c r="D61" s="78"/>
      <c r="E61" s="78"/>
    </row>
    <row r="63" spans="2:5" x14ac:dyDescent="0.25">
      <c r="B63" s="2"/>
    </row>
    <row r="65" spans="3:5" x14ac:dyDescent="0.25">
      <c r="C65" s="81"/>
      <c r="D65" s="81"/>
      <c r="E65" s="81"/>
    </row>
    <row r="66" spans="3:5" x14ac:dyDescent="0.25">
      <c r="C66" s="81"/>
      <c r="D66" s="81"/>
      <c r="E66" s="81"/>
    </row>
    <row r="67" spans="3:5" x14ac:dyDescent="0.25">
      <c r="C67" s="78"/>
      <c r="D67" s="78"/>
      <c r="E67" s="78"/>
    </row>
    <row r="68" spans="3:5" x14ac:dyDescent="0.25">
      <c r="C68" s="81"/>
      <c r="D68" s="81"/>
      <c r="E68" s="81"/>
    </row>
    <row r="86" spans="1:5" hidden="1" x14ac:dyDescent="0.25">
      <c r="A86" s="2" t="s">
        <v>338</v>
      </c>
    </row>
    <row r="87" spans="1:5" hidden="1" x14ac:dyDescent="0.25"/>
    <row r="88" spans="1:5" ht="14.25" hidden="1" x14ac:dyDescent="0.2">
      <c r="B88" s="3" t="s">
        <v>514</v>
      </c>
      <c r="C88" s="3">
        <f>C20*C22</f>
        <v>8464586136.2562933</v>
      </c>
      <c r="D88" s="3">
        <f t="shared" ref="D88:E88" si="8">D20*D22</f>
        <v>8464586136.2562933</v>
      </c>
      <c r="E88" s="3">
        <f t="shared" si="8"/>
        <v>8464586136.2562933</v>
      </c>
    </row>
    <row r="89" spans="1:5" hidden="1" x14ac:dyDescent="0.25"/>
    <row r="90" spans="1:5" hidden="1" x14ac:dyDescent="0.25"/>
    <row r="91" spans="1:5" ht="14.25" hidden="1" x14ac:dyDescent="0.2">
      <c r="B91" s="3" t="s">
        <v>517</v>
      </c>
      <c r="C91" s="3">
        <f>C23*C24*C21</f>
        <v>6621150382.3002071</v>
      </c>
      <c r="D91" s="3">
        <f t="shared" ref="D91:E91" si="9">D23*D24*D21</f>
        <v>6621150382.3002071</v>
      </c>
      <c r="E91" s="3">
        <f t="shared" si="9"/>
        <v>6621150382.3002071</v>
      </c>
    </row>
    <row r="92" spans="1:5" hidden="1" x14ac:dyDescent="0.25">
      <c r="B92" s="3" t="s">
        <v>516</v>
      </c>
    </row>
    <row r="93" spans="1:5" hidden="1" x14ac:dyDescent="0.25"/>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2"/>
  <sheetViews>
    <sheetView showGridLines="0" workbookViewId="0">
      <pane ySplit="1" topLeftCell="A2" activePane="bottomLeft" state="frozen"/>
      <selection pane="bottomLeft" activeCell="E16" sqref="E16"/>
    </sheetView>
  </sheetViews>
  <sheetFormatPr defaultRowHeight="15" x14ac:dyDescent="0.25"/>
  <cols>
    <col min="1" max="1" width="4.5703125" style="3" customWidth="1"/>
    <col min="2" max="2" width="61.85546875" customWidth="1"/>
    <col min="3" max="5" width="18" customWidth="1"/>
    <col min="6" max="16384" width="9.140625" style="3"/>
  </cols>
  <sheetData>
    <row r="1" spans="1:5" ht="15.75" x14ac:dyDescent="0.25">
      <c r="A1" s="30"/>
      <c r="B1" s="335" t="str">
        <f>A11</f>
        <v>The payment of stipends to those in training</v>
      </c>
      <c r="C1" s="336" t="s">
        <v>335</v>
      </c>
      <c r="D1" s="337" t="s">
        <v>336</v>
      </c>
      <c r="E1" s="338" t="s">
        <v>337</v>
      </c>
    </row>
    <row r="2" spans="1:5" ht="14.25" x14ac:dyDescent="0.2">
      <c r="A2" s="30"/>
      <c r="B2" s="123" t="s">
        <v>331</v>
      </c>
      <c r="C2" s="339">
        <f>SUM(C3:C4)</f>
        <v>314162146.69145304</v>
      </c>
      <c r="D2" s="339">
        <f t="shared" ref="D2:E2" si="0">SUM(D3:D4)</f>
        <v>314162146.69145304</v>
      </c>
      <c r="E2" s="339">
        <f t="shared" si="0"/>
        <v>314162146.69145304</v>
      </c>
    </row>
    <row r="3" spans="1:5" ht="14.25" x14ac:dyDescent="0.2">
      <c r="A3" s="30"/>
      <c r="B3" s="126" t="s">
        <v>329</v>
      </c>
      <c r="C3" s="340">
        <f>(C14*C15)*(C91+C92)</f>
        <v>314162146.69145304</v>
      </c>
      <c r="D3" s="340">
        <f t="shared" ref="D3:E3" si="1">(D14*D15)*(D91+D92)</f>
        <v>314162146.69145304</v>
      </c>
      <c r="E3" s="340">
        <f t="shared" si="1"/>
        <v>314162146.69145304</v>
      </c>
    </row>
    <row r="4" spans="1:5" ht="14.25" x14ac:dyDescent="0.2">
      <c r="A4" s="30"/>
      <c r="B4" s="128" t="s">
        <v>330</v>
      </c>
      <c r="C4" s="341"/>
      <c r="D4" s="341"/>
      <c r="E4" s="341"/>
    </row>
    <row r="5" spans="1:5" ht="14.25" x14ac:dyDescent="0.2">
      <c r="A5" s="30"/>
      <c r="B5" s="130" t="s">
        <v>332</v>
      </c>
      <c r="C5" s="339">
        <f>C109+C110+C111</f>
        <v>0</v>
      </c>
      <c r="D5" s="339">
        <f t="shared" ref="D5:E5" si="2">D109+D110+D111</f>
        <v>0</v>
      </c>
      <c r="E5" s="339">
        <f t="shared" si="2"/>
        <v>0</v>
      </c>
    </row>
    <row r="6" spans="1:5" ht="14.25" x14ac:dyDescent="0.2">
      <c r="A6" s="30"/>
      <c r="B6" s="134" t="s">
        <v>333</v>
      </c>
      <c r="C6" s="354"/>
      <c r="D6" s="354"/>
      <c r="E6" s="354"/>
    </row>
    <row r="7" spans="1:5" ht="14.25" x14ac:dyDescent="0.2">
      <c r="A7" s="30"/>
      <c r="B7" s="134" t="s">
        <v>626</v>
      </c>
      <c r="C7" s="343">
        <f>C3-C6</f>
        <v>314162146.69145304</v>
      </c>
      <c r="D7" s="343">
        <f t="shared" ref="D7:E7" si="3">D3-D6</f>
        <v>314162146.69145304</v>
      </c>
      <c r="E7" s="343">
        <f t="shared" si="3"/>
        <v>314162146.69145304</v>
      </c>
    </row>
    <row r="8" spans="1:5" ht="14.25" x14ac:dyDescent="0.2">
      <c r="A8" s="30"/>
      <c r="B8" s="69" t="s">
        <v>562</v>
      </c>
      <c r="C8" s="125"/>
      <c r="D8" s="125"/>
      <c r="E8" s="125"/>
    </row>
    <row r="9" spans="1:5" ht="14.25" x14ac:dyDescent="0.2">
      <c r="A9" s="30"/>
      <c r="B9" s="154" t="s">
        <v>575</v>
      </c>
      <c r="C9" s="150">
        <f>C91+C92</f>
        <v>11635.635062646408</v>
      </c>
      <c r="D9" s="150">
        <f t="shared" ref="D9:E9" si="4">D91+D92</f>
        <v>11635.635062646408</v>
      </c>
      <c r="E9" s="150">
        <f t="shared" si="4"/>
        <v>11635.635062646408</v>
      </c>
    </row>
    <row r="10" spans="1:5" ht="14.25" x14ac:dyDescent="0.2">
      <c r="A10" s="30"/>
      <c r="B10" s="31"/>
      <c r="C10" s="30"/>
      <c r="D10" s="30"/>
      <c r="E10" s="30"/>
    </row>
    <row r="11" spans="1:5" ht="14.25" x14ac:dyDescent="0.2">
      <c r="A11" s="382" t="s">
        <v>158</v>
      </c>
      <c r="B11" s="384"/>
      <c r="C11" s="384"/>
      <c r="D11" s="384"/>
      <c r="E11" s="384"/>
    </row>
    <row r="12" spans="1:5" x14ac:dyDescent="0.25">
      <c r="A12"/>
      <c r="B12" s="122" t="s">
        <v>22</v>
      </c>
      <c r="C12" s="54"/>
      <c r="D12" s="54"/>
      <c r="E12" s="54"/>
    </row>
    <row r="13" spans="1:5" ht="14.25" x14ac:dyDescent="0.2">
      <c r="A13" s="30"/>
      <c r="B13" s="160" t="s">
        <v>159</v>
      </c>
      <c r="C13" s="189">
        <v>0.8</v>
      </c>
      <c r="D13" s="190">
        <v>0.8</v>
      </c>
      <c r="E13" s="190">
        <v>0.8</v>
      </c>
    </row>
    <row r="14" spans="1:5" ht="14.25" x14ac:dyDescent="0.2">
      <c r="A14" s="30"/>
      <c r="B14" s="40" t="s">
        <v>160</v>
      </c>
      <c r="C14" s="368">
        <v>1500</v>
      </c>
      <c r="D14" s="354">
        <v>1500</v>
      </c>
      <c r="E14" s="354">
        <v>1500</v>
      </c>
    </row>
    <row r="15" spans="1:5" ht="14.25" x14ac:dyDescent="0.2">
      <c r="A15" s="30"/>
      <c r="B15" s="163" t="s">
        <v>523</v>
      </c>
      <c r="C15" s="165">
        <v>18</v>
      </c>
      <c r="D15" s="174">
        <v>18</v>
      </c>
      <c r="E15" s="174">
        <v>18</v>
      </c>
    </row>
    <row r="17" spans="1:5" x14ac:dyDescent="0.25">
      <c r="A17" s="30"/>
    </row>
    <row r="19" spans="1:5" x14ac:dyDescent="0.25">
      <c r="B19" s="2"/>
    </row>
    <row r="21" spans="1:5" x14ac:dyDescent="0.25">
      <c r="C21" s="81"/>
      <c r="D21" s="81"/>
      <c r="E21" s="81"/>
    </row>
    <row r="22" spans="1:5" x14ac:dyDescent="0.25">
      <c r="C22" s="81"/>
      <c r="D22" s="81"/>
      <c r="E22" s="81"/>
    </row>
    <row r="23" spans="1:5" x14ac:dyDescent="0.25">
      <c r="C23" s="81"/>
      <c r="D23" s="81"/>
      <c r="E23" s="81"/>
    </row>
    <row r="24" spans="1:5" x14ac:dyDescent="0.25">
      <c r="C24" s="81"/>
      <c r="D24" s="81"/>
      <c r="E24" s="81"/>
    </row>
    <row r="25" spans="1:5" x14ac:dyDescent="0.25">
      <c r="C25" s="81"/>
      <c r="D25" s="81"/>
      <c r="E25" s="81"/>
    </row>
    <row r="26" spans="1:5" x14ac:dyDescent="0.25">
      <c r="C26" s="81"/>
      <c r="D26" s="81"/>
      <c r="E26" s="81"/>
    </row>
    <row r="27" spans="1:5" x14ac:dyDescent="0.25">
      <c r="C27" s="78"/>
      <c r="D27" s="78"/>
      <c r="E27" s="78"/>
    </row>
    <row r="29" spans="1:5" x14ac:dyDescent="0.25">
      <c r="B29" s="2"/>
    </row>
    <row r="31" spans="1:5" x14ac:dyDescent="0.25">
      <c r="C31" s="81"/>
      <c r="D31" s="81"/>
      <c r="E31" s="81"/>
    </row>
    <row r="32" spans="1:5" x14ac:dyDescent="0.25">
      <c r="C32" s="78"/>
      <c r="D32" s="78"/>
      <c r="E32" s="78"/>
    </row>
    <row r="34" spans="2:5" x14ac:dyDescent="0.25">
      <c r="B34" s="2"/>
    </row>
    <row r="36" spans="2:5" x14ac:dyDescent="0.25">
      <c r="C36" s="81"/>
      <c r="D36" s="81"/>
      <c r="E36" s="81"/>
    </row>
    <row r="37" spans="2:5" x14ac:dyDescent="0.25">
      <c r="C37" s="81"/>
      <c r="D37" s="81"/>
      <c r="E37" s="81"/>
    </row>
    <row r="38" spans="2:5" x14ac:dyDescent="0.25">
      <c r="C38" s="81"/>
      <c r="D38" s="81"/>
      <c r="E38" s="81"/>
    </row>
    <row r="40" spans="2:5" x14ac:dyDescent="0.25">
      <c r="C40" s="81"/>
      <c r="D40" s="81"/>
      <c r="E40" s="81"/>
    </row>
    <row r="41" spans="2:5" x14ac:dyDescent="0.25">
      <c r="C41" s="81"/>
      <c r="D41" s="81"/>
      <c r="E41" s="81"/>
    </row>
    <row r="43" spans="2:5" x14ac:dyDescent="0.25">
      <c r="C43" s="78"/>
      <c r="D43" s="78"/>
      <c r="E43" s="78"/>
    </row>
    <row r="44" spans="2:5" x14ac:dyDescent="0.25">
      <c r="C44" s="78"/>
      <c r="D44" s="78"/>
      <c r="E44" s="78"/>
    </row>
    <row r="45" spans="2:5" x14ac:dyDescent="0.25">
      <c r="C45" s="78"/>
      <c r="D45" s="78"/>
      <c r="E45" s="78"/>
    </row>
    <row r="47" spans="2:5" x14ac:dyDescent="0.25">
      <c r="B47" s="2"/>
    </row>
    <row r="49" spans="3:5" x14ac:dyDescent="0.25">
      <c r="C49" s="81"/>
      <c r="D49" s="81"/>
      <c r="E49" s="81"/>
    </row>
    <row r="50" spans="3:5" x14ac:dyDescent="0.25">
      <c r="C50" s="81"/>
      <c r="D50" s="81"/>
      <c r="E50" s="81"/>
    </row>
    <row r="51" spans="3:5" x14ac:dyDescent="0.25">
      <c r="C51" s="78"/>
      <c r="D51" s="78"/>
      <c r="E51" s="78"/>
    </row>
    <row r="52" spans="3:5" x14ac:dyDescent="0.25">
      <c r="C52" s="81"/>
      <c r="D52" s="81"/>
      <c r="E52" s="81"/>
    </row>
    <row r="80" hidden="1" x14ac:dyDescent="0.25"/>
    <row r="81" spans="1:5" hidden="1" x14ac:dyDescent="0.25">
      <c r="A81" s="3" t="s">
        <v>338</v>
      </c>
    </row>
    <row r="82" spans="1:5" hidden="1" x14ac:dyDescent="0.25">
      <c r="B82" s="3" t="s">
        <v>518</v>
      </c>
    </row>
    <row r="83" spans="1:5" ht="14.25" hidden="1" x14ac:dyDescent="0.2">
      <c r="B83" s="19" t="s">
        <v>519</v>
      </c>
      <c r="C83" s="90">
        <f>'4.2.1'!C20</f>
        <v>120922.65908937562</v>
      </c>
      <c r="D83" s="90">
        <f>'4.2.1'!D20</f>
        <v>120922.65908937562</v>
      </c>
      <c r="E83" s="90">
        <f>'4.2.1'!E20</f>
        <v>120922.65908937562</v>
      </c>
    </row>
    <row r="84" spans="1:5" ht="14.25" hidden="1" x14ac:dyDescent="0.2">
      <c r="B84" s="19" t="s">
        <v>520</v>
      </c>
      <c r="C84" s="90">
        <f>'4.2.1'!C21</f>
        <v>24522.779193704471</v>
      </c>
      <c r="D84" s="90">
        <f>'4.2.1'!D21</f>
        <v>24522.779193704471</v>
      </c>
      <c r="E84" s="90">
        <f>'4.2.1'!E21</f>
        <v>24522.779193704471</v>
      </c>
    </row>
    <row r="85" spans="1:5" hidden="1" x14ac:dyDescent="0.25"/>
    <row r="86" spans="1:5" hidden="1" x14ac:dyDescent="0.25">
      <c r="B86" s="3" t="s">
        <v>521</v>
      </c>
    </row>
    <row r="87" spans="1:5" ht="14.25" hidden="1" x14ac:dyDescent="0.2">
      <c r="B87" s="19" t="s">
        <v>519</v>
      </c>
      <c r="C87" s="90">
        <f>C83/'4.2.1'!C19</f>
        <v>12092.265908937563</v>
      </c>
      <c r="D87" s="90">
        <f>D83/'4.2.1'!D19</f>
        <v>12092.265908937563</v>
      </c>
      <c r="E87" s="90">
        <f>E83/'4.2.1'!E19</f>
        <v>12092.265908937563</v>
      </c>
    </row>
    <row r="88" spans="1:5" ht="14.25" hidden="1" x14ac:dyDescent="0.2">
      <c r="B88" s="19" t="s">
        <v>520</v>
      </c>
      <c r="C88" s="90">
        <f>C84/'4.2.1'!C19</f>
        <v>2452.2779193704473</v>
      </c>
      <c r="D88" s="90">
        <f>D84/'4.2.1'!D19</f>
        <v>2452.2779193704473</v>
      </c>
      <c r="E88" s="90">
        <f>E84/'4.2.1'!E19</f>
        <v>2452.2779193704473</v>
      </c>
    </row>
    <row r="89" spans="1:5" hidden="1" x14ac:dyDescent="0.25"/>
    <row r="90" spans="1:5" hidden="1" x14ac:dyDescent="0.25">
      <c r="B90" s="3" t="s">
        <v>522</v>
      </c>
    </row>
    <row r="91" spans="1:5" ht="14.25" hidden="1" x14ac:dyDescent="0.2">
      <c r="B91" s="19" t="s">
        <v>519</v>
      </c>
      <c r="C91" s="90">
        <f>C87*C13</f>
        <v>9673.8127271500507</v>
      </c>
      <c r="D91" s="90">
        <f t="shared" ref="D91:E91" si="5">D87*D13</f>
        <v>9673.8127271500507</v>
      </c>
      <c r="E91" s="90">
        <f t="shared" si="5"/>
        <v>9673.8127271500507</v>
      </c>
    </row>
    <row r="92" spans="1:5" ht="14.25" hidden="1" x14ac:dyDescent="0.2">
      <c r="B92" s="19" t="s">
        <v>520</v>
      </c>
      <c r="C92" s="90">
        <f>C88*C13</f>
        <v>1961.8223354963579</v>
      </c>
      <c r="D92" s="90">
        <f t="shared" ref="D92:E92" si="6">D88*D13</f>
        <v>1961.8223354963579</v>
      </c>
      <c r="E92" s="90">
        <f t="shared" si="6"/>
        <v>1961.8223354963579</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0"/>
  <sheetViews>
    <sheetView showGridLines="0" zoomScaleNormal="100" workbookViewId="0">
      <pane xSplit="24" ySplit="45" topLeftCell="Y58" activePane="bottomRight" state="frozen"/>
      <selection pane="topRight" activeCell="Y1" sqref="Y1"/>
      <selection pane="bottomLeft" activeCell="A45" sqref="A45"/>
      <selection pane="bottomRight" activeCell="B10" sqref="B10"/>
    </sheetView>
  </sheetViews>
  <sheetFormatPr defaultRowHeight="15" x14ac:dyDescent="0.25"/>
  <cols>
    <col min="2" max="2" width="21" customWidth="1"/>
    <col min="3" max="3" width="93.85546875" bestFit="1" customWidth="1"/>
  </cols>
  <sheetData>
    <row r="3" spans="1:12" x14ac:dyDescent="0.25">
      <c r="B3" s="2" t="s">
        <v>248</v>
      </c>
      <c r="C3" s="3"/>
      <c r="D3" s="3"/>
      <c r="E3" s="3"/>
      <c r="F3" s="3"/>
      <c r="G3" s="3"/>
      <c r="H3" s="3"/>
      <c r="I3" s="3"/>
      <c r="J3" s="3"/>
      <c r="K3" s="3"/>
      <c r="L3" s="3"/>
    </row>
    <row r="4" spans="1:12" x14ac:dyDescent="0.25">
      <c r="B4" s="2" t="s">
        <v>246</v>
      </c>
      <c r="C4" s="2" t="s">
        <v>609</v>
      </c>
      <c r="D4" s="3"/>
      <c r="E4" s="3"/>
      <c r="F4" s="3"/>
      <c r="G4" s="3"/>
      <c r="H4" s="3"/>
      <c r="I4" s="3"/>
      <c r="J4" s="3"/>
      <c r="K4" s="3"/>
      <c r="L4" s="3"/>
    </row>
    <row r="5" spans="1:12" ht="15.75" x14ac:dyDescent="0.25">
      <c r="A5" s="381"/>
      <c r="B5" s="270" t="s">
        <v>726</v>
      </c>
      <c r="C5" s="3" t="s">
        <v>733</v>
      </c>
      <c r="D5" s="3"/>
      <c r="E5" s="3"/>
      <c r="F5" s="3"/>
      <c r="G5" s="3"/>
      <c r="H5" s="3"/>
      <c r="I5" s="3"/>
      <c r="J5" s="3"/>
      <c r="K5" s="3"/>
      <c r="L5" s="3"/>
    </row>
    <row r="6" spans="1:12" x14ac:dyDescent="0.25">
      <c r="B6" s="270" t="s">
        <v>604</v>
      </c>
      <c r="C6" s="3" t="s">
        <v>637</v>
      </c>
      <c r="D6" s="3"/>
      <c r="E6" s="3"/>
      <c r="F6" s="3"/>
      <c r="G6" s="3"/>
      <c r="H6" s="3"/>
      <c r="I6" s="3"/>
      <c r="J6" s="3"/>
      <c r="K6" s="3"/>
      <c r="L6" s="3"/>
    </row>
    <row r="7" spans="1:12" x14ac:dyDescent="0.25">
      <c r="B7" s="270" t="s">
        <v>605</v>
      </c>
      <c r="C7" s="3" t="s">
        <v>616</v>
      </c>
      <c r="D7" s="3"/>
      <c r="E7" s="3"/>
      <c r="F7" s="3"/>
      <c r="G7" s="3"/>
      <c r="H7" s="3"/>
      <c r="I7" s="3"/>
      <c r="J7" s="3"/>
      <c r="K7" s="3"/>
      <c r="L7" s="3"/>
    </row>
    <row r="8" spans="1:12" x14ac:dyDescent="0.25">
      <c r="B8" s="270" t="s">
        <v>606</v>
      </c>
      <c r="C8" s="3" t="s">
        <v>617</v>
      </c>
      <c r="D8" s="3"/>
      <c r="E8" s="3"/>
      <c r="F8" s="3"/>
      <c r="G8" s="3"/>
      <c r="H8" s="3"/>
      <c r="I8" s="3"/>
      <c r="J8" s="3"/>
      <c r="K8" s="3"/>
      <c r="L8" s="3"/>
    </row>
    <row r="9" spans="1:12" x14ac:dyDescent="0.25">
      <c r="B9" s="270" t="s">
        <v>778</v>
      </c>
      <c r="C9" s="3" t="s">
        <v>779</v>
      </c>
      <c r="D9" s="3"/>
      <c r="E9" s="3"/>
      <c r="F9" s="3"/>
      <c r="G9" s="3"/>
      <c r="H9" s="3"/>
      <c r="I9" s="3"/>
      <c r="J9" s="3"/>
      <c r="K9" s="3"/>
      <c r="L9" s="3"/>
    </row>
    <row r="10" spans="1:12" x14ac:dyDescent="0.25">
      <c r="C10" s="441" t="s">
        <v>734</v>
      </c>
      <c r="D10" s="3"/>
      <c r="E10" s="3"/>
      <c r="F10" s="3"/>
      <c r="G10" s="3"/>
      <c r="H10" s="3"/>
      <c r="I10" s="3"/>
      <c r="J10" s="3"/>
      <c r="K10" s="3"/>
      <c r="L10" s="3"/>
    </row>
    <row r="11" spans="1:12" x14ac:dyDescent="0.25">
      <c r="B11" s="270" t="s">
        <v>607</v>
      </c>
      <c r="C11" s="3" t="s">
        <v>618</v>
      </c>
      <c r="D11" s="3"/>
      <c r="E11" s="3"/>
      <c r="F11" s="3"/>
      <c r="G11" s="3"/>
      <c r="H11" s="3"/>
      <c r="I11" s="3"/>
      <c r="J11" s="3"/>
      <c r="K11" s="3"/>
      <c r="L11" s="3"/>
    </row>
    <row r="12" spans="1:12" x14ac:dyDescent="0.25">
      <c r="B12" s="270" t="s">
        <v>608</v>
      </c>
      <c r="C12" s="3" t="s">
        <v>610</v>
      </c>
      <c r="D12" s="3"/>
      <c r="E12" s="3"/>
      <c r="F12" s="3"/>
      <c r="G12" s="3"/>
      <c r="H12" s="3"/>
      <c r="I12" s="3"/>
      <c r="J12" s="3"/>
      <c r="K12" s="3"/>
      <c r="L12" s="3"/>
    </row>
    <row r="14" spans="1:12" ht="18" x14ac:dyDescent="0.25">
      <c r="B14" s="271" t="s">
        <v>611</v>
      </c>
    </row>
    <row r="15" spans="1:12" ht="43.5" x14ac:dyDescent="0.25">
      <c r="B15" s="418">
        <v>1</v>
      </c>
      <c r="C15" s="416" t="s">
        <v>612</v>
      </c>
    </row>
    <row r="16" spans="1:12" ht="57" x14ac:dyDescent="0.25">
      <c r="B16" s="418">
        <v>2</v>
      </c>
      <c r="C16" s="417" t="s">
        <v>613</v>
      </c>
    </row>
    <row r="17" spans="2:3" x14ac:dyDescent="0.25">
      <c r="B17" s="3">
        <v>3</v>
      </c>
      <c r="C17" s="3" t="s">
        <v>614</v>
      </c>
    </row>
    <row r="18" spans="2:3" x14ac:dyDescent="0.25">
      <c r="B18" s="3">
        <v>4</v>
      </c>
      <c r="C18" s="419" t="s">
        <v>641</v>
      </c>
    </row>
    <row r="19" spans="2:3" x14ac:dyDescent="0.25">
      <c r="B19" s="3"/>
      <c r="C19" s="419" t="s">
        <v>765</v>
      </c>
    </row>
    <row r="20" spans="2:3" x14ac:dyDescent="0.25">
      <c r="B20" s="3">
        <v>5</v>
      </c>
      <c r="C20" s="420" t="s">
        <v>640</v>
      </c>
    </row>
  </sheetData>
  <sheetProtection sheet="1" objects="1" scenarios="1"/>
  <hyperlinks>
    <hyperlink ref="B6" location="'Summary Opex'!A1" display="Summary Opex"/>
    <hyperlink ref="B7" location="'Summary Capex'!A1" display="Summary Capex"/>
    <hyperlink ref="B5" location="'Service Descriptions'!A1" display="Service Descriptions"/>
    <hyperlink ref="B8" location="'Summary Outputs'!A1" display="Summary Outputs"/>
    <hyperlink ref="B11" location="Population!A1" display="Population"/>
    <hyperlink ref="B12" location="IES!A1" display="IES"/>
    <hyperlink ref="B9" location="'Summary Personnel'!A1" display="Summary Personnel"/>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7"/>
  <sheetViews>
    <sheetView showGridLines="0" workbookViewId="0">
      <pane ySplit="1" topLeftCell="A2" activePane="bottomLeft" state="frozen"/>
      <selection pane="bottomLeft" activeCell="D45" sqref="D45"/>
    </sheetView>
  </sheetViews>
  <sheetFormatPr defaultRowHeight="15" x14ac:dyDescent="0.25"/>
  <cols>
    <col min="1" max="1" width="3.28515625" style="3" customWidth="1"/>
    <col min="2" max="2" width="71.5703125" customWidth="1"/>
    <col min="3" max="5" width="18" customWidth="1"/>
    <col min="6" max="16384" width="9.140625" style="3"/>
  </cols>
  <sheetData>
    <row r="1" spans="1:5" ht="15.75" x14ac:dyDescent="0.25">
      <c r="A1" s="30"/>
      <c r="B1" s="335" t="str">
        <f>A41</f>
        <v>Services for children in Grade R</v>
      </c>
      <c r="C1" s="336" t="s">
        <v>335</v>
      </c>
      <c r="D1" s="337" t="s">
        <v>336</v>
      </c>
      <c r="E1" s="338" t="s">
        <v>337</v>
      </c>
    </row>
    <row r="2" spans="1:5" ht="14.25" x14ac:dyDescent="0.2">
      <c r="A2" s="30"/>
      <c r="B2" s="123" t="s">
        <v>331</v>
      </c>
      <c r="C2" s="124">
        <f>SUM(C3:C4)</f>
        <v>5294770673.5233011</v>
      </c>
      <c r="D2" s="124">
        <f t="shared" ref="D2:E2" si="0">SUM(D3:D4)</f>
        <v>5294770673.5233011</v>
      </c>
      <c r="E2" s="124">
        <f t="shared" si="0"/>
        <v>5294770673.5233011</v>
      </c>
    </row>
    <row r="3" spans="1:5" ht="14.25" x14ac:dyDescent="0.2">
      <c r="A3" s="30"/>
      <c r="B3" s="126" t="s">
        <v>329</v>
      </c>
      <c r="C3" s="127">
        <f>C10+C17+C24+C31</f>
        <v>2417657525.2146292</v>
      </c>
      <c r="D3" s="127">
        <f t="shared" ref="D3:E3" si="1">D10+D17+D24+D31</f>
        <v>2417657525.2146292</v>
      </c>
      <c r="E3" s="127">
        <f t="shared" si="1"/>
        <v>2417657525.2146292</v>
      </c>
    </row>
    <row r="4" spans="1:5" ht="14.25" x14ac:dyDescent="0.2">
      <c r="A4" s="30"/>
      <c r="B4" s="128" t="s">
        <v>330</v>
      </c>
      <c r="C4" s="129">
        <f>C11+C18+C25+C32</f>
        <v>2877113148.308672</v>
      </c>
      <c r="D4" s="129">
        <f t="shared" ref="D4:E4" si="2">D11+D18+D25+D32</f>
        <v>2877113148.308672</v>
      </c>
      <c r="E4" s="129">
        <f t="shared" si="2"/>
        <v>2877113148.308672</v>
      </c>
    </row>
    <row r="5" spans="1:5" ht="14.25" x14ac:dyDescent="0.2">
      <c r="A5" s="30"/>
      <c r="B5" s="130" t="s">
        <v>332</v>
      </c>
      <c r="C5" s="124">
        <f>C12+C19+C26+C33</f>
        <v>16251220315.495777</v>
      </c>
      <c r="D5" s="124">
        <f t="shared" ref="D5:E5" si="3">D12+D19+D26+D33</f>
        <v>16251220315.495777</v>
      </c>
      <c r="E5" s="124">
        <f t="shared" si="3"/>
        <v>16251220315.495777</v>
      </c>
    </row>
    <row r="6" spans="1:5" ht="14.25" x14ac:dyDescent="0.2">
      <c r="A6" s="30"/>
      <c r="B6" s="134" t="s">
        <v>333</v>
      </c>
      <c r="C6" s="406">
        <f>C13+C20+C27+C34</f>
        <v>0</v>
      </c>
      <c r="D6" s="406">
        <f t="shared" ref="D6:E6" si="4">D13+D20+D27+D34</f>
        <v>0</v>
      </c>
      <c r="E6" s="406">
        <f t="shared" si="4"/>
        <v>0</v>
      </c>
    </row>
    <row r="7" spans="1:5" ht="14.25" x14ac:dyDescent="0.2">
      <c r="A7" s="30"/>
      <c r="B7" s="134" t="s">
        <v>626</v>
      </c>
      <c r="C7" s="131">
        <f>C3-C6</f>
        <v>2417657525.2146292</v>
      </c>
      <c r="D7" s="131">
        <f t="shared" ref="D7:E7" si="5">D3-D6</f>
        <v>2417657525.2146292</v>
      </c>
      <c r="E7" s="131">
        <f t="shared" si="5"/>
        <v>2417657525.2146292</v>
      </c>
    </row>
    <row r="8" spans="1:5" ht="14.25" x14ac:dyDescent="0.2">
      <c r="A8" s="30"/>
      <c r="B8" s="122" t="s">
        <v>490</v>
      </c>
      <c r="C8" s="54"/>
      <c r="D8" s="54"/>
      <c r="E8" s="54"/>
    </row>
    <row r="9" spans="1:5" ht="14.25" x14ac:dyDescent="0.2">
      <c r="A9" s="30"/>
      <c r="B9" s="123" t="s">
        <v>331</v>
      </c>
      <c r="C9" s="124">
        <f>SUM(C10:C11)</f>
        <v>1588465143.6198881</v>
      </c>
      <c r="D9" s="124">
        <f t="shared" ref="D9:E9" si="6">SUM(D10:D11)</f>
        <v>1588465143.6198881</v>
      </c>
      <c r="E9" s="124">
        <f t="shared" si="6"/>
        <v>1588465143.6198881</v>
      </c>
    </row>
    <row r="10" spans="1:5" ht="14.25" x14ac:dyDescent="0.2">
      <c r="A10" s="30"/>
      <c r="B10" s="126" t="s">
        <v>329</v>
      </c>
      <c r="C10" s="127">
        <f>C134+C137+C138</f>
        <v>0</v>
      </c>
      <c r="D10" s="127">
        <f t="shared" ref="D10:E10" si="7">D134+D137+D138</f>
        <v>0</v>
      </c>
      <c r="E10" s="127">
        <f t="shared" si="7"/>
        <v>0</v>
      </c>
    </row>
    <row r="11" spans="1:5" ht="14.25" x14ac:dyDescent="0.2">
      <c r="A11" s="30"/>
      <c r="B11" s="128" t="s">
        <v>330</v>
      </c>
      <c r="C11" s="129">
        <f>C83/C51+C84/C51</f>
        <v>1588465143.6198881</v>
      </c>
      <c r="D11" s="129">
        <f t="shared" ref="D11:E11" si="8">D83/D51+D84/D51</f>
        <v>1588465143.6198881</v>
      </c>
      <c r="E11" s="129">
        <f t="shared" si="8"/>
        <v>1588465143.6198881</v>
      </c>
    </row>
    <row r="12" spans="1:5" ht="14.25" x14ac:dyDescent="0.2">
      <c r="A12" s="30"/>
      <c r="B12" s="130" t="s">
        <v>332</v>
      </c>
      <c r="C12" s="124">
        <f>C83+C84</f>
        <v>7942325718.0994396</v>
      </c>
      <c r="D12" s="124">
        <f t="shared" ref="D12:E12" si="9">D83+D84</f>
        <v>7942325718.0994396</v>
      </c>
      <c r="E12" s="124">
        <f t="shared" si="9"/>
        <v>7942325718.0994396</v>
      </c>
    </row>
    <row r="13" spans="1:5" ht="14.25" x14ac:dyDescent="0.2">
      <c r="A13" s="30"/>
      <c r="B13" s="134" t="s">
        <v>333</v>
      </c>
      <c r="C13" s="171"/>
      <c r="D13" s="171"/>
      <c r="E13" s="171"/>
    </row>
    <row r="14" spans="1:5" ht="14.25" x14ac:dyDescent="0.2">
      <c r="A14" s="30"/>
      <c r="B14" s="134" t="s">
        <v>626</v>
      </c>
      <c r="C14" s="131">
        <f>C10-C13</f>
        <v>0</v>
      </c>
      <c r="D14" s="131">
        <f t="shared" ref="D14:E14" si="10">D10-D13</f>
        <v>0</v>
      </c>
      <c r="E14" s="131">
        <f t="shared" si="10"/>
        <v>0</v>
      </c>
    </row>
    <row r="15" spans="1:5" ht="14.25" x14ac:dyDescent="0.2">
      <c r="A15" s="30"/>
      <c r="B15" s="122" t="s">
        <v>491</v>
      </c>
      <c r="C15" s="54"/>
      <c r="D15" s="54"/>
      <c r="E15" s="54"/>
    </row>
    <row r="16" spans="1:5" ht="14.25" x14ac:dyDescent="0.2">
      <c r="A16" s="30"/>
      <c r="B16" s="123" t="s">
        <v>331</v>
      </c>
      <c r="C16" s="124">
        <f>SUM(C17:C18)</f>
        <v>1765640101.9467218</v>
      </c>
      <c r="D16" s="124">
        <f t="shared" ref="D16:E16" si="11">SUM(D17:D18)</f>
        <v>1765640101.9467218</v>
      </c>
      <c r="E16" s="124">
        <f t="shared" si="11"/>
        <v>1765640101.9467218</v>
      </c>
    </row>
    <row r="17" spans="1:5" ht="14.25" x14ac:dyDescent="0.2">
      <c r="A17" s="30"/>
      <c r="B17" s="126" t="s">
        <v>329</v>
      </c>
      <c r="C17" s="127">
        <f>C85*C54*C53</f>
        <v>1765640101.9467218</v>
      </c>
      <c r="D17" s="127">
        <f t="shared" ref="D17:E17" si="12">D85*D54*D53</f>
        <v>1765640101.9467218</v>
      </c>
      <c r="E17" s="127">
        <f t="shared" si="12"/>
        <v>1765640101.9467218</v>
      </c>
    </row>
    <row r="18" spans="1:5" ht="14.25" x14ac:dyDescent="0.2">
      <c r="A18" s="30"/>
      <c r="B18" s="128" t="s">
        <v>330</v>
      </c>
      <c r="C18" s="129">
        <f>(C141+C142+C143)/C65</f>
        <v>0</v>
      </c>
      <c r="D18" s="129">
        <f t="shared" ref="D18:E18" si="13">(D141+D142+D143)/D65</f>
        <v>0</v>
      </c>
      <c r="E18" s="129">
        <f t="shared" si="13"/>
        <v>0</v>
      </c>
    </row>
    <row r="19" spans="1:5" ht="14.25" x14ac:dyDescent="0.2">
      <c r="A19" s="30"/>
      <c r="B19" s="130" t="s">
        <v>332</v>
      </c>
      <c r="C19" s="124">
        <f>C141+C142+C143</f>
        <v>0</v>
      </c>
      <c r="D19" s="124">
        <f t="shared" ref="D19:E19" si="14">D141+D142+D143</f>
        <v>0</v>
      </c>
      <c r="E19" s="124">
        <f t="shared" si="14"/>
        <v>0</v>
      </c>
    </row>
    <row r="20" spans="1:5" ht="14.25" x14ac:dyDescent="0.2">
      <c r="A20" s="30"/>
      <c r="B20" s="134" t="s">
        <v>333</v>
      </c>
      <c r="C20" s="171"/>
      <c r="D20" s="171"/>
      <c r="E20" s="171"/>
    </row>
    <row r="21" spans="1:5" ht="14.25" x14ac:dyDescent="0.2">
      <c r="A21" s="30"/>
      <c r="B21" s="134" t="s">
        <v>626</v>
      </c>
      <c r="C21" s="131">
        <f>C17-C20</f>
        <v>1765640101.9467218</v>
      </c>
      <c r="D21" s="131">
        <f t="shared" ref="D21:E21" si="15">D17-D20</f>
        <v>1765640101.9467218</v>
      </c>
      <c r="E21" s="131">
        <f t="shared" si="15"/>
        <v>1765640101.9467218</v>
      </c>
    </row>
    <row r="22" spans="1:5" ht="14.25" x14ac:dyDescent="0.2">
      <c r="A22" s="30"/>
      <c r="B22" s="122" t="s">
        <v>492</v>
      </c>
      <c r="C22" s="54"/>
      <c r="D22" s="54"/>
      <c r="E22" s="54"/>
    </row>
    <row r="23" spans="1:5" ht="14.25" x14ac:dyDescent="0.2">
      <c r="A23" s="30"/>
      <c r="B23" s="123" t="s">
        <v>331</v>
      </c>
      <c r="C23" s="339">
        <f>SUM(C24:C25)</f>
        <v>1242487479.1476932</v>
      </c>
      <c r="D23" s="339">
        <f t="shared" ref="D23:E23" si="16">SUM(D24:D25)</f>
        <v>1242487479.1476932</v>
      </c>
      <c r="E23" s="339">
        <f t="shared" si="16"/>
        <v>1242487479.1476932</v>
      </c>
    </row>
    <row r="24" spans="1:5" ht="14.25" x14ac:dyDescent="0.2">
      <c r="A24" s="30"/>
      <c r="B24" s="126" t="s">
        <v>329</v>
      </c>
      <c r="C24" s="340">
        <f>C90+C91</f>
        <v>588546700.6489073</v>
      </c>
      <c r="D24" s="340">
        <f t="shared" ref="D24:E24" si="17">D90+D91</f>
        <v>588546700.6489073</v>
      </c>
      <c r="E24" s="340">
        <f t="shared" si="17"/>
        <v>588546700.6489073</v>
      </c>
    </row>
    <row r="25" spans="1:5" ht="14.25" x14ac:dyDescent="0.2">
      <c r="A25" s="30"/>
      <c r="B25" s="128" t="s">
        <v>330</v>
      </c>
      <c r="C25" s="341">
        <f>C88/C59</f>
        <v>653940778.49878585</v>
      </c>
      <c r="D25" s="341">
        <f t="shared" ref="D25:E25" si="18">D88/D59</f>
        <v>653940778.49878585</v>
      </c>
      <c r="E25" s="341">
        <f t="shared" si="18"/>
        <v>653940778.49878585</v>
      </c>
    </row>
    <row r="26" spans="1:5" ht="14.25" x14ac:dyDescent="0.2">
      <c r="A26" s="30"/>
      <c r="B26" s="130" t="s">
        <v>332</v>
      </c>
      <c r="C26" s="339">
        <f>C88</f>
        <v>1961822335.4963577</v>
      </c>
      <c r="D26" s="339">
        <f t="shared" ref="D26:E26" si="19">D88</f>
        <v>1961822335.4963577</v>
      </c>
      <c r="E26" s="339">
        <f t="shared" si="19"/>
        <v>1961822335.4963577</v>
      </c>
    </row>
    <row r="27" spans="1:5" ht="14.25" x14ac:dyDescent="0.2">
      <c r="A27" s="30"/>
      <c r="B27" s="134" t="s">
        <v>333</v>
      </c>
      <c r="C27" s="354"/>
      <c r="D27" s="354"/>
      <c r="E27" s="354"/>
    </row>
    <row r="28" spans="1:5" ht="14.25" x14ac:dyDescent="0.2">
      <c r="A28" s="30"/>
      <c r="B28" s="134" t="s">
        <v>626</v>
      </c>
      <c r="C28" s="343">
        <f>C24-C27</f>
        <v>588546700.6489073</v>
      </c>
      <c r="D28" s="343">
        <f t="shared" ref="D28:E28" si="20">D24-D27</f>
        <v>588546700.6489073</v>
      </c>
      <c r="E28" s="343">
        <f t="shared" si="20"/>
        <v>588546700.6489073</v>
      </c>
    </row>
    <row r="29" spans="1:5" ht="14.25" x14ac:dyDescent="0.2">
      <c r="A29" s="30"/>
      <c r="B29" s="122" t="s">
        <v>493</v>
      </c>
      <c r="C29" s="342"/>
      <c r="D29" s="342"/>
      <c r="E29" s="342"/>
    </row>
    <row r="30" spans="1:5" ht="14.25" x14ac:dyDescent="0.2">
      <c r="A30" s="30"/>
      <c r="B30" s="123" t="s">
        <v>331</v>
      </c>
      <c r="C30" s="339">
        <f>SUM(C31:C32)</f>
        <v>698177948.80899787</v>
      </c>
      <c r="D30" s="339">
        <f t="shared" ref="D30:E30" si="21">SUM(D31:D32)</f>
        <v>698177948.80899787</v>
      </c>
      <c r="E30" s="339">
        <f t="shared" si="21"/>
        <v>698177948.80899787</v>
      </c>
    </row>
    <row r="31" spans="1:5" ht="14.25" x14ac:dyDescent="0.2">
      <c r="A31" s="30"/>
      <c r="B31" s="126" t="s">
        <v>329</v>
      </c>
      <c r="C31" s="340">
        <f>C71*C96</f>
        <v>63470722.618999809</v>
      </c>
      <c r="D31" s="340">
        <f t="shared" ref="D31:E31" si="22">D71*D96</f>
        <v>63470722.618999809</v>
      </c>
      <c r="E31" s="340">
        <f t="shared" si="22"/>
        <v>63470722.618999809</v>
      </c>
    </row>
    <row r="32" spans="1:5" ht="14.25" x14ac:dyDescent="0.2">
      <c r="A32" s="30"/>
      <c r="B32" s="128" t="s">
        <v>330</v>
      </c>
      <c r="C32" s="341">
        <f>C96/C69</f>
        <v>634707226.18999803</v>
      </c>
      <c r="D32" s="341">
        <f t="shared" ref="D32:E32" si="23">D96/D69</f>
        <v>634707226.18999803</v>
      </c>
      <c r="E32" s="341">
        <f t="shared" si="23"/>
        <v>634707226.18999803</v>
      </c>
    </row>
    <row r="33" spans="1:5" ht="14.25" x14ac:dyDescent="0.2">
      <c r="A33" s="30"/>
      <c r="B33" s="130" t="s">
        <v>332</v>
      </c>
      <c r="C33" s="339">
        <f>C96</f>
        <v>6347072261.8999805</v>
      </c>
      <c r="D33" s="339">
        <f t="shared" ref="D33:E33" si="24">D96</f>
        <v>6347072261.8999805</v>
      </c>
      <c r="E33" s="339">
        <f t="shared" si="24"/>
        <v>6347072261.8999805</v>
      </c>
    </row>
    <row r="34" spans="1:5" ht="14.25" x14ac:dyDescent="0.2">
      <c r="A34" s="30"/>
      <c r="B34" s="134" t="s">
        <v>333</v>
      </c>
      <c r="C34" s="354"/>
      <c r="D34" s="354"/>
      <c r="E34" s="354"/>
    </row>
    <row r="35" spans="1:5" ht="14.25" x14ac:dyDescent="0.2">
      <c r="A35" s="30"/>
      <c r="B35" s="134" t="s">
        <v>626</v>
      </c>
      <c r="C35" s="343">
        <f>C31-C34</f>
        <v>63470722.618999809</v>
      </c>
      <c r="D35" s="343">
        <f t="shared" ref="D35:E35" si="25">D31-D34</f>
        <v>63470722.618999809</v>
      </c>
      <c r="E35" s="343">
        <f t="shared" si="25"/>
        <v>63470722.618999809</v>
      </c>
    </row>
    <row r="36" spans="1:5" ht="14.25" x14ac:dyDescent="0.2">
      <c r="A36" s="30"/>
      <c r="B36" s="69" t="s">
        <v>562</v>
      </c>
      <c r="C36" s="125"/>
      <c r="D36" s="125"/>
      <c r="E36" s="125"/>
    </row>
    <row r="37" spans="1:5" ht="14.25" x14ac:dyDescent="0.2">
      <c r="A37" s="30"/>
      <c r="B37" s="32" t="s">
        <v>581</v>
      </c>
      <c r="C37" s="153">
        <f>C47/C51</f>
        <v>4412.4031767219112</v>
      </c>
      <c r="D37" s="153">
        <f t="shared" ref="D37:E37" si="26">D47/D51</f>
        <v>4412.4031767219112</v>
      </c>
      <c r="E37" s="153">
        <f t="shared" si="26"/>
        <v>4412.4031767219112</v>
      </c>
    </row>
    <row r="38" spans="1:5" ht="14.25" x14ac:dyDescent="0.2">
      <c r="A38" s="30"/>
      <c r="B38" s="32" t="s">
        <v>582</v>
      </c>
      <c r="C38" s="153">
        <f>C95/C69</f>
        <v>1269.4144523799962</v>
      </c>
      <c r="D38" s="153">
        <f t="shared" ref="D38:E38" si="27">D95/D69</f>
        <v>1269.4144523799962</v>
      </c>
      <c r="E38" s="153">
        <f t="shared" si="27"/>
        <v>1269.4144523799962</v>
      </c>
    </row>
    <row r="39" spans="1:5" ht="14.25" x14ac:dyDescent="0.2">
      <c r="A39" s="30"/>
      <c r="B39" s="154" t="s">
        <v>584</v>
      </c>
      <c r="C39" s="150">
        <f>C58/C59</f>
        <v>8174.2597312348234</v>
      </c>
      <c r="D39" s="150">
        <f t="shared" ref="D39:E39" si="28">D58/D59</f>
        <v>8174.2597312348234</v>
      </c>
      <c r="E39" s="150">
        <f t="shared" si="28"/>
        <v>8174.2597312348234</v>
      </c>
    </row>
    <row r="40" spans="1:5" ht="14.25" x14ac:dyDescent="0.2">
      <c r="A40" s="30"/>
      <c r="B40" s="69"/>
      <c r="C40" s="125"/>
      <c r="D40" s="125"/>
      <c r="E40" s="125"/>
    </row>
    <row r="41" spans="1:5" ht="14.25" x14ac:dyDescent="0.2">
      <c r="A41" s="382" t="s">
        <v>161</v>
      </c>
      <c r="B41" s="384"/>
      <c r="C41" s="384"/>
      <c r="D41" s="384"/>
      <c r="E41" s="384"/>
    </row>
    <row r="42" spans="1:5" ht="14.25" x14ac:dyDescent="0.2">
      <c r="A42" s="30"/>
      <c r="B42" s="122" t="s">
        <v>498</v>
      </c>
      <c r="C42" s="54"/>
      <c r="D42" s="54"/>
      <c r="E42" s="54"/>
    </row>
    <row r="43" spans="1:5" ht="14.25" x14ac:dyDescent="0.2">
      <c r="A43" s="30"/>
      <c r="B43" s="30" t="s">
        <v>163</v>
      </c>
      <c r="C43" s="113">
        <v>0.15</v>
      </c>
      <c r="D43" s="197">
        <v>0.15</v>
      </c>
      <c r="E43" s="197">
        <v>0.15</v>
      </c>
    </row>
    <row r="44" spans="1:5" ht="14.25" x14ac:dyDescent="0.2">
      <c r="A44" s="30"/>
      <c r="B44" s="30" t="s">
        <v>164</v>
      </c>
      <c r="C44" s="113">
        <v>0.2</v>
      </c>
      <c r="D44" s="197">
        <v>0.2</v>
      </c>
      <c r="E44" s="197">
        <v>0.2</v>
      </c>
    </row>
    <row r="45" spans="1:5" ht="14.25" x14ac:dyDescent="0.2">
      <c r="A45" s="30"/>
      <c r="B45" s="167" t="s">
        <v>165</v>
      </c>
      <c r="C45" s="191">
        <f>1-(C43+C44)</f>
        <v>0.65</v>
      </c>
      <c r="D45" s="191">
        <f t="shared" ref="D45:E45" si="29">1-(D43+D44)</f>
        <v>0.65</v>
      </c>
      <c r="E45" s="191">
        <f t="shared" si="29"/>
        <v>0.65</v>
      </c>
    </row>
    <row r="46" spans="1:5" ht="14.25" x14ac:dyDescent="0.2">
      <c r="A46" s="30"/>
      <c r="B46" s="30" t="s">
        <v>167</v>
      </c>
      <c r="C46" s="114">
        <v>30</v>
      </c>
      <c r="D46" s="186">
        <v>30</v>
      </c>
      <c r="E46" s="186">
        <v>30</v>
      </c>
    </row>
    <row r="47" spans="1:5" ht="14.25" x14ac:dyDescent="0.2">
      <c r="A47" s="30"/>
      <c r="B47" s="181" t="s">
        <v>576</v>
      </c>
      <c r="C47" s="192">
        <f>C81/C46</f>
        <v>22062.015883609554</v>
      </c>
      <c r="D47" s="192">
        <f t="shared" ref="D47:E47" si="30">D81/D46</f>
        <v>22062.015883609554</v>
      </c>
      <c r="E47" s="192">
        <f t="shared" si="30"/>
        <v>22062.015883609554</v>
      </c>
    </row>
    <row r="48" spans="1:5" ht="14.25" x14ac:dyDescent="0.2">
      <c r="A48" s="30"/>
      <c r="B48" s="31" t="s">
        <v>490</v>
      </c>
      <c r="C48" s="30"/>
      <c r="D48" s="30"/>
      <c r="E48" s="30"/>
    </row>
    <row r="49" spans="1:5" ht="14.25" x14ac:dyDescent="0.2">
      <c r="A49" s="30"/>
      <c r="B49" s="37" t="s">
        <v>527</v>
      </c>
      <c r="C49" s="370">
        <v>60000</v>
      </c>
      <c r="D49" s="371">
        <v>60000</v>
      </c>
      <c r="E49" s="371">
        <v>60000</v>
      </c>
    </row>
    <row r="50" spans="1:5" ht="14.25" x14ac:dyDescent="0.2">
      <c r="A50" s="30"/>
      <c r="B50" s="40" t="s">
        <v>166</v>
      </c>
      <c r="C50" s="368">
        <v>300000</v>
      </c>
      <c r="D50" s="354">
        <v>300000</v>
      </c>
      <c r="E50" s="354">
        <v>300000</v>
      </c>
    </row>
    <row r="51" spans="1:5" ht="14.25" x14ac:dyDescent="0.2">
      <c r="A51" s="30"/>
      <c r="B51" s="44" t="s">
        <v>497</v>
      </c>
      <c r="C51" s="193">
        <v>5</v>
      </c>
      <c r="D51" s="198">
        <v>5</v>
      </c>
      <c r="E51" s="198">
        <v>5</v>
      </c>
    </row>
    <row r="52" spans="1:5" ht="14.25" x14ac:dyDescent="0.2">
      <c r="A52" s="30"/>
      <c r="B52" s="122" t="s">
        <v>491</v>
      </c>
      <c r="C52" s="54"/>
      <c r="D52" s="54"/>
      <c r="E52" s="54"/>
    </row>
    <row r="53" spans="1:5" ht="14.25" x14ac:dyDescent="0.2">
      <c r="A53" s="30"/>
      <c r="B53" s="37" t="s">
        <v>169</v>
      </c>
      <c r="C53" s="194">
        <v>0.85</v>
      </c>
      <c r="D53" s="199">
        <v>0.85</v>
      </c>
      <c r="E53" s="199">
        <v>0.85</v>
      </c>
    </row>
    <row r="54" spans="1:5" ht="14.25" x14ac:dyDescent="0.2">
      <c r="A54" s="30"/>
      <c r="B54" s="44" t="s">
        <v>170</v>
      </c>
      <c r="C54" s="348">
        <v>72000</v>
      </c>
      <c r="D54" s="349">
        <v>72000</v>
      </c>
      <c r="E54" s="349">
        <v>72000</v>
      </c>
    </row>
    <row r="55" spans="1:5" ht="14.25" x14ac:dyDescent="0.2">
      <c r="A55" s="30"/>
      <c r="B55" s="160" t="s">
        <v>773</v>
      </c>
      <c r="C55" s="185">
        <f>C17/C54</f>
        <v>24522.779193704468</v>
      </c>
      <c r="D55" s="185">
        <f t="shared" ref="D55:E55" si="31">D17/D54</f>
        <v>24522.779193704468</v>
      </c>
      <c r="E55" s="185">
        <f t="shared" si="31"/>
        <v>24522.779193704468</v>
      </c>
    </row>
    <row r="56" spans="1:5" ht="14.25" x14ac:dyDescent="0.2">
      <c r="A56" s="30"/>
      <c r="B56" s="122" t="s">
        <v>492</v>
      </c>
      <c r="C56" s="54"/>
      <c r="D56" s="54"/>
      <c r="E56" s="54"/>
    </row>
    <row r="57" spans="1:5" ht="14.25" x14ac:dyDescent="0.2">
      <c r="A57" s="30"/>
      <c r="B57" s="30" t="s">
        <v>172</v>
      </c>
      <c r="C57" s="113">
        <v>0.85</v>
      </c>
      <c r="D57" s="197">
        <v>0.85</v>
      </c>
      <c r="E57" s="197">
        <v>0.85</v>
      </c>
    </row>
    <row r="58" spans="1:5" ht="14.25" x14ac:dyDescent="0.2">
      <c r="A58" s="30"/>
      <c r="B58" s="167" t="s">
        <v>500</v>
      </c>
      <c r="C58" s="184">
        <f>C85*C57</f>
        <v>24522.779193704471</v>
      </c>
      <c r="D58" s="184">
        <f t="shared" ref="D58:E58" si="32">D85*D57</f>
        <v>24522.779193704471</v>
      </c>
      <c r="E58" s="184">
        <f t="shared" si="32"/>
        <v>24522.779193704471</v>
      </c>
    </row>
    <row r="59" spans="1:5" ht="14.25" x14ac:dyDescent="0.2">
      <c r="A59" s="30"/>
      <c r="B59" s="30" t="s">
        <v>504</v>
      </c>
      <c r="C59" s="136">
        <v>3</v>
      </c>
      <c r="D59" s="188">
        <v>3</v>
      </c>
      <c r="E59" s="188">
        <v>3</v>
      </c>
    </row>
    <row r="60" spans="1:5" ht="14.25" x14ac:dyDescent="0.2">
      <c r="A60" s="30"/>
      <c r="B60" s="30" t="s">
        <v>174</v>
      </c>
      <c r="C60" s="113">
        <v>0.2</v>
      </c>
      <c r="D60" s="197">
        <v>0.2</v>
      </c>
      <c r="E60" s="197">
        <v>0.2</v>
      </c>
    </row>
    <row r="61" spans="1:5" ht="14.25" x14ac:dyDescent="0.2">
      <c r="A61" s="30"/>
      <c r="B61" s="30" t="s">
        <v>173</v>
      </c>
      <c r="C61" s="113">
        <v>0.1</v>
      </c>
      <c r="D61" s="197">
        <v>0.1</v>
      </c>
      <c r="E61" s="197">
        <v>0.1</v>
      </c>
    </row>
    <row r="62" spans="1:5" ht="14.25" x14ac:dyDescent="0.2">
      <c r="A62" s="30"/>
      <c r="B62" s="30" t="s">
        <v>175</v>
      </c>
      <c r="C62" s="113">
        <v>0.85</v>
      </c>
      <c r="D62" s="197">
        <v>0.85</v>
      </c>
      <c r="E62" s="197">
        <v>0.85</v>
      </c>
    </row>
    <row r="63" spans="1:5" ht="14.25" x14ac:dyDescent="0.2">
      <c r="A63" s="30"/>
      <c r="B63" s="160" t="s">
        <v>176</v>
      </c>
      <c r="C63" s="346">
        <v>80000</v>
      </c>
      <c r="D63" s="347">
        <v>80000</v>
      </c>
      <c r="E63" s="347">
        <v>80000</v>
      </c>
    </row>
    <row r="64" spans="1:5" ht="14.25" x14ac:dyDescent="0.2">
      <c r="A64" s="30"/>
      <c r="B64" s="40" t="s">
        <v>178</v>
      </c>
      <c r="C64" s="368">
        <f>C61*C63</f>
        <v>8000</v>
      </c>
      <c r="D64" s="354">
        <f t="shared" ref="D64:E64" si="33">D61*D63</f>
        <v>8000</v>
      </c>
      <c r="E64" s="354">
        <f t="shared" si="33"/>
        <v>8000</v>
      </c>
    </row>
    <row r="65" spans="1:5" ht="14.25" x14ac:dyDescent="0.2">
      <c r="A65" s="30"/>
      <c r="B65" s="44" t="s">
        <v>177</v>
      </c>
      <c r="C65" s="348">
        <f>C60*C63</f>
        <v>16000</v>
      </c>
      <c r="D65" s="349">
        <f t="shared" ref="D65:E65" si="34">D60*D63</f>
        <v>16000</v>
      </c>
      <c r="E65" s="349">
        <f t="shared" si="34"/>
        <v>16000</v>
      </c>
    </row>
    <row r="66" spans="1:5" ht="14.25" x14ac:dyDescent="0.2">
      <c r="A66" s="30"/>
      <c r="B66" s="31" t="s">
        <v>493</v>
      </c>
      <c r="C66" s="30"/>
      <c r="D66" s="30"/>
      <c r="E66" s="30"/>
    </row>
    <row r="67" spans="1:5" ht="14.25" x14ac:dyDescent="0.2">
      <c r="A67" s="30"/>
      <c r="B67" s="37" t="s">
        <v>181</v>
      </c>
      <c r="C67" s="194">
        <v>0.4</v>
      </c>
      <c r="D67" s="199">
        <v>0.4</v>
      </c>
      <c r="E67" s="199">
        <v>0.4</v>
      </c>
    </row>
    <row r="68" spans="1:5" ht="14.25" x14ac:dyDescent="0.2">
      <c r="A68" s="30"/>
      <c r="B68" s="40" t="s">
        <v>180</v>
      </c>
      <c r="C68" s="195">
        <v>0.1</v>
      </c>
      <c r="D68" s="200">
        <v>0.1</v>
      </c>
      <c r="E68" s="200">
        <v>0.1</v>
      </c>
    </row>
    <row r="69" spans="1:5" ht="14.25" x14ac:dyDescent="0.2">
      <c r="A69" s="30"/>
      <c r="B69" s="40" t="s">
        <v>505</v>
      </c>
      <c r="C69" s="164">
        <v>10</v>
      </c>
      <c r="D69" s="173">
        <v>10</v>
      </c>
      <c r="E69" s="173">
        <v>10</v>
      </c>
    </row>
    <row r="70" spans="1:5" ht="14.25" x14ac:dyDescent="0.2">
      <c r="A70" s="30"/>
      <c r="B70" s="40" t="s">
        <v>182</v>
      </c>
      <c r="C70" s="368">
        <v>500000</v>
      </c>
      <c r="D70" s="354">
        <v>500000</v>
      </c>
      <c r="E70" s="354">
        <v>500000</v>
      </c>
    </row>
    <row r="71" spans="1:5" ht="14.25" x14ac:dyDescent="0.2">
      <c r="A71" s="30"/>
      <c r="B71" s="163" t="s">
        <v>183</v>
      </c>
      <c r="C71" s="196">
        <v>0.01</v>
      </c>
      <c r="D71" s="201">
        <v>0.01</v>
      </c>
      <c r="E71" s="201">
        <v>0.01</v>
      </c>
    </row>
    <row r="72" spans="1:5" ht="14.25" x14ac:dyDescent="0.2">
      <c r="B72" s="160" t="s">
        <v>579</v>
      </c>
      <c r="C72" s="185">
        <f>C85*C67</f>
        <v>11540.131385272693</v>
      </c>
      <c r="D72" s="185">
        <f t="shared" ref="D72:E72" si="35">D85*D67</f>
        <v>11540.131385272693</v>
      </c>
      <c r="E72" s="185">
        <f t="shared" si="35"/>
        <v>11540.131385272693</v>
      </c>
    </row>
    <row r="73" spans="1:5" ht="14.25" x14ac:dyDescent="0.2">
      <c r="B73" s="44" t="s">
        <v>580</v>
      </c>
      <c r="C73" s="147">
        <f>C68*C72</f>
        <v>1154.0131385272693</v>
      </c>
      <c r="D73" s="147">
        <f t="shared" ref="D73:E73" si="36">D68*D72</f>
        <v>1154.0131385272693</v>
      </c>
      <c r="E73" s="147">
        <f t="shared" si="36"/>
        <v>1154.0131385272693</v>
      </c>
    </row>
    <row r="79" spans="1:5" hidden="1" x14ac:dyDescent="0.25">
      <c r="A79" s="2" t="s">
        <v>494</v>
      </c>
    </row>
    <row r="80" spans="1:5" ht="14.25" hidden="1" x14ac:dyDescent="0.2">
      <c r="B80" s="3" t="s">
        <v>495</v>
      </c>
      <c r="C80" s="83">
        <f>Population!$C$31</f>
        <v>1018246.8869358257</v>
      </c>
      <c r="D80" s="83">
        <f>Population!$C$31</f>
        <v>1018246.8869358257</v>
      </c>
      <c r="E80" s="83">
        <f>Population!$C$31</f>
        <v>1018246.8869358257</v>
      </c>
    </row>
    <row r="81" spans="2:5" ht="14.25" hidden="1" x14ac:dyDescent="0.2">
      <c r="B81" s="3" t="s">
        <v>496</v>
      </c>
      <c r="C81" s="118">
        <f>C80*C45</f>
        <v>661860.47650828667</v>
      </c>
      <c r="D81" s="118">
        <f t="shared" ref="D81:E81" si="37">D80*D45</f>
        <v>661860.47650828667</v>
      </c>
      <c r="E81" s="118">
        <f t="shared" si="37"/>
        <v>661860.47650828667</v>
      </c>
    </row>
    <row r="82" spans="2:5" hidden="1" x14ac:dyDescent="0.25"/>
    <row r="83" spans="2:5" ht="14.25" hidden="1" x14ac:dyDescent="0.2">
      <c r="B83" s="3" t="s">
        <v>577</v>
      </c>
      <c r="C83" s="107">
        <f>C47*C50</f>
        <v>6618604765.0828667</v>
      </c>
      <c r="D83" s="107">
        <f t="shared" ref="D83:E83" si="38">D47*D50</f>
        <v>6618604765.0828667</v>
      </c>
      <c r="E83" s="107">
        <f t="shared" si="38"/>
        <v>6618604765.0828667</v>
      </c>
    </row>
    <row r="84" spans="2:5" ht="14.25" hidden="1" x14ac:dyDescent="0.2">
      <c r="B84" s="3" t="s">
        <v>578</v>
      </c>
      <c r="C84" s="107">
        <f>C47*C49</f>
        <v>1323720953.0165732</v>
      </c>
      <c r="D84" s="107">
        <f t="shared" ref="D84:E84" si="39">D47*D49</f>
        <v>1323720953.0165732</v>
      </c>
      <c r="E84" s="107">
        <f t="shared" si="39"/>
        <v>1323720953.0165732</v>
      </c>
    </row>
    <row r="85" spans="2:5" ht="14.25" hidden="1" x14ac:dyDescent="0.2">
      <c r="B85" s="3" t="s">
        <v>499</v>
      </c>
      <c r="C85" s="118">
        <f>(1-C43)*C80/C46</f>
        <v>28850.32846318173</v>
      </c>
      <c r="D85" s="118">
        <f>(1-D43)*D80/D46</f>
        <v>28850.32846318173</v>
      </c>
      <c r="E85" s="118">
        <f t="shared" ref="E85" si="40">(1-E43)*E80/E46</f>
        <v>28850.32846318173</v>
      </c>
    </row>
    <row r="86" spans="2:5" hidden="1" x14ac:dyDescent="0.25"/>
    <row r="87" spans="2:5" hidden="1" x14ac:dyDescent="0.25"/>
    <row r="88" spans="2:5" ht="14.25" hidden="1" x14ac:dyDescent="0.2">
      <c r="B88" s="3" t="s">
        <v>501</v>
      </c>
      <c r="C88" s="78">
        <f>C58*C63</f>
        <v>1961822335.4963577</v>
      </c>
      <c r="D88" s="78">
        <f t="shared" ref="D88:E88" si="41">D58*D63</f>
        <v>1961822335.4963577</v>
      </c>
      <c r="E88" s="78">
        <f t="shared" si="41"/>
        <v>1961822335.4963577</v>
      </c>
    </row>
    <row r="89" spans="2:5" hidden="1" x14ac:dyDescent="0.25"/>
    <row r="90" spans="2:5" ht="14.25" hidden="1" x14ac:dyDescent="0.2">
      <c r="B90" s="3" t="s">
        <v>502</v>
      </c>
      <c r="C90" s="78">
        <f>C64*C85*C62</f>
        <v>196182233.54963577</v>
      </c>
      <c r="D90" s="78">
        <f t="shared" ref="D90:E90" si="42">D64*D85*D62</f>
        <v>196182233.54963577</v>
      </c>
      <c r="E90" s="78">
        <f t="shared" si="42"/>
        <v>196182233.54963577</v>
      </c>
    </row>
    <row r="91" spans="2:5" ht="14.25" hidden="1" x14ac:dyDescent="0.2">
      <c r="B91" s="3" t="s">
        <v>503</v>
      </c>
      <c r="C91" s="78">
        <f>C65*C62*C85</f>
        <v>392364467.09927154</v>
      </c>
      <c r="D91" s="78">
        <f t="shared" ref="D91:E91" si="43">D65*D62*D85</f>
        <v>392364467.09927154</v>
      </c>
      <c r="E91" s="78">
        <f t="shared" si="43"/>
        <v>392364467.09927154</v>
      </c>
    </row>
    <row r="92" spans="2:5" hidden="1" x14ac:dyDescent="0.25"/>
    <row r="93" spans="2:5" hidden="1" x14ac:dyDescent="0.25"/>
    <row r="94" spans="2:5" hidden="1" x14ac:dyDescent="0.25"/>
    <row r="95" spans="2:5" ht="14.25" hidden="1" x14ac:dyDescent="0.2">
      <c r="B95" s="3" t="s">
        <v>583</v>
      </c>
      <c r="C95" s="90">
        <f>SUM(C72:C73)</f>
        <v>12694.144523799961</v>
      </c>
      <c r="D95" s="90">
        <f t="shared" ref="D95:E95" si="44">SUM(D72:D73)</f>
        <v>12694.144523799961</v>
      </c>
      <c r="E95" s="90">
        <f t="shared" si="44"/>
        <v>12694.144523799961</v>
      </c>
    </row>
    <row r="96" spans="2:5" ht="14.25" hidden="1" x14ac:dyDescent="0.2">
      <c r="B96" s="3" t="s">
        <v>506</v>
      </c>
      <c r="C96" s="107">
        <f>C95*C70</f>
        <v>6347072261.8999805</v>
      </c>
      <c r="D96" s="107">
        <f t="shared" ref="D96:E96" si="45">D95*D70</f>
        <v>6347072261.8999805</v>
      </c>
      <c r="E96" s="107">
        <f t="shared" si="45"/>
        <v>6347072261.8999805</v>
      </c>
    </row>
    <row r="97" hidden="1" x14ac:dyDescent="0.25"/>
  </sheetData>
  <sheetProtection sheet="1" objects="1" scenarios="1"/>
  <pageMargins left="0.7" right="0.7" top="0.75" bottom="0.75" header="0.3" footer="0.3"/>
  <ignoredErrors>
    <ignoredError sqref="D64:E65" unlockedFormula="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33"/>
  </sheetPr>
  <dimension ref="A1:E104"/>
  <sheetViews>
    <sheetView showGridLines="0" zoomScaleNormal="100" workbookViewId="0">
      <pane ySplit="1" topLeftCell="A2" activePane="bottomLeft" state="frozen"/>
      <selection pane="bottomLeft" activeCell="D6" sqref="D6"/>
    </sheetView>
  </sheetViews>
  <sheetFormatPr defaultRowHeight="15" x14ac:dyDescent="0.25"/>
  <cols>
    <col min="1" max="1" width="4.140625" customWidth="1"/>
    <col min="2" max="2" width="68.140625" customWidth="1"/>
    <col min="3" max="5" width="18" customWidth="1"/>
  </cols>
  <sheetData>
    <row r="1" spans="1:5" ht="15.75" x14ac:dyDescent="0.25">
      <c r="A1" s="30"/>
      <c r="B1" s="335" t="str">
        <f>A13</f>
        <v>Access to qualified nurses</v>
      </c>
      <c r="C1" s="336" t="s">
        <v>335</v>
      </c>
      <c r="D1" s="337" t="s">
        <v>336</v>
      </c>
      <c r="E1" s="338" t="s">
        <v>337</v>
      </c>
    </row>
    <row r="2" spans="1:5" x14ac:dyDescent="0.25">
      <c r="A2" s="30"/>
      <c r="B2" s="123" t="s">
        <v>331</v>
      </c>
      <c r="C2" s="404">
        <f>SUM(C3:C4)</f>
        <v>4443739195.1250744</v>
      </c>
      <c r="D2" s="404">
        <f t="shared" ref="D2:E2" si="0">SUM(D3:D4)</f>
        <v>4443739195.1250744</v>
      </c>
      <c r="E2" s="404">
        <f t="shared" si="0"/>
        <v>4443739195.1250744</v>
      </c>
    </row>
    <row r="3" spans="1:5" x14ac:dyDescent="0.25">
      <c r="A3" s="30"/>
      <c r="B3" s="126" t="s">
        <v>329</v>
      </c>
      <c r="C3" s="480">
        <f>SUM(C25:C28)*C29</f>
        <v>4443739195.1250744</v>
      </c>
      <c r="D3" s="480">
        <f t="shared" ref="D3:E3" si="1">SUM(D25:D28)*D29</f>
        <v>4443739195.1250744</v>
      </c>
      <c r="E3" s="480">
        <f t="shared" si="1"/>
        <v>4443739195.1250744</v>
      </c>
    </row>
    <row r="4" spans="1:5" x14ac:dyDescent="0.25">
      <c r="A4" s="30"/>
      <c r="B4" s="128" t="s">
        <v>330</v>
      </c>
      <c r="C4" s="481"/>
      <c r="D4" s="481"/>
      <c r="E4" s="481"/>
    </row>
    <row r="5" spans="1:5" x14ac:dyDescent="0.25">
      <c r="A5" s="30"/>
      <c r="B5" s="130" t="s">
        <v>332</v>
      </c>
      <c r="C5" s="404"/>
      <c r="D5" s="404"/>
      <c r="E5" s="404"/>
    </row>
    <row r="6" spans="1:5" x14ac:dyDescent="0.25">
      <c r="A6" s="30"/>
      <c r="B6" s="123" t="s">
        <v>333</v>
      </c>
      <c r="C6" s="354"/>
      <c r="D6" s="354"/>
      <c r="E6" s="354"/>
    </row>
    <row r="7" spans="1:5" x14ac:dyDescent="0.25">
      <c r="A7" s="30"/>
      <c r="B7" s="134" t="s">
        <v>626</v>
      </c>
      <c r="C7" s="482">
        <f>C3-C6</f>
        <v>4443739195.1250744</v>
      </c>
      <c r="D7" s="482">
        <f t="shared" ref="D7:E7" si="2">D3-D6</f>
        <v>4443739195.1250744</v>
      </c>
      <c r="E7" s="482">
        <f t="shared" si="2"/>
        <v>4443739195.1250744</v>
      </c>
    </row>
    <row r="8" spans="1:5" x14ac:dyDescent="0.25">
      <c r="A8" s="30"/>
      <c r="B8" s="31" t="s">
        <v>562</v>
      </c>
      <c r="C8" s="506"/>
      <c r="D8" s="506"/>
      <c r="E8" s="506"/>
    </row>
    <row r="9" spans="1:5" x14ac:dyDescent="0.25">
      <c r="A9" s="30"/>
      <c r="B9" s="130" t="s">
        <v>744</v>
      </c>
      <c r="C9" s="507">
        <f>C25</f>
        <v>5826.2590909090914</v>
      </c>
      <c r="D9" s="507">
        <f t="shared" ref="D9:E9" si="3">D25</f>
        <v>5826.2590909090914</v>
      </c>
      <c r="E9" s="507">
        <f t="shared" si="3"/>
        <v>5826.2590909090914</v>
      </c>
    </row>
    <row r="10" spans="1:5" x14ac:dyDescent="0.25">
      <c r="A10" s="30"/>
      <c r="B10" s="130" t="s">
        <v>631</v>
      </c>
      <c r="C10" s="507">
        <f>C26+C27+C28</f>
        <v>15334.403743019833</v>
      </c>
      <c r="D10" s="507">
        <f t="shared" ref="D10:E10" si="4">D26+D27+D28</f>
        <v>15334.403743019833</v>
      </c>
      <c r="E10" s="507">
        <f t="shared" si="4"/>
        <v>15334.403743019833</v>
      </c>
    </row>
    <row r="11" spans="1:5" x14ac:dyDescent="0.25">
      <c r="A11" s="30"/>
      <c r="B11" s="154" t="s">
        <v>625</v>
      </c>
      <c r="C11" s="508">
        <f>SUM(C26:C28)/('4.3.2'!C99+'4.3.2'!C130+'4.3.2'!C136)*1000</f>
        <v>3.4917820569495546</v>
      </c>
      <c r="D11" s="508">
        <f>SUM(D26:D28)/('4.3.2'!D99+'4.3.2'!D130+'4.3.2'!D136)*1000</f>
        <v>3.4917820569495546</v>
      </c>
      <c r="E11" s="508">
        <f>SUM(E26:E28)/('4.3.2'!E99+'4.3.2'!E130+'4.3.2'!E136)*1000</f>
        <v>3.4917820569495546</v>
      </c>
    </row>
    <row r="12" spans="1:5" x14ac:dyDescent="0.25">
      <c r="A12" s="30"/>
      <c r="B12" s="30"/>
      <c r="C12" s="506"/>
      <c r="D12" s="506"/>
      <c r="E12" s="506"/>
    </row>
    <row r="13" spans="1:5" x14ac:dyDescent="0.25">
      <c r="A13" s="382" t="s">
        <v>184</v>
      </c>
      <c r="B13" s="384"/>
      <c r="C13" s="509"/>
      <c r="D13" s="509"/>
      <c r="E13" s="509"/>
    </row>
    <row r="14" spans="1:5" x14ac:dyDescent="0.25">
      <c r="A14" s="30"/>
      <c r="B14" s="122" t="s">
        <v>498</v>
      </c>
      <c r="C14" s="488"/>
      <c r="D14" s="488"/>
      <c r="E14" s="488"/>
    </row>
    <row r="15" spans="1:5" x14ac:dyDescent="0.25">
      <c r="A15" s="30"/>
      <c r="B15" s="37" t="s">
        <v>741</v>
      </c>
      <c r="C15" s="411">
        <v>10</v>
      </c>
      <c r="D15" s="173">
        <v>10</v>
      </c>
      <c r="E15" s="173">
        <v>10</v>
      </c>
    </row>
    <row r="16" spans="1:5" x14ac:dyDescent="0.25">
      <c r="A16" s="30"/>
      <c r="B16" s="40" t="s">
        <v>740</v>
      </c>
      <c r="C16" s="411">
        <v>10</v>
      </c>
      <c r="D16" s="173">
        <v>10</v>
      </c>
      <c r="E16" s="173">
        <v>10</v>
      </c>
    </row>
    <row r="17" spans="1:5" x14ac:dyDescent="0.25">
      <c r="A17" s="30"/>
      <c r="B17" s="40" t="s">
        <v>316</v>
      </c>
      <c r="C17" s="411">
        <v>6</v>
      </c>
      <c r="D17" s="173">
        <v>6</v>
      </c>
      <c r="E17" s="173">
        <v>6</v>
      </c>
    </row>
    <row r="18" spans="1:5" x14ac:dyDescent="0.25">
      <c r="A18" s="30"/>
      <c r="B18" s="163" t="s">
        <v>317</v>
      </c>
      <c r="C18" s="492">
        <v>22</v>
      </c>
      <c r="D18" s="174">
        <v>22</v>
      </c>
      <c r="E18" s="174">
        <v>22</v>
      </c>
    </row>
    <row r="19" spans="1:5" x14ac:dyDescent="0.25">
      <c r="A19" s="30"/>
      <c r="B19" s="160" t="s">
        <v>742</v>
      </c>
      <c r="C19" s="503"/>
      <c r="D19" s="503"/>
      <c r="E19" s="503"/>
    </row>
    <row r="20" spans="1:5" x14ac:dyDescent="0.25">
      <c r="A20" s="30"/>
      <c r="B20" s="168" t="s">
        <v>743</v>
      </c>
      <c r="C20" s="510">
        <f>'4.3.2'!C118</f>
        <v>4614397.2</v>
      </c>
      <c r="D20" s="510">
        <f>'4.3.2'!D118</f>
        <v>4614397.2</v>
      </c>
      <c r="E20" s="510">
        <f>'4.3.2'!E118</f>
        <v>4614397.2</v>
      </c>
    </row>
    <row r="21" spans="1:5" x14ac:dyDescent="0.25">
      <c r="A21" s="30"/>
      <c r="B21" s="168" t="s">
        <v>321</v>
      </c>
      <c r="C21" s="510">
        <f>'4.3.2'!C126</f>
        <v>3076264.8</v>
      </c>
      <c r="D21" s="510">
        <f>'4.3.2'!D126</f>
        <v>3076264.8</v>
      </c>
      <c r="E21" s="510">
        <f>'4.3.2'!E126</f>
        <v>3076264.8</v>
      </c>
    </row>
    <row r="22" spans="1:5" x14ac:dyDescent="0.25">
      <c r="A22" s="30"/>
      <c r="B22" s="168" t="s">
        <v>322</v>
      </c>
      <c r="C22" s="510">
        <f>'4.3.2'!C131</f>
        <v>2621730.9444268532</v>
      </c>
      <c r="D22" s="510">
        <f>'4.3.2'!D131</f>
        <v>2621730.9444268532</v>
      </c>
      <c r="E22" s="510">
        <f>'4.3.2'!E131</f>
        <v>2621730.9444268532</v>
      </c>
    </row>
    <row r="23" spans="1:5" x14ac:dyDescent="0.25">
      <c r="A23" s="30"/>
      <c r="B23" s="169" t="s">
        <v>323</v>
      </c>
      <c r="C23" s="511">
        <f>'4.3.2'!C137</f>
        <v>6446852.0200448558</v>
      </c>
      <c r="D23" s="511">
        <f>'4.3.2'!D137</f>
        <v>6446852.0200448558</v>
      </c>
      <c r="E23" s="511">
        <f>'4.3.2'!E137</f>
        <v>6446852.0200448558</v>
      </c>
    </row>
    <row r="24" spans="1:5" x14ac:dyDescent="0.25">
      <c r="A24" s="30"/>
      <c r="B24" s="82" t="s">
        <v>745</v>
      </c>
      <c r="C24" s="506"/>
      <c r="D24" s="506"/>
      <c r="E24" s="506"/>
    </row>
    <row r="25" spans="1:5" x14ac:dyDescent="0.25">
      <c r="A25" s="30"/>
      <c r="B25" s="168" t="s">
        <v>743</v>
      </c>
      <c r="C25" s="507">
        <f>C20/(C17*(60/C15)*C18)</f>
        <v>5826.2590909090914</v>
      </c>
      <c r="D25" s="507">
        <f t="shared" ref="D25:E25" si="5">D20/(D17*(60/D15)*D18)</f>
        <v>5826.2590909090914</v>
      </c>
      <c r="E25" s="507">
        <f t="shared" si="5"/>
        <v>5826.2590909090914</v>
      </c>
    </row>
    <row r="26" spans="1:5" x14ac:dyDescent="0.25">
      <c r="A26" s="30"/>
      <c r="B26" s="170" t="s">
        <v>321</v>
      </c>
      <c r="C26" s="507">
        <f>C21/(C17*(60/C16)*C18)</f>
        <v>3884.1727272727271</v>
      </c>
      <c r="D26" s="507">
        <f t="shared" ref="D26:E26" si="6">D21/(D17*(60/D16)*D18)</f>
        <v>3884.1727272727271</v>
      </c>
      <c r="E26" s="507">
        <f t="shared" si="6"/>
        <v>3884.1727272727271</v>
      </c>
    </row>
    <row r="27" spans="1:5" x14ac:dyDescent="0.25">
      <c r="A27" s="30"/>
      <c r="B27" s="170" t="s">
        <v>322</v>
      </c>
      <c r="C27" s="507">
        <f>C22/(C17*(60/C16)*C18)</f>
        <v>3310.2663439732996</v>
      </c>
      <c r="D27" s="507">
        <f t="shared" ref="D27:E27" si="7">D22/(D17*(60/D16)*D18)</f>
        <v>3310.2663439732996</v>
      </c>
      <c r="E27" s="507">
        <f t="shared" si="7"/>
        <v>3310.2663439732996</v>
      </c>
    </row>
    <row r="28" spans="1:5" x14ac:dyDescent="0.25">
      <c r="A28" s="30"/>
      <c r="B28" s="170" t="s">
        <v>323</v>
      </c>
      <c r="C28" s="507">
        <f>C23/(C17*(60/C16)*C18)</f>
        <v>8139.9646717738078</v>
      </c>
      <c r="D28" s="507">
        <f t="shared" ref="D28:E28" si="8">D23/(D17*(60/D16)*D18)</f>
        <v>8139.9646717738078</v>
      </c>
      <c r="E28" s="507">
        <f t="shared" si="8"/>
        <v>8139.9646717738078</v>
      </c>
    </row>
    <row r="29" spans="1:5" x14ac:dyDescent="0.25">
      <c r="A29" s="30"/>
      <c r="B29" s="167" t="s">
        <v>185</v>
      </c>
      <c r="C29" s="512">
        <v>210000</v>
      </c>
      <c r="D29" s="369">
        <v>210000</v>
      </c>
      <c r="E29" s="369">
        <v>210000</v>
      </c>
    </row>
    <row r="34" spans="2:3" x14ac:dyDescent="0.25">
      <c r="C34" s="11"/>
    </row>
    <row r="37" spans="2:3" x14ac:dyDescent="0.25">
      <c r="C37" s="11"/>
    </row>
    <row r="39" spans="2:3" x14ac:dyDescent="0.25">
      <c r="C39" s="14"/>
    </row>
    <row r="41" spans="2:3" x14ac:dyDescent="0.25">
      <c r="C41" s="11"/>
    </row>
    <row r="44" spans="2:3" x14ac:dyDescent="0.25">
      <c r="B44" s="2"/>
    </row>
    <row r="47" spans="2:3" x14ac:dyDescent="0.25">
      <c r="B47" s="13"/>
    </row>
    <row r="48" spans="2:3" x14ac:dyDescent="0.25">
      <c r="B48" s="13"/>
    </row>
    <row r="49" spans="2:3" x14ac:dyDescent="0.25">
      <c r="B49" s="13"/>
    </row>
    <row r="51" spans="2:3" x14ac:dyDescent="0.25">
      <c r="B51" s="15"/>
      <c r="C51" s="14"/>
    </row>
    <row r="52" spans="2:3" x14ac:dyDescent="0.25">
      <c r="B52" s="15"/>
      <c r="C52" s="14"/>
    </row>
    <row r="54" spans="2:3" x14ac:dyDescent="0.25">
      <c r="C54" s="11"/>
    </row>
    <row r="56" spans="2:3" x14ac:dyDescent="0.25">
      <c r="B56" s="4"/>
    </row>
    <row r="61" spans="2:3" x14ac:dyDescent="0.25">
      <c r="B61" s="15"/>
      <c r="C61" s="14"/>
    </row>
    <row r="62" spans="2:3" x14ac:dyDescent="0.25">
      <c r="B62" s="15"/>
      <c r="C62" s="14"/>
    </row>
    <row r="64" spans="2:3" x14ac:dyDescent="0.25">
      <c r="C64" s="11"/>
    </row>
    <row r="66" spans="1:3" x14ac:dyDescent="0.25">
      <c r="B66" s="2"/>
    </row>
    <row r="70" spans="1:3" x14ac:dyDescent="0.25">
      <c r="C70" s="14"/>
    </row>
    <row r="72" spans="1:3" x14ac:dyDescent="0.25">
      <c r="C72" s="14"/>
    </row>
    <row r="74" spans="1:3" ht="15.75" x14ac:dyDescent="0.3">
      <c r="A74" s="12"/>
    </row>
    <row r="76" spans="1:3" x14ac:dyDescent="0.25">
      <c r="C76" s="27"/>
    </row>
    <row r="83" spans="1:3" x14ac:dyDescent="0.25">
      <c r="B83" s="28"/>
      <c r="C83" s="22"/>
    </row>
    <row r="84" spans="1:3" x14ac:dyDescent="0.25">
      <c r="B84" s="28"/>
      <c r="C84" s="22"/>
    </row>
    <row r="85" spans="1:3" x14ac:dyDescent="0.25">
      <c r="B85" s="28"/>
      <c r="C85" s="22"/>
    </row>
    <row r="88" spans="1:3" ht="15.75" x14ac:dyDescent="0.3">
      <c r="A88" s="12"/>
    </row>
    <row r="89" spans="1:3" ht="15.75" x14ac:dyDescent="0.3">
      <c r="A89" s="12"/>
    </row>
    <row r="90" spans="1:3" x14ac:dyDescent="0.25">
      <c r="B90" s="2"/>
    </row>
    <row r="91" spans="1:3" x14ac:dyDescent="0.25">
      <c r="C91" s="27"/>
    </row>
    <row r="96" spans="1:3" x14ac:dyDescent="0.25">
      <c r="B96" s="13"/>
      <c r="C96" s="29"/>
    </row>
    <row r="97" spans="2:3" x14ac:dyDescent="0.25">
      <c r="B97" s="13"/>
      <c r="C97" s="29"/>
    </row>
    <row r="98" spans="2:3" x14ac:dyDescent="0.25">
      <c r="B98" s="13"/>
      <c r="C98" s="29"/>
    </row>
    <row r="99" spans="2:3" x14ac:dyDescent="0.25">
      <c r="B99" s="13"/>
      <c r="C99" s="29"/>
    </row>
    <row r="100" spans="2:3" x14ac:dyDescent="0.25">
      <c r="B100" s="13"/>
      <c r="C100" s="29"/>
    </row>
    <row r="101" spans="2:3" x14ac:dyDescent="0.25">
      <c r="B101" s="13"/>
      <c r="C101" s="11"/>
    </row>
    <row r="102" spans="2:3" x14ac:dyDescent="0.25">
      <c r="B102" s="13"/>
      <c r="C102" s="11"/>
    </row>
    <row r="104" spans="2:3" x14ac:dyDescent="0.25">
      <c r="B104" s="2"/>
      <c r="C104" s="11"/>
    </row>
  </sheetData>
  <sheetProtection sheet="1" objects="1" scenarios="1"/>
  <pageMargins left="0.7" right="0.7" top="0.75" bottom="0.75" header="0.3" footer="0.3"/>
  <pageSetup paperSize="9" scale="69" orientation="landscape" r:id="rId1"/>
  <rowBreaks count="1" manualBreakCount="1">
    <brk id="30"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33"/>
  </sheetPr>
  <dimension ref="A1:G144"/>
  <sheetViews>
    <sheetView showGridLines="0" zoomScaleNormal="100" zoomScaleSheetLayoutView="100" workbookViewId="0">
      <pane ySplit="1" topLeftCell="A40" activePane="bottomLeft" state="frozen"/>
      <selection pane="bottomLeft" activeCell="B42" sqref="B42:B55"/>
    </sheetView>
  </sheetViews>
  <sheetFormatPr defaultRowHeight="15" x14ac:dyDescent="0.25"/>
  <cols>
    <col min="1" max="1" width="3.28515625" style="3" customWidth="1"/>
    <col min="2" max="2" width="85.5703125" customWidth="1"/>
    <col min="3" max="5" width="18" customWidth="1"/>
    <col min="6" max="16384" width="9.140625" style="3"/>
  </cols>
  <sheetData>
    <row r="1" spans="2:5" ht="15.75" x14ac:dyDescent="0.25">
      <c r="B1" s="335" t="str">
        <f>A40</f>
        <v>Early antenatal care and maternal and child nutrition in the first 1,000 days</v>
      </c>
      <c r="C1" s="336" t="s">
        <v>335</v>
      </c>
      <c r="D1" s="337" t="s">
        <v>336</v>
      </c>
      <c r="E1" s="338" t="s">
        <v>337</v>
      </c>
    </row>
    <row r="2" spans="2:5" ht="14.25" x14ac:dyDescent="0.2">
      <c r="B2" s="123" t="s">
        <v>331</v>
      </c>
      <c r="C2" s="339">
        <f>SUM(C3:C4)</f>
        <v>237161728.44920796</v>
      </c>
      <c r="D2" s="339">
        <f t="shared" ref="D2:E2" si="0">SUM(D3:D4)</f>
        <v>236992533.88520795</v>
      </c>
      <c r="E2" s="339">
        <f t="shared" si="0"/>
        <v>237077131.16720796</v>
      </c>
    </row>
    <row r="3" spans="2:5" ht="14.25" x14ac:dyDescent="0.2">
      <c r="B3" s="126" t="s">
        <v>329</v>
      </c>
      <c r="C3" s="340">
        <f>C10+C17+C24+C31</f>
        <v>237161728.44920796</v>
      </c>
      <c r="D3" s="340">
        <f t="shared" ref="D3:E3" si="1">D10+D17+D24+D31</f>
        <v>236992533.88520795</v>
      </c>
      <c r="E3" s="340">
        <f t="shared" si="1"/>
        <v>237077131.16720796</v>
      </c>
    </row>
    <row r="4" spans="2:5" ht="14.25" x14ac:dyDescent="0.2">
      <c r="B4" s="128" t="s">
        <v>330</v>
      </c>
      <c r="C4" s="341"/>
      <c r="D4" s="341"/>
      <c r="E4" s="341"/>
    </row>
    <row r="5" spans="2:5" ht="14.25" x14ac:dyDescent="0.2">
      <c r="B5" s="130" t="s">
        <v>332</v>
      </c>
      <c r="C5" s="339"/>
      <c r="D5" s="339"/>
      <c r="E5" s="339"/>
    </row>
    <row r="6" spans="2:5" ht="14.25" x14ac:dyDescent="0.2">
      <c r="B6" s="123" t="s">
        <v>333</v>
      </c>
      <c r="C6" s="339">
        <f>C13+C20+C27+C34</f>
        <v>0</v>
      </c>
      <c r="D6" s="339">
        <f t="shared" ref="D6:E6" si="2">D13+D20+D27+D34</f>
        <v>0</v>
      </c>
      <c r="E6" s="339">
        <f t="shared" si="2"/>
        <v>0</v>
      </c>
    </row>
    <row r="7" spans="2:5" ht="14.25" x14ac:dyDescent="0.2">
      <c r="B7" s="123" t="s">
        <v>626</v>
      </c>
      <c r="C7" s="339">
        <f>C3-C6</f>
        <v>237161728.44920796</v>
      </c>
      <c r="D7" s="339">
        <f t="shared" ref="D7:E7" si="3">D3-D6</f>
        <v>236992533.88520795</v>
      </c>
      <c r="E7" s="339">
        <f t="shared" si="3"/>
        <v>237077131.16720796</v>
      </c>
    </row>
    <row r="8" spans="2:5" ht="14.25" x14ac:dyDescent="0.2">
      <c r="B8" s="122" t="s">
        <v>352</v>
      </c>
      <c r="C8" s="361"/>
      <c r="D8" s="361"/>
      <c r="E8" s="361"/>
    </row>
    <row r="9" spans="2:5" ht="14.25" x14ac:dyDescent="0.2">
      <c r="B9" s="123" t="s">
        <v>331</v>
      </c>
      <c r="C9" s="339">
        <f>SUM(C10:C11)</f>
        <v>59103045.09647999</v>
      </c>
      <c r="D9" s="339">
        <f t="shared" ref="D9:E9" si="4">SUM(D10:D11)</f>
        <v>58933850.532479994</v>
      </c>
      <c r="E9" s="339">
        <f t="shared" si="4"/>
        <v>59018447.814479992</v>
      </c>
    </row>
    <row r="10" spans="2:5" ht="14.25" x14ac:dyDescent="0.2">
      <c r="B10" s="126" t="s">
        <v>329</v>
      </c>
      <c r="C10" s="340">
        <f>C103+C107+C111+C113+C114</f>
        <v>59103045.09647999</v>
      </c>
      <c r="D10" s="340">
        <f t="shared" ref="D10:E10" si="5">D103+D107+D111+D113+D114</f>
        <v>58933850.532479994</v>
      </c>
      <c r="E10" s="340">
        <f t="shared" si="5"/>
        <v>59018447.814479992</v>
      </c>
    </row>
    <row r="11" spans="2:5" ht="14.25" x14ac:dyDescent="0.2">
      <c r="B11" s="128" t="s">
        <v>330</v>
      </c>
      <c r="C11" s="341"/>
      <c r="D11" s="341"/>
      <c r="E11" s="341"/>
    </row>
    <row r="12" spans="2:5" ht="14.25" x14ac:dyDescent="0.2">
      <c r="B12" s="130" t="s">
        <v>332</v>
      </c>
      <c r="C12" s="339"/>
      <c r="D12" s="339"/>
      <c r="E12" s="339"/>
    </row>
    <row r="13" spans="2:5" ht="14.25" x14ac:dyDescent="0.2">
      <c r="B13" s="123" t="s">
        <v>333</v>
      </c>
      <c r="C13" s="354"/>
      <c r="D13" s="354"/>
      <c r="E13" s="354"/>
    </row>
    <row r="14" spans="2:5" ht="14.25" x14ac:dyDescent="0.2">
      <c r="B14" s="123" t="s">
        <v>626</v>
      </c>
      <c r="C14" s="339">
        <f>C10-C13</f>
        <v>59103045.09647999</v>
      </c>
      <c r="D14" s="339">
        <f t="shared" ref="D14:E14" si="6">D10-D13</f>
        <v>58933850.532479994</v>
      </c>
      <c r="E14" s="339">
        <f t="shared" si="6"/>
        <v>59018447.814479992</v>
      </c>
    </row>
    <row r="15" spans="2:5" ht="14.25" x14ac:dyDescent="0.2">
      <c r="B15" s="122" t="s">
        <v>353</v>
      </c>
      <c r="C15" s="361"/>
      <c r="D15" s="361"/>
      <c r="E15" s="361"/>
    </row>
    <row r="16" spans="2:5" ht="14.25" x14ac:dyDescent="0.2">
      <c r="B16" s="123" t="s">
        <v>331</v>
      </c>
      <c r="C16" s="339">
        <f>SUM(C17:C18)</f>
        <v>27224943.480000004</v>
      </c>
      <c r="D16" s="339">
        <f t="shared" ref="D16:E16" si="7">SUM(D17:D18)</f>
        <v>27224943.480000004</v>
      </c>
      <c r="E16" s="339">
        <f t="shared" si="7"/>
        <v>27224943.480000004</v>
      </c>
    </row>
    <row r="17" spans="2:5" ht="14.25" x14ac:dyDescent="0.2">
      <c r="B17" s="126" t="s">
        <v>329</v>
      </c>
      <c r="C17" s="340">
        <f>C121+C122</f>
        <v>27224943.480000004</v>
      </c>
      <c r="D17" s="340">
        <f t="shared" ref="D17:E17" si="8">D121+D122</f>
        <v>27224943.480000004</v>
      </c>
      <c r="E17" s="340">
        <f t="shared" si="8"/>
        <v>27224943.480000004</v>
      </c>
    </row>
    <row r="18" spans="2:5" ht="14.25" x14ac:dyDescent="0.2">
      <c r="B18" s="128" t="s">
        <v>330</v>
      </c>
      <c r="C18" s="341"/>
      <c r="D18" s="341"/>
      <c r="E18" s="341"/>
    </row>
    <row r="19" spans="2:5" ht="14.25" x14ac:dyDescent="0.2">
      <c r="B19" s="130" t="s">
        <v>332</v>
      </c>
      <c r="C19" s="339"/>
      <c r="D19" s="339"/>
      <c r="E19" s="339"/>
    </row>
    <row r="20" spans="2:5" ht="14.25" x14ac:dyDescent="0.2">
      <c r="B20" s="123" t="s">
        <v>333</v>
      </c>
      <c r="C20" s="354"/>
      <c r="D20" s="354"/>
      <c r="E20" s="354"/>
    </row>
    <row r="21" spans="2:5" ht="14.25" x14ac:dyDescent="0.2">
      <c r="B21" s="123" t="s">
        <v>626</v>
      </c>
      <c r="C21" s="339">
        <f>C17-C20</f>
        <v>27224943.480000004</v>
      </c>
      <c r="D21" s="339">
        <f t="shared" ref="D21:E21" si="9">D17-D20</f>
        <v>27224943.480000004</v>
      </c>
      <c r="E21" s="339">
        <f t="shared" si="9"/>
        <v>27224943.480000004</v>
      </c>
    </row>
    <row r="22" spans="2:5" ht="15" customHeight="1" x14ac:dyDescent="0.2">
      <c r="B22" s="231" t="s">
        <v>373</v>
      </c>
      <c r="C22" s="361"/>
      <c r="D22" s="361"/>
      <c r="E22" s="361"/>
    </row>
    <row r="23" spans="2:5" ht="14.25" x14ac:dyDescent="0.2">
      <c r="B23" s="123" t="s">
        <v>331</v>
      </c>
      <c r="C23" s="339">
        <f>SUM(C24:C25)</f>
        <v>54130959.572055101</v>
      </c>
      <c r="D23" s="339">
        <f t="shared" ref="D23:E23" si="10">SUM(D24:D25)</f>
        <v>54130959.572055101</v>
      </c>
      <c r="E23" s="339">
        <f t="shared" si="10"/>
        <v>54130959.572055101</v>
      </c>
    </row>
    <row r="24" spans="2:5" ht="14.25" x14ac:dyDescent="0.2">
      <c r="B24" s="126" t="s">
        <v>329</v>
      </c>
      <c r="C24" s="340">
        <f>C128+C132+C133</f>
        <v>54130959.572055101</v>
      </c>
      <c r="D24" s="340">
        <f t="shared" ref="D24:E24" si="11">D128+D132+D133</f>
        <v>54130959.572055101</v>
      </c>
      <c r="E24" s="340">
        <f t="shared" si="11"/>
        <v>54130959.572055101</v>
      </c>
    </row>
    <row r="25" spans="2:5" ht="14.25" x14ac:dyDescent="0.2">
      <c r="B25" s="128" t="s">
        <v>330</v>
      </c>
      <c r="C25" s="341"/>
      <c r="D25" s="341"/>
      <c r="E25" s="341"/>
    </row>
    <row r="26" spans="2:5" ht="14.25" x14ac:dyDescent="0.2">
      <c r="B26" s="130" t="s">
        <v>332</v>
      </c>
      <c r="C26" s="339"/>
      <c r="D26" s="339"/>
      <c r="E26" s="339"/>
    </row>
    <row r="27" spans="2:5" ht="14.25" x14ac:dyDescent="0.2">
      <c r="B27" s="123" t="s">
        <v>333</v>
      </c>
      <c r="C27" s="354"/>
      <c r="D27" s="354"/>
      <c r="E27" s="354"/>
    </row>
    <row r="28" spans="2:5" ht="14.25" x14ac:dyDescent="0.2">
      <c r="B28" s="123" t="s">
        <v>626</v>
      </c>
      <c r="C28" s="339">
        <f>C24-C27</f>
        <v>54130959.572055101</v>
      </c>
      <c r="D28" s="339">
        <f t="shared" ref="D28:E28" si="12">D24-D27</f>
        <v>54130959.572055101</v>
      </c>
      <c r="E28" s="339">
        <f t="shared" si="12"/>
        <v>54130959.572055101</v>
      </c>
    </row>
    <row r="29" spans="2:5" ht="14.25" x14ac:dyDescent="0.2">
      <c r="B29" s="122" t="s">
        <v>374</v>
      </c>
      <c r="C29" s="361"/>
      <c r="D29" s="361"/>
      <c r="E29" s="361"/>
    </row>
    <row r="30" spans="2:5" ht="14.25" x14ac:dyDescent="0.2">
      <c r="B30" s="123" t="s">
        <v>331</v>
      </c>
      <c r="C30" s="339">
        <f>SUM(C31:C32)</f>
        <v>96702780.300672844</v>
      </c>
      <c r="D30" s="339">
        <f t="shared" ref="D30:E30" si="13">SUM(D31:D32)</f>
        <v>96702780.300672844</v>
      </c>
      <c r="E30" s="339">
        <f t="shared" si="13"/>
        <v>96702780.300672844</v>
      </c>
    </row>
    <row r="31" spans="2:5" ht="14.25" x14ac:dyDescent="0.2">
      <c r="B31" s="126" t="s">
        <v>329</v>
      </c>
      <c r="C31" s="340">
        <f>C141+C143+C144</f>
        <v>96702780.300672844</v>
      </c>
      <c r="D31" s="340">
        <f t="shared" ref="D31:E31" si="14">D141+D143+D144</f>
        <v>96702780.300672844</v>
      </c>
      <c r="E31" s="340">
        <f t="shared" si="14"/>
        <v>96702780.300672844</v>
      </c>
    </row>
    <row r="32" spans="2:5" ht="14.25" x14ac:dyDescent="0.2">
      <c r="B32" s="128" t="s">
        <v>330</v>
      </c>
      <c r="C32" s="341"/>
      <c r="D32" s="341"/>
      <c r="E32" s="341"/>
    </row>
    <row r="33" spans="1:5" ht="14.25" x14ac:dyDescent="0.2">
      <c r="B33" s="130" t="s">
        <v>332</v>
      </c>
      <c r="C33" s="339"/>
      <c r="D33" s="339"/>
      <c r="E33" s="339"/>
    </row>
    <row r="34" spans="1:5" ht="14.25" x14ac:dyDescent="0.2">
      <c r="B34" s="123" t="s">
        <v>333</v>
      </c>
      <c r="C34" s="354"/>
      <c r="D34" s="354"/>
      <c r="E34" s="354"/>
    </row>
    <row r="35" spans="1:5" ht="14.25" x14ac:dyDescent="0.2">
      <c r="B35" s="123" t="s">
        <v>626</v>
      </c>
      <c r="C35" s="343">
        <f>C31-C34</f>
        <v>96702780.300672844</v>
      </c>
      <c r="D35" s="343">
        <f t="shared" ref="D35:E35" si="15">D31-D34</f>
        <v>96702780.300672844</v>
      </c>
      <c r="E35" s="343">
        <f t="shared" si="15"/>
        <v>96702780.300672844</v>
      </c>
    </row>
    <row r="36" spans="1:5" ht="14.25" x14ac:dyDescent="0.2">
      <c r="B36" s="134" t="s">
        <v>562</v>
      </c>
      <c r="C36" s="3"/>
      <c r="D36" s="3"/>
      <c r="E36" s="3"/>
    </row>
    <row r="37" spans="1:5" ht="14.25" x14ac:dyDescent="0.2">
      <c r="B37" s="130" t="s">
        <v>746</v>
      </c>
      <c r="C37" s="153">
        <f>C98</f>
        <v>512710.8</v>
      </c>
      <c r="D37" s="153">
        <f t="shared" ref="D37:E37" si="16">D98</f>
        <v>512710.8</v>
      </c>
      <c r="E37" s="153">
        <f t="shared" si="16"/>
        <v>512710.8</v>
      </c>
    </row>
    <row r="38" spans="1:5" ht="14.25" x14ac:dyDescent="0.2">
      <c r="B38" s="154" t="s">
        <v>591</v>
      </c>
      <c r="C38" s="150">
        <f>C126+C137+C131</f>
        <v>12144847.76447171</v>
      </c>
      <c r="D38" s="150">
        <f t="shared" ref="D38:E38" si="17">D126+D137+D131</f>
        <v>12144847.76447171</v>
      </c>
      <c r="E38" s="150">
        <f t="shared" si="17"/>
        <v>12144847.76447171</v>
      </c>
    </row>
    <row r="39" spans="1:5" ht="14.25" x14ac:dyDescent="0.2">
      <c r="B39" s="123"/>
      <c r="C39" s="30"/>
      <c r="D39" s="30"/>
      <c r="E39" s="30"/>
    </row>
    <row r="40" spans="1:5" x14ac:dyDescent="0.25">
      <c r="A40" s="385" t="s">
        <v>186</v>
      </c>
      <c r="B40" s="384"/>
      <c r="C40" s="384"/>
      <c r="D40" s="384"/>
      <c r="E40" s="384"/>
    </row>
    <row r="41" spans="1:5" x14ac:dyDescent="0.25">
      <c r="A41"/>
      <c r="B41" s="122" t="s">
        <v>22</v>
      </c>
      <c r="C41" s="54"/>
      <c r="D41" s="54"/>
      <c r="E41" s="54"/>
    </row>
    <row r="42" spans="1:5" ht="14.25" x14ac:dyDescent="0.2">
      <c r="B42" s="37" t="s">
        <v>188</v>
      </c>
      <c r="C42" s="516">
        <v>854518</v>
      </c>
      <c r="D42" s="516">
        <v>854518</v>
      </c>
      <c r="E42" s="516">
        <v>854518</v>
      </c>
    </row>
    <row r="43" spans="1:5" ht="14.25" x14ac:dyDescent="0.2">
      <c r="B43" s="40" t="s">
        <v>189</v>
      </c>
      <c r="C43" s="411">
        <v>3</v>
      </c>
      <c r="D43" s="173">
        <v>3</v>
      </c>
      <c r="E43" s="173">
        <v>3</v>
      </c>
    </row>
    <row r="44" spans="1:5" ht="14.25" x14ac:dyDescent="0.2">
      <c r="B44" s="40" t="s">
        <v>190</v>
      </c>
      <c r="C44" s="500">
        <v>1</v>
      </c>
      <c r="D44" s="200">
        <v>1</v>
      </c>
      <c r="E44" s="200">
        <v>1</v>
      </c>
    </row>
    <row r="45" spans="1:5" ht="14.25" x14ac:dyDescent="0.2">
      <c r="B45" s="44" t="s">
        <v>192</v>
      </c>
      <c r="C45" s="517">
        <v>1</v>
      </c>
      <c r="D45" s="362">
        <v>1</v>
      </c>
      <c r="E45" s="362">
        <v>1</v>
      </c>
    </row>
    <row r="46" spans="1:5" ht="14.25" x14ac:dyDescent="0.2">
      <c r="B46" s="386" t="s">
        <v>352</v>
      </c>
      <c r="C46" s="495"/>
      <c r="D46" s="495"/>
      <c r="E46" s="495"/>
    </row>
    <row r="47" spans="1:5" ht="14.25" x14ac:dyDescent="0.2">
      <c r="B47" s="30" t="s">
        <v>747</v>
      </c>
      <c r="C47" s="490">
        <v>9</v>
      </c>
      <c r="D47" s="186">
        <v>9</v>
      </c>
      <c r="E47" s="186">
        <v>9</v>
      </c>
    </row>
    <row r="48" spans="1:5" ht="14.25" x14ac:dyDescent="0.2">
      <c r="B48" s="163" t="s">
        <v>748</v>
      </c>
      <c r="C48" s="518">
        <v>0.04</v>
      </c>
      <c r="D48" s="363">
        <v>0.04</v>
      </c>
      <c r="E48" s="363">
        <v>0.04</v>
      </c>
    </row>
    <row r="49" spans="2:5" ht="14.25" x14ac:dyDescent="0.2">
      <c r="B49" s="30" t="s">
        <v>752</v>
      </c>
      <c r="C49" s="490">
        <v>12</v>
      </c>
      <c r="D49" s="186">
        <v>12</v>
      </c>
      <c r="E49" s="186">
        <v>12</v>
      </c>
    </row>
    <row r="50" spans="2:5" ht="14.25" x14ac:dyDescent="0.2">
      <c r="B50" s="3" t="s">
        <v>753</v>
      </c>
      <c r="C50" s="518">
        <v>0.26</v>
      </c>
      <c r="D50" s="363">
        <v>0.26</v>
      </c>
      <c r="E50" s="363">
        <v>0.26</v>
      </c>
    </row>
    <row r="51" spans="2:5" ht="14.25" x14ac:dyDescent="0.2">
      <c r="B51" s="160" t="s">
        <v>632</v>
      </c>
      <c r="C51" s="493">
        <v>3</v>
      </c>
      <c r="D51" s="172">
        <v>3</v>
      </c>
      <c r="E51" s="172">
        <v>3</v>
      </c>
    </row>
    <row r="52" spans="2:5" ht="14.25" x14ac:dyDescent="0.2">
      <c r="B52" s="40" t="s">
        <v>633</v>
      </c>
      <c r="C52" s="519">
        <v>12</v>
      </c>
      <c r="D52" s="364">
        <v>12</v>
      </c>
      <c r="E52" s="364">
        <v>12</v>
      </c>
    </row>
    <row r="53" spans="2:5" ht="14.25" x14ac:dyDescent="0.2">
      <c r="B53" s="163" t="s">
        <v>634</v>
      </c>
      <c r="C53" s="518">
        <v>4.2999999999999997E-2</v>
      </c>
      <c r="D53" s="363">
        <v>4.2999999999999997E-2</v>
      </c>
      <c r="E53" s="363">
        <v>4.2999999999999997E-2</v>
      </c>
    </row>
    <row r="54" spans="2:5" ht="14.25" x14ac:dyDescent="0.2">
      <c r="B54" s="30" t="s">
        <v>754</v>
      </c>
      <c r="C54" s="491">
        <v>1</v>
      </c>
      <c r="D54" s="197">
        <v>0.5</v>
      </c>
      <c r="E54" s="197">
        <v>0.75</v>
      </c>
    </row>
    <row r="55" spans="2:5" ht="14.25" x14ac:dyDescent="0.2">
      <c r="B55" s="30" t="s">
        <v>755</v>
      </c>
      <c r="C55" s="520">
        <v>0.66</v>
      </c>
      <c r="D55" s="365">
        <v>0.66</v>
      </c>
      <c r="E55" s="365">
        <v>0.66</v>
      </c>
    </row>
    <row r="56" spans="2:5" ht="14.25" x14ac:dyDescent="0.2">
      <c r="B56" s="30" t="s">
        <v>756</v>
      </c>
      <c r="C56" s="491">
        <v>1</v>
      </c>
      <c r="D56" s="197">
        <v>1</v>
      </c>
      <c r="E56" s="197">
        <v>1</v>
      </c>
    </row>
    <row r="57" spans="2:5" ht="14.25" x14ac:dyDescent="0.2">
      <c r="B57" s="30" t="s">
        <v>191</v>
      </c>
      <c r="C57" s="490">
        <v>3</v>
      </c>
      <c r="D57" s="186">
        <v>3</v>
      </c>
      <c r="E57" s="186">
        <v>3</v>
      </c>
    </row>
    <row r="58" spans="2:5" ht="14.25" x14ac:dyDescent="0.2">
      <c r="B58" s="30" t="s">
        <v>757</v>
      </c>
      <c r="C58" s="520">
        <v>0.43</v>
      </c>
      <c r="D58" s="365">
        <v>0.43</v>
      </c>
      <c r="E58" s="365">
        <v>0.43</v>
      </c>
    </row>
    <row r="59" spans="2:5" ht="14.25" x14ac:dyDescent="0.2">
      <c r="B59" s="386" t="s">
        <v>353</v>
      </c>
      <c r="C59" s="495"/>
      <c r="D59" s="495"/>
      <c r="E59" s="495"/>
    </row>
    <row r="60" spans="2:5" ht="14.25" x14ac:dyDescent="0.2">
      <c r="B60" s="40" t="s">
        <v>194</v>
      </c>
      <c r="C60" s="521"/>
      <c r="D60" s="521"/>
      <c r="E60" s="521"/>
    </row>
    <row r="61" spans="2:5" ht="14.25" x14ac:dyDescent="0.2">
      <c r="B61" s="168" t="s">
        <v>195</v>
      </c>
      <c r="C61" s="411">
        <v>4</v>
      </c>
      <c r="D61" s="173">
        <v>4</v>
      </c>
      <c r="E61" s="173">
        <v>4</v>
      </c>
    </row>
    <row r="62" spans="2:5" ht="14.25" x14ac:dyDescent="0.2">
      <c r="B62" s="168" t="s">
        <v>196</v>
      </c>
      <c r="C62" s="411">
        <v>2</v>
      </c>
      <c r="D62" s="173">
        <v>2</v>
      </c>
      <c r="E62" s="173">
        <v>2</v>
      </c>
    </row>
    <row r="63" spans="2:5" ht="14.25" x14ac:dyDescent="0.2">
      <c r="B63" s="169" t="s">
        <v>197</v>
      </c>
      <c r="C63" s="492">
        <v>3</v>
      </c>
      <c r="D63" s="174">
        <v>3</v>
      </c>
      <c r="E63" s="174">
        <v>3</v>
      </c>
    </row>
    <row r="64" spans="2:5" ht="14.25" x14ac:dyDescent="0.2">
      <c r="B64" s="82" t="s">
        <v>198</v>
      </c>
      <c r="C64" s="491">
        <v>0.6</v>
      </c>
      <c r="D64" s="197">
        <v>0.6</v>
      </c>
      <c r="E64" s="197">
        <v>0.6</v>
      </c>
    </row>
    <row r="65" spans="2:5" ht="14.25" x14ac:dyDescent="0.2">
      <c r="B65" s="82" t="s">
        <v>199</v>
      </c>
      <c r="C65" s="491">
        <v>0.4</v>
      </c>
      <c r="D65" s="197">
        <v>0.4</v>
      </c>
      <c r="E65" s="197">
        <v>0.4</v>
      </c>
    </row>
    <row r="66" spans="2:5" ht="14.25" x14ac:dyDescent="0.2">
      <c r="B66" s="160" t="s">
        <v>533</v>
      </c>
      <c r="C66" s="522">
        <v>15</v>
      </c>
      <c r="D66" s="366">
        <v>15</v>
      </c>
      <c r="E66" s="366">
        <v>15</v>
      </c>
    </row>
    <row r="67" spans="2:5" ht="15" customHeight="1" x14ac:dyDescent="0.2">
      <c r="B67" s="44" t="s">
        <v>532</v>
      </c>
      <c r="C67" s="523">
        <v>3.5</v>
      </c>
      <c r="D67" s="367">
        <v>3.5</v>
      </c>
      <c r="E67" s="367">
        <v>3.5</v>
      </c>
    </row>
    <row r="68" spans="2:5" ht="14.25" x14ac:dyDescent="0.2">
      <c r="B68" s="387" t="s">
        <v>373</v>
      </c>
      <c r="C68" s="495"/>
      <c r="D68" s="495"/>
      <c r="E68" s="495"/>
    </row>
    <row r="69" spans="2:5" ht="14.25" x14ac:dyDescent="0.2">
      <c r="B69" s="30" t="s">
        <v>201</v>
      </c>
      <c r="C69" s="490">
        <v>6</v>
      </c>
      <c r="D69" s="186">
        <v>6</v>
      </c>
      <c r="E69" s="186">
        <v>6</v>
      </c>
    </row>
    <row r="70" spans="2:5" ht="14.25" x14ac:dyDescent="0.2">
      <c r="B70" s="30" t="s">
        <v>202</v>
      </c>
      <c r="C70" s="490">
        <v>4</v>
      </c>
      <c r="D70" s="186">
        <v>4</v>
      </c>
      <c r="E70" s="186">
        <v>4</v>
      </c>
    </row>
    <row r="71" spans="2:5" ht="14.25" x14ac:dyDescent="0.2">
      <c r="B71" s="234" t="s">
        <v>198</v>
      </c>
      <c r="C71" s="524">
        <v>0.6</v>
      </c>
      <c r="D71" s="190">
        <v>0.6</v>
      </c>
      <c r="E71" s="190">
        <v>0.6</v>
      </c>
    </row>
    <row r="72" spans="2:5" ht="14.25" x14ac:dyDescent="0.2">
      <c r="B72" s="236" t="s">
        <v>199</v>
      </c>
      <c r="C72" s="501">
        <v>0.4</v>
      </c>
      <c r="D72" s="201">
        <v>0.4</v>
      </c>
      <c r="E72" s="201">
        <v>0.4</v>
      </c>
    </row>
    <row r="73" spans="2:5" ht="14.25" x14ac:dyDescent="0.2">
      <c r="B73" s="30" t="s">
        <v>533</v>
      </c>
      <c r="C73" s="520">
        <v>15</v>
      </c>
      <c r="D73" s="365">
        <v>15</v>
      </c>
      <c r="E73" s="365">
        <v>15</v>
      </c>
    </row>
    <row r="74" spans="2:5" ht="14.25" x14ac:dyDescent="0.2">
      <c r="B74" s="30" t="s">
        <v>532</v>
      </c>
      <c r="C74" s="520">
        <v>3.5</v>
      </c>
      <c r="D74" s="365">
        <v>3.5</v>
      </c>
      <c r="E74" s="365">
        <v>3.5</v>
      </c>
    </row>
    <row r="75" spans="2:5" ht="14.25" x14ac:dyDescent="0.2">
      <c r="B75" s="386" t="s">
        <v>374</v>
      </c>
      <c r="C75" s="495"/>
      <c r="D75" s="495"/>
      <c r="E75" s="495"/>
    </row>
    <row r="76" spans="2:5" ht="14.25" x14ac:dyDescent="0.2">
      <c r="B76" s="30" t="s">
        <v>204</v>
      </c>
      <c r="C76" s="490">
        <v>2</v>
      </c>
      <c r="D76" s="186">
        <v>2</v>
      </c>
      <c r="E76" s="186">
        <v>2</v>
      </c>
    </row>
    <row r="77" spans="2:5" ht="14.25" x14ac:dyDescent="0.2">
      <c r="B77" s="160" t="s">
        <v>205</v>
      </c>
      <c r="C77" s="524">
        <v>0.6</v>
      </c>
      <c r="D77" s="190">
        <v>0.6</v>
      </c>
      <c r="E77" s="190">
        <v>0.6</v>
      </c>
    </row>
    <row r="78" spans="2:5" ht="14.25" x14ac:dyDescent="0.2">
      <c r="B78" s="163" t="s">
        <v>206</v>
      </c>
      <c r="C78" s="492">
        <v>30</v>
      </c>
      <c r="D78" s="174">
        <v>30</v>
      </c>
      <c r="E78" s="174">
        <v>30</v>
      </c>
    </row>
    <row r="79" spans="2:5" ht="14.25" x14ac:dyDescent="0.2">
      <c r="B79" s="30" t="s">
        <v>207</v>
      </c>
      <c r="C79" s="491">
        <v>0.2</v>
      </c>
      <c r="D79" s="197">
        <v>0.2</v>
      </c>
      <c r="E79" s="197">
        <v>0.2</v>
      </c>
    </row>
    <row r="80" spans="2:5" ht="14.25" x14ac:dyDescent="0.2">
      <c r="B80" s="30" t="s">
        <v>368</v>
      </c>
      <c r="C80" s="491">
        <v>0.2</v>
      </c>
      <c r="D80" s="197">
        <v>0.2</v>
      </c>
      <c r="E80" s="197">
        <v>0.2</v>
      </c>
    </row>
    <row r="81" spans="1:5" ht="14.25" x14ac:dyDescent="0.2">
      <c r="A81" s="30"/>
      <c r="B81" s="160" t="s">
        <v>533</v>
      </c>
      <c r="C81" s="522">
        <v>50</v>
      </c>
      <c r="D81" s="366">
        <v>50</v>
      </c>
      <c r="E81" s="366">
        <v>50</v>
      </c>
    </row>
    <row r="82" spans="1:5" ht="14.25" x14ac:dyDescent="0.2">
      <c r="A82" s="30"/>
      <c r="B82" s="44" t="s">
        <v>532</v>
      </c>
      <c r="C82" s="523">
        <v>4</v>
      </c>
      <c r="D82" s="367">
        <v>4</v>
      </c>
      <c r="E82" s="367">
        <v>4</v>
      </c>
    </row>
    <row r="83" spans="1:5" ht="14.25" x14ac:dyDescent="0.2">
      <c r="A83" s="30"/>
      <c r="B83" s="30"/>
      <c r="C83" s="30"/>
      <c r="D83" s="30"/>
      <c r="E83" s="30"/>
    </row>
    <row r="84" spans="1:5" x14ac:dyDescent="0.25">
      <c r="A84" s="30"/>
    </row>
    <row r="85" spans="1:5" x14ac:dyDescent="0.25">
      <c r="A85" s="30"/>
    </row>
    <row r="86" spans="1:5" x14ac:dyDescent="0.25">
      <c r="A86" s="30"/>
    </row>
    <row r="87" spans="1:5" x14ac:dyDescent="0.25">
      <c r="A87" s="30"/>
    </row>
    <row r="88" spans="1:5" x14ac:dyDescent="0.25">
      <c r="A88" s="30"/>
    </row>
    <row r="89" spans="1:5" x14ac:dyDescent="0.25">
      <c r="A89" s="30"/>
    </row>
    <row r="90" spans="1:5" x14ac:dyDescent="0.25">
      <c r="A90" s="30"/>
    </row>
    <row r="91" spans="1:5" x14ac:dyDescent="0.25">
      <c r="A91" s="30"/>
    </row>
    <row r="92" spans="1:5" x14ac:dyDescent="0.25">
      <c r="A92" s="30"/>
    </row>
    <row r="94" spans="1:5" x14ac:dyDescent="0.25">
      <c r="A94" s="30"/>
    </row>
    <row r="95" spans="1:5" x14ac:dyDescent="0.25">
      <c r="A95" s="30"/>
    </row>
    <row r="96" spans="1:5" hidden="1" x14ac:dyDescent="0.25">
      <c r="A96" s="2" t="s">
        <v>338</v>
      </c>
      <c r="B96" s="2"/>
    </row>
    <row r="97" spans="1:7" hidden="1" x14ac:dyDescent="0.25">
      <c r="A97" s="2"/>
      <c r="B97" s="2" t="s">
        <v>354</v>
      </c>
    </row>
    <row r="98" spans="1:7" ht="14.25" hidden="1" x14ac:dyDescent="0.2">
      <c r="B98" s="3" t="s">
        <v>343</v>
      </c>
      <c r="C98" s="3">
        <f>birth_occurences2013*C43/5*C44</f>
        <v>512710.8</v>
      </c>
      <c r="D98" s="3">
        <f>birth_occurences2013*D43/5*D44</f>
        <v>512710.8</v>
      </c>
      <c r="E98" s="3">
        <f>birth_occurences2013*E43/5*E44</f>
        <v>512710.8</v>
      </c>
    </row>
    <row r="99" spans="1:7" ht="14.25" hidden="1" x14ac:dyDescent="0.2">
      <c r="B99" s="3" t="s">
        <v>364</v>
      </c>
      <c r="C99" s="158">
        <f>birth_occurences2013*C43/5*C45</f>
        <v>512710.8</v>
      </c>
      <c r="D99" s="158">
        <f>birth_occurences2013*D43/5*D45</f>
        <v>512710.8</v>
      </c>
      <c r="E99" s="158">
        <f>birth_occurences2013*E43/5*E45</f>
        <v>512710.8</v>
      </c>
    </row>
    <row r="100" spans="1:7" hidden="1" x14ac:dyDescent="0.25"/>
    <row r="101" spans="1:7" ht="14.25" hidden="1" x14ac:dyDescent="0.2">
      <c r="B101" s="3" t="s">
        <v>749</v>
      </c>
      <c r="C101" s="513">
        <f>C47*30.4</f>
        <v>273.59999999999997</v>
      </c>
      <c r="D101" s="513">
        <f t="shared" ref="D101:E101" si="18">D47*30.4</f>
        <v>273.59999999999997</v>
      </c>
      <c r="E101" s="513">
        <f t="shared" si="18"/>
        <v>273.59999999999997</v>
      </c>
    </row>
    <row r="102" spans="1:7" ht="14.25" hidden="1" x14ac:dyDescent="0.2">
      <c r="B102" s="3" t="s">
        <v>751</v>
      </c>
      <c r="C102" s="514">
        <f>C101*C98</f>
        <v>140277674.87999997</v>
      </c>
      <c r="D102" s="514">
        <f t="shared" ref="D102:E102" si="19">D101*D98</f>
        <v>140277674.87999997</v>
      </c>
      <c r="E102" s="514">
        <f t="shared" si="19"/>
        <v>140277674.87999997</v>
      </c>
    </row>
    <row r="103" spans="1:7" ht="14.25" hidden="1" x14ac:dyDescent="0.2">
      <c r="B103" s="3" t="s">
        <v>750</v>
      </c>
      <c r="C103" s="515">
        <f>C102*C48</f>
        <v>5611106.9951999988</v>
      </c>
      <c r="D103" s="515">
        <f t="shared" ref="D103:E103" si="20">D102*D48</f>
        <v>5611106.9951999988</v>
      </c>
      <c r="E103" s="515">
        <f t="shared" si="20"/>
        <v>5611106.9951999988</v>
      </c>
    </row>
    <row r="104" spans="1:7" hidden="1" x14ac:dyDescent="0.25"/>
    <row r="105" spans="1:7" ht="14.25" hidden="1" x14ac:dyDescent="0.2">
      <c r="B105" s="3" t="s">
        <v>344</v>
      </c>
      <c r="C105" s="3">
        <f>+C49*30.4</f>
        <v>364.79999999999995</v>
      </c>
      <c r="D105" s="3">
        <f t="shared" ref="D105:E105" si="21">+D49*30.4</f>
        <v>364.79999999999995</v>
      </c>
      <c r="E105" s="3">
        <f t="shared" si="21"/>
        <v>364.79999999999995</v>
      </c>
    </row>
    <row r="106" spans="1:7" ht="14.25" hidden="1" x14ac:dyDescent="0.2">
      <c r="B106" s="3" t="s">
        <v>346</v>
      </c>
      <c r="C106" s="88">
        <f>C105*C98</f>
        <v>187036899.83999997</v>
      </c>
      <c r="D106" s="88">
        <f t="shared" ref="D106:E106" si="22">D105*D98</f>
        <v>187036899.83999997</v>
      </c>
      <c r="E106" s="88">
        <f t="shared" si="22"/>
        <v>187036899.83999997</v>
      </c>
    </row>
    <row r="107" spans="1:7" ht="14.25" hidden="1" x14ac:dyDescent="0.2">
      <c r="B107" s="3" t="s">
        <v>347</v>
      </c>
      <c r="C107" s="78">
        <f>C106*C50</f>
        <v>48629593.958399996</v>
      </c>
      <c r="D107" s="78">
        <f t="shared" ref="D107:E107" si="23">D106*D50</f>
        <v>48629593.958399996</v>
      </c>
      <c r="E107" s="78">
        <f t="shared" si="23"/>
        <v>48629593.958399996</v>
      </c>
      <c r="G107" s="3">
        <f>261.2/1000</f>
        <v>0.26119999999999999</v>
      </c>
    </row>
    <row r="108" spans="1:7" hidden="1" x14ac:dyDescent="0.25"/>
    <row r="109" spans="1:7" ht="14.25" hidden="1" x14ac:dyDescent="0.2">
      <c r="B109" s="3" t="s">
        <v>345</v>
      </c>
      <c r="C109" s="3">
        <f>C51*30.4+C52*7</f>
        <v>175.2</v>
      </c>
      <c r="D109" s="3">
        <f t="shared" ref="D109:E109" si="24">D51*30.4+D52*7</f>
        <v>175.2</v>
      </c>
      <c r="E109" s="3">
        <f t="shared" si="24"/>
        <v>175.2</v>
      </c>
    </row>
    <row r="110" spans="1:7" ht="14.25" hidden="1" x14ac:dyDescent="0.2">
      <c r="B110" s="3" t="s">
        <v>348</v>
      </c>
      <c r="C110" s="3">
        <f>C109*C98</f>
        <v>89826932.159999996</v>
      </c>
      <c r="D110" s="3">
        <f t="shared" ref="D110:E110" si="25">D109*D98</f>
        <v>89826932.159999996</v>
      </c>
      <c r="E110" s="3">
        <f t="shared" si="25"/>
        <v>89826932.159999996</v>
      </c>
    </row>
    <row r="111" spans="1:7" ht="14.25" hidden="1" x14ac:dyDescent="0.2">
      <c r="B111" s="80" t="s">
        <v>349</v>
      </c>
      <c r="C111" s="84">
        <f>C110*C53</f>
        <v>3862558.0828799997</v>
      </c>
      <c r="D111" s="84">
        <f t="shared" ref="D111:E111" si="26">D110*D53</f>
        <v>3862558.0828799997</v>
      </c>
      <c r="E111" s="84">
        <f t="shared" si="26"/>
        <v>3862558.0828799997</v>
      </c>
    </row>
    <row r="112" spans="1:7" ht="14.25" hidden="1" x14ac:dyDescent="0.2">
      <c r="B112" s="19"/>
      <c r="C112" s="84"/>
      <c r="D112" s="84"/>
      <c r="E112" s="84"/>
    </row>
    <row r="113" spans="2:7" ht="14.25" hidden="1" x14ac:dyDescent="0.2">
      <c r="B113" s="19" t="s">
        <v>350</v>
      </c>
      <c r="C113" s="78">
        <f>C54*C98*C55</f>
        <v>338389.12800000003</v>
      </c>
      <c r="D113" s="78">
        <f t="shared" ref="D113:E113" si="27">D54*D98*D55</f>
        <v>169194.56400000001</v>
      </c>
      <c r="E113" s="78">
        <f t="shared" si="27"/>
        <v>253791.84599999999</v>
      </c>
      <c r="G113" s="3">
        <f>32.91/50</f>
        <v>0.6581999999999999</v>
      </c>
    </row>
    <row r="114" spans="2:7" ht="14.25" hidden="1" x14ac:dyDescent="0.2">
      <c r="B114" s="19" t="s">
        <v>351</v>
      </c>
      <c r="C114" s="78">
        <f>C56*C99*C57*C58</f>
        <v>661396.93199999991</v>
      </c>
      <c r="D114" s="78">
        <f t="shared" ref="D114:E114" si="28">D56*D99*D57*D58</f>
        <v>661396.93199999991</v>
      </c>
      <c r="E114" s="78">
        <f t="shared" si="28"/>
        <v>661396.93199999991</v>
      </c>
      <c r="G114" s="3">
        <f>21.66/50</f>
        <v>0.43320000000000003</v>
      </c>
    </row>
    <row r="115" spans="2:7" hidden="1" x14ac:dyDescent="0.25"/>
    <row r="116" spans="2:7" hidden="1" x14ac:dyDescent="0.25">
      <c r="B116" s="2" t="s">
        <v>193</v>
      </c>
      <c r="C116" s="78"/>
      <c r="D116" s="78"/>
      <c r="E116" s="78"/>
    </row>
    <row r="117" spans="2:7" ht="14.25" hidden="1" x14ac:dyDescent="0.2">
      <c r="B117" s="3" t="s">
        <v>355</v>
      </c>
      <c r="C117" s="3">
        <f>C61+C62+C63</f>
        <v>9</v>
      </c>
      <c r="D117" s="3">
        <f t="shared" ref="D117:E117" si="29">D61+D62+D63</f>
        <v>9</v>
      </c>
      <c r="E117" s="3">
        <f t="shared" si="29"/>
        <v>9</v>
      </c>
    </row>
    <row r="118" spans="2:7" ht="14.25" hidden="1" x14ac:dyDescent="0.2">
      <c r="B118" s="3" t="s">
        <v>356</v>
      </c>
      <c r="C118" s="88">
        <f>C117*C98</f>
        <v>4614397.2</v>
      </c>
      <c r="D118" s="88">
        <f t="shared" ref="D118:E118" si="30">D117*D98</f>
        <v>4614397.2</v>
      </c>
      <c r="E118" s="88">
        <f t="shared" si="30"/>
        <v>4614397.2</v>
      </c>
    </row>
    <row r="119" spans="2:7" ht="14.25" hidden="1" x14ac:dyDescent="0.2">
      <c r="B119" s="3" t="s">
        <v>585</v>
      </c>
      <c r="C119" s="88">
        <f>C118*C65</f>
        <v>1845758.8800000001</v>
      </c>
      <c r="D119" s="88">
        <f t="shared" ref="D119:E119" si="31">D118*D65</f>
        <v>1845758.8800000001</v>
      </c>
      <c r="E119" s="88">
        <f t="shared" si="31"/>
        <v>1845758.8800000001</v>
      </c>
    </row>
    <row r="120" spans="2:7" ht="14.25" hidden="1" x14ac:dyDescent="0.2">
      <c r="B120" s="3" t="s">
        <v>586</v>
      </c>
      <c r="C120" s="88">
        <f>C118*C64</f>
        <v>2768638.32</v>
      </c>
      <c r="D120" s="88">
        <f t="shared" ref="D120:E120" si="32">D118*D64</f>
        <v>2768638.32</v>
      </c>
      <c r="E120" s="88">
        <f t="shared" si="32"/>
        <v>2768638.32</v>
      </c>
    </row>
    <row r="121" spans="2:7" ht="14.25" hidden="1" x14ac:dyDescent="0.2">
      <c r="B121" s="3" t="s">
        <v>357</v>
      </c>
      <c r="C121" s="84">
        <f>C119*C65*C66</f>
        <v>11074553.280000001</v>
      </c>
      <c r="D121" s="84">
        <f t="shared" ref="D121:E121" si="33">D119*D65*D66</f>
        <v>11074553.280000001</v>
      </c>
      <c r="E121" s="84">
        <f t="shared" si="33"/>
        <v>11074553.280000001</v>
      </c>
    </row>
    <row r="122" spans="2:7" ht="14.25" hidden="1" x14ac:dyDescent="0.2">
      <c r="B122" s="3" t="s">
        <v>587</v>
      </c>
      <c r="C122" s="84">
        <f>C118*C67</f>
        <v>16150390.200000001</v>
      </c>
      <c r="D122" s="84">
        <f t="shared" ref="D122:E122" si="34">D118*D67</f>
        <v>16150390.200000001</v>
      </c>
      <c r="E122" s="84">
        <f t="shared" si="34"/>
        <v>16150390.200000001</v>
      </c>
    </row>
    <row r="123" spans="2:7" hidden="1" x14ac:dyDescent="0.25">
      <c r="C123" s="84"/>
      <c r="D123" s="84"/>
      <c r="E123" s="84"/>
    </row>
    <row r="124" spans="2:7" hidden="1" x14ac:dyDescent="0.25">
      <c r="B124" s="4" t="s">
        <v>200</v>
      </c>
    </row>
    <row r="125" spans="2:7" hidden="1" x14ac:dyDescent="0.25"/>
    <row r="126" spans="2:7" ht="14.25" hidden="1" x14ac:dyDescent="0.2">
      <c r="B126" s="3" t="s">
        <v>358</v>
      </c>
      <c r="C126" s="88">
        <f>C69*C99</f>
        <v>3076264.8</v>
      </c>
      <c r="D126" s="88">
        <f t="shared" ref="D126:E126" si="35">D69*D99</f>
        <v>3076264.8</v>
      </c>
      <c r="E126" s="88">
        <f t="shared" si="35"/>
        <v>3076264.8</v>
      </c>
    </row>
    <row r="127" spans="2:7" ht="14.25" hidden="1" x14ac:dyDescent="0.2">
      <c r="B127" s="3" t="s">
        <v>359</v>
      </c>
      <c r="C127" s="88">
        <f>C126*C72</f>
        <v>1230505.92</v>
      </c>
      <c r="D127" s="88">
        <f t="shared" ref="D127:E127" si="36">D126*D72</f>
        <v>1230505.92</v>
      </c>
      <c r="E127" s="88">
        <f t="shared" si="36"/>
        <v>1230505.92</v>
      </c>
    </row>
    <row r="128" spans="2:7" ht="14.25" hidden="1" x14ac:dyDescent="0.2">
      <c r="B128" s="3" t="s">
        <v>360</v>
      </c>
      <c r="C128" s="84">
        <f>C127*C73</f>
        <v>18457588.799999997</v>
      </c>
      <c r="D128" s="84">
        <f t="shared" ref="D128:E128" si="37">D127*D73</f>
        <v>18457588.799999997</v>
      </c>
      <c r="E128" s="84">
        <f t="shared" si="37"/>
        <v>18457588.799999997</v>
      </c>
    </row>
    <row r="129" spans="2:5" hidden="1" x14ac:dyDescent="0.25">
      <c r="B129" s="3" t="s">
        <v>588</v>
      </c>
    </row>
    <row r="130" spans="2:5" ht="14.25" hidden="1" x14ac:dyDescent="0.2">
      <c r="B130" s="3" t="s">
        <v>365</v>
      </c>
      <c r="C130" s="159">
        <f>VLOOKUP(C43,Q_0to4_split_by4,2,FALSE)</f>
        <v>655432.7361067133</v>
      </c>
      <c r="D130" s="159">
        <f>VLOOKUP(D43,Q_0to4_split_by4,2,FALSE)</f>
        <v>655432.7361067133</v>
      </c>
      <c r="E130" s="159">
        <f>VLOOKUP(E43,Q_0to4_split_by4,2,FALSE)</f>
        <v>655432.7361067133</v>
      </c>
    </row>
    <row r="131" spans="2:5" ht="14.25" hidden="1" x14ac:dyDescent="0.2">
      <c r="B131" s="3" t="s">
        <v>361</v>
      </c>
      <c r="C131" s="88">
        <f>C130*C70</f>
        <v>2621730.9444268532</v>
      </c>
      <c r="D131" s="88">
        <f t="shared" ref="D131:E131" si="38">D130*D70</f>
        <v>2621730.9444268532</v>
      </c>
      <c r="E131" s="88">
        <f t="shared" si="38"/>
        <v>2621730.9444268532</v>
      </c>
    </row>
    <row r="132" spans="2:5" ht="14.25" hidden="1" x14ac:dyDescent="0.2">
      <c r="B132" s="3" t="s">
        <v>366</v>
      </c>
      <c r="C132" s="78">
        <f>C131*C72*C73</f>
        <v>15730385.666561119</v>
      </c>
      <c r="D132" s="78">
        <f t="shared" ref="D132:E132" si="39">D131*D72*D73</f>
        <v>15730385.666561119</v>
      </c>
      <c r="E132" s="78">
        <f t="shared" si="39"/>
        <v>15730385.666561119</v>
      </c>
    </row>
    <row r="133" spans="2:5" ht="14.25" hidden="1" x14ac:dyDescent="0.2">
      <c r="B133" s="3" t="s">
        <v>589</v>
      </c>
      <c r="C133" s="78">
        <f>(C126+C131)*C74</f>
        <v>19942985.105493985</v>
      </c>
      <c r="D133" s="78">
        <f t="shared" ref="D133:E133" si="40">(D126+D131)*D74</f>
        <v>19942985.105493985</v>
      </c>
      <c r="E133" s="78">
        <f t="shared" si="40"/>
        <v>19942985.105493985</v>
      </c>
    </row>
    <row r="134" spans="2:5" hidden="1" x14ac:dyDescent="0.25">
      <c r="B134" s="2" t="s">
        <v>203</v>
      </c>
    </row>
    <row r="135" spans="2:5" hidden="1" x14ac:dyDescent="0.25"/>
    <row r="136" spans="2:5" ht="14.25" hidden="1" x14ac:dyDescent="0.2">
      <c r="B136" s="3" t="s">
        <v>367</v>
      </c>
      <c r="C136" s="159">
        <f>VLOOKUP(C43,Q_2to6,2,FALSE)</f>
        <v>3223426.0100224279</v>
      </c>
      <c r="D136" s="159">
        <f>VLOOKUP(D43,Q_2to6,2,FALSE)</f>
        <v>3223426.0100224279</v>
      </c>
      <c r="E136" s="159">
        <f>VLOOKUP(E43,Q_2to6,2,FALSE)</f>
        <v>3223426.0100224279</v>
      </c>
    </row>
    <row r="137" spans="2:5" ht="14.25" hidden="1" x14ac:dyDescent="0.2">
      <c r="B137" s="3" t="s">
        <v>375</v>
      </c>
      <c r="C137" s="90">
        <f>C76*C136</f>
        <v>6446852.0200448558</v>
      </c>
      <c r="D137" s="90">
        <f t="shared" ref="D137:E137" si="41">D76*D136</f>
        <v>6446852.0200448558</v>
      </c>
      <c r="E137" s="90">
        <f t="shared" si="41"/>
        <v>6446852.0200448558</v>
      </c>
    </row>
    <row r="138" spans="2:5" hidden="1" x14ac:dyDescent="0.25"/>
    <row r="139" spans="2:5" ht="14.25" hidden="1" x14ac:dyDescent="0.2">
      <c r="B139" s="3" t="s">
        <v>369</v>
      </c>
      <c r="C139" s="90">
        <f>C137*C77</f>
        <v>3868111.2120269132</v>
      </c>
      <c r="D139" s="90">
        <f t="shared" ref="D139:E139" si="42">D137*D77</f>
        <v>3868111.2120269132</v>
      </c>
      <c r="E139" s="90">
        <f t="shared" si="42"/>
        <v>3868111.2120269132</v>
      </c>
    </row>
    <row r="140" spans="2:5" ht="14.25" hidden="1" x14ac:dyDescent="0.2">
      <c r="B140" s="3" t="s">
        <v>370</v>
      </c>
      <c r="C140" s="90">
        <f>C139/C78</f>
        <v>128937.04040089711</v>
      </c>
      <c r="D140" s="90">
        <f t="shared" ref="D140:E140" si="43">D139/D78</f>
        <v>128937.04040089711</v>
      </c>
      <c r="E140" s="90">
        <f t="shared" si="43"/>
        <v>128937.04040089711</v>
      </c>
    </row>
    <row r="141" spans="2:5" ht="14.25" hidden="1" x14ac:dyDescent="0.2">
      <c r="B141" s="3" t="s">
        <v>371</v>
      </c>
      <c r="C141" s="78">
        <f>C140*C81</f>
        <v>6446852.0200448558</v>
      </c>
      <c r="D141" s="78">
        <f t="shared" ref="D141:E141" si="44">D140*D81</f>
        <v>6446852.0200448558</v>
      </c>
      <c r="E141" s="78">
        <f t="shared" si="44"/>
        <v>6446852.0200448558</v>
      </c>
    </row>
    <row r="142" spans="2:5" hidden="1" x14ac:dyDescent="0.25">
      <c r="C142" s="78"/>
      <c r="D142" s="78"/>
      <c r="E142" s="78"/>
    </row>
    <row r="143" spans="2:5" ht="14.25" hidden="1" x14ac:dyDescent="0.2">
      <c r="B143" s="3" t="s">
        <v>372</v>
      </c>
      <c r="C143" s="78">
        <f>C79*C137*C81</f>
        <v>64468520.200448565</v>
      </c>
      <c r="D143" s="78">
        <f t="shared" ref="D143:E143" si="45">D79*D137*D81</f>
        <v>64468520.200448565</v>
      </c>
      <c r="E143" s="78">
        <f t="shared" si="45"/>
        <v>64468520.200448565</v>
      </c>
    </row>
    <row r="144" spans="2:5" ht="14.25" hidden="1" x14ac:dyDescent="0.2">
      <c r="B144" s="3" t="s">
        <v>590</v>
      </c>
      <c r="C144" s="78">
        <f>C137*C82</f>
        <v>25787408.080179423</v>
      </c>
      <c r="D144" s="78">
        <f t="shared" ref="D144:E144" si="46">D137*D82</f>
        <v>25787408.080179423</v>
      </c>
      <c r="E144" s="78">
        <f t="shared" si="46"/>
        <v>25787408.080179423</v>
      </c>
    </row>
  </sheetData>
  <pageMargins left="0.7" right="0.7" top="0.75" bottom="0.75" header="0.3" footer="0.3"/>
  <pageSetup paperSize="9" scale="80" orientation="landscape" r:id="rId1"/>
  <rowBreaks count="1" manualBreakCount="1">
    <brk id="39"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1:E91"/>
  <sheetViews>
    <sheetView showGridLines="0" zoomScale="93" zoomScaleNormal="93" workbookViewId="0">
      <pane ySplit="1" topLeftCell="A2" activePane="bottomLeft" state="frozen"/>
      <selection pane="bottomLeft" activeCell="C22" sqref="C22"/>
    </sheetView>
  </sheetViews>
  <sheetFormatPr defaultRowHeight="15" x14ac:dyDescent="0.25"/>
  <cols>
    <col min="1" max="1" width="2" style="3" customWidth="1"/>
    <col min="2" max="2" width="61.85546875" customWidth="1"/>
    <col min="3" max="5" width="18" customWidth="1"/>
    <col min="6" max="16384" width="9.140625" style="3"/>
  </cols>
  <sheetData>
    <row r="1" spans="1:5" ht="15.75" x14ac:dyDescent="0.25">
      <c r="A1" s="30"/>
      <c r="B1" s="335" t="str">
        <f>A11</f>
        <v>Emergency Obstetric Care</v>
      </c>
      <c r="C1" s="336" t="s">
        <v>335</v>
      </c>
      <c r="D1" s="337" t="s">
        <v>336</v>
      </c>
      <c r="E1" s="338" t="s">
        <v>337</v>
      </c>
    </row>
    <row r="2" spans="1:5" ht="14.25" x14ac:dyDescent="0.2">
      <c r="A2" s="30"/>
      <c r="B2" s="123" t="s">
        <v>331</v>
      </c>
      <c r="C2" s="340">
        <f>C3+C4</f>
        <v>1139421137.3440001</v>
      </c>
      <c r="D2" s="340">
        <f t="shared" ref="D2:E2" si="0">D3+D4</f>
        <v>1139421137.3440001</v>
      </c>
      <c r="E2" s="340">
        <f t="shared" si="0"/>
        <v>1139421137.3440001</v>
      </c>
    </row>
    <row r="3" spans="1:5" ht="14.25" x14ac:dyDescent="0.2">
      <c r="A3" s="30"/>
      <c r="B3" s="126" t="s">
        <v>329</v>
      </c>
      <c r="C3" s="340">
        <f>SUM(C89:C91)</f>
        <v>1139421137.3440001</v>
      </c>
      <c r="D3" s="340">
        <f t="shared" ref="D3:E3" si="1">SUM(D89:D91)</f>
        <v>1139421137.3440001</v>
      </c>
      <c r="E3" s="340">
        <f t="shared" si="1"/>
        <v>1139421137.3440001</v>
      </c>
    </row>
    <row r="4" spans="1:5" ht="14.25" x14ac:dyDescent="0.2">
      <c r="A4" s="30"/>
      <c r="B4" s="128" t="s">
        <v>330</v>
      </c>
      <c r="C4" s="341"/>
      <c r="D4" s="341"/>
      <c r="E4" s="341"/>
    </row>
    <row r="5" spans="1:5" ht="14.25" x14ac:dyDescent="0.2">
      <c r="A5" s="30"/>
      <c r="B5" s="130" t="s">
        <v>332</v>
      </c>
      <c r="C5" s="339"/>
      <c r="D5" s="339"/>
      <c r="E5" s="339"/>
    </row>
    <row r="6" spans="1:5" ht="14.25" x14ac:dyDescent="0.2">
      <c r="A6" s="30"/>
      <c r="B6" s="123" t="s">
        <v>333</v>
      </c>
      <c r="C6" s="354"/>
      <c r="D6" s="354"/>
      <c r="E6" s="354"/>
    </row>
    <row r="7" spans="1:5" ht="14.25" x14ac:dyDescent="0.2">
      <c r="A7" s="30"/>
      <c r="B7" s="123" t="s">
        <v>626</v>
      </c>
      <c r="C7" s="357">
        <f>C3-C6</f>
        <v>1139421137.3440001</v>
      </c>
      <c r="D7" s="357">
        <f t="shared" ref="D7:E7" si="2">D3-D6</f>
        <v>1139421137.3440001</v>
      </c>
      <c r="E7" s="357">
        <f t="shared" si="2"/>
        <v>1139421137.3440001</v>
      </c>
    </row>
    <row r="8" spans="1:5" ht="14.25" x14ac:dyDescent="0.2">
      <c r="A8" s="30"/>
      <c r="B8" s="134" t="s">
        <v>562</v>
      </c>
      <c r="C8" s="125"/>
      <c r="D8" s="125"/>
      <c r="E8" s="125"/>
    </row>
    <row r="9" spans="1:5" ht="14.25" x14ac:dyDescent="0.2">
      <c r="A9" s="30"/>
      <c r="B9" s="154" t="s">
        <v>592</v>
      </c>
      <c r="C9" s="150">
        <f>SUM(C84:C86)</f>
        <v>136722.88</v>
      </c>
      <c r="D9" s="150">
        <f t="shared" ref="D9:E9" si="3">SUM(D84:D86)</f>
        <v>136722.88</v>
      </c>
      <c r="E9" s="150">
        <f t="shared" si="3"/>
        <v>136722.88</v>
      </c>
    </row>
    <row r="10" spans="1:5" ht="14.25" x14ac:dyDescent="0.2">
      <c r="A10" s="30"/>
      <c r="B10" s="30"/>
      <c r="C10" s="30"/>
      <c r="D10" s="30"/>
      <c r="E10" s="30"/>
    </row>
    <row r="11" spans="1:5" ht="14.25" x14ac:dyDescent="0.2">
      <c r="A11" s="382" t="s">
        <v>318</v>
      </c>
      <c r="B11" s="384"/>
      <c r="C11" s="384"/>
      <c r="D11" s="384"/>
      <c r="E11" s="384"/>
    </row>
    <row r="12" spans="1:5" x14ac:dyDescent="0.25">
      <c r="A12"/>
      <c r="B12" s="122" t="s">
        <v>22</v>
      </c>
      <c r="C12" s="54"/>
      <c r="D12" s="54"/>
      <c r="E12" s="54"/>
    </row>
    <row r="13" spans="1:5" ht="14.25" x14ac:dyDescent="0.2">
      <c r="A13" s="30"/>
      <c r="B13" s="160" t="s">
        <v>334</v>
      </c>
      <c r="C13" s="175">
        <v>0.8</v>
      </c>
      <c r="D13" s="261">
        <v>0.8</v>
      </c>
      <c r="E13" s="261">
        <v>0.8</v>
      </c>
    </row>
    <row r="14" spans="1:5" ht="14.25" x14ac:dyDescent="0.2">
      <c r="A14" s="30"/>
      <c r="B14" s="163" t="s">
        <v>639</v>
      </c>
      <c r="C14" s="176">
        <v>0.2</v>
      </c>
      <c r="D14" s="262">
        <v>0.2</v>
      </c>
      <c r="E14" s="262">
        <v>0.2</v>
      </c>
    </row>
    <row r="15" spans="1:5" ht="14.25" x14ac:dyDescent="0.2">
      <c r="A15" s="30"/>
      <c r="B15" s="30" t="s">
        <v>328</v>
      </c>
      <c r="C15" s="30"/>
      <c r="D15" s="30"/>
      <c r="E15" s="30"/>
    </row>
    <row r="16" spans="1:5" ht="14.25" x14ac:dyDescent="0.2">
      <c r="A16" s="30"/>
      <c r="B16" s="170" t="s">
        <v>325</v>
      </c>
      <c r="C16" s="121">
        <v>0.45</v>
      </c>
      <c r="D16" s="187">
        <v>0.45</v>
      </c>
      <c r="E16" s="187">
        <v>0.45</v>
      </c>
    </row>
    <row r="17" spans="1:5" ht="14.25" x14ac:dyDescent="0.2">
      <c r="A17" s="30"/>
      <c r="B17" s="170" t="s">
        <v>326</v>
      </c>
      <c r="C17" s="121">
        <v>0.35</v>
      </c>
      <c r="D17" s="187">
        <v>0.35</v>
      </c>
      <c r="E17" s="187">
        <v>0.35</v>
      </c>
    </row>
    <row r="18" spans="1:5" ht="14.25" x14ac:dyDescent="0.2">
      <c r="A18" s="30"/>
      <c r="B18" s="170" t="s">
        <v>327</v>
      </c>
      <c r="C18" s="121">
        <v>0.2</v>
      </c>
      <c r="D18" s="187">
        <v>0.2</v>
      </c>
      <c r="E18" s="187">
        <v>0.2</v>
      </c>
    </row>
    <row r="19" spans="1:5" ht="14.25" x14ac:dyDescent="0.2">
      <c r="A19" s="30"/>
      <c r="B19" s="160" t="s">
        <v>324</v>
      </c>
      <c r="C19" s="160"/>
      <c r="D19" s="160"/>
      <c r="E19" s="160"/>
    </row>
    <row r="20" spans="1:5" ht="14.25" x14ac:dyDescent="0.2">
      <c r="A20" s="30"/>
      <c r="B20" s="168" t="s">
        <v>325</v>
      </c>
      <c r="C20" s="339">
        <v>7511</v>
      </c>
      <c r="D20" s="339">
        <v>7511</v>
      </c>
      <c r="E20" s="339">
        <v>7511</v>
      </c>
    </row>
    <row r="21" spans="1:5" ht="14.25" x14ac:dyDescent="0.2">
      <c r="A21" s="30"/>
      <c r="B21" s="168" t="s">
        <v>326</v>
      </c>
      <c r="C21" s="339">
        <v>8663</v>
      </c>
      <c r="D21" s="339">
        <v>8663</v>
      </c>
      <c r="E21" s="339">
        <v>8663</v>
      </c>
    </row>
    <row r="22" spans="1:5" ht="14.25" x14ac:dyDescent="0.2">
      <c r="A22" s="30"/>
      <c r="B22" s="169" t="s">
        <v>327</v>
      </c>
      <c r="C22" s="341">
        <v>9609</v>
      </c>
      <c r="D22" s="341">
        <v>9609</v>
      </c>
      <c r="E22" s="341">
        <v>9609</v>
      </c>
    </row>
    <row r="23" spans="1:5" x14ac:dyDescent="0.25">
      <c r="A23" s="30"/>
      <c r="B23" s="86"/>
    </row>
    <row r="24" spans="1:5" x14ac:dyDescent="0.25">
      <c r="A24" s="30"/>
    </row>
    <row r="25" spans="1:5" x14ac:dyDescent="0.25">
      <c r="A25" s="30"/>
    </row>
    <row r="26" spans="1:5" x14ac:dyDescent="0.25">
      <c r="A26" s="30"/>
    </row>
    <row r="27" spans="1:5" x14ac:dyDescent="0.25">
      <c r="A27" s="30"/>
    </row>
    <row r="28" spans="1:5" x14ac:dyDescent="0.25">
      <c r="A28" s="30"/>
    </row>
    <row r="29" spans="1:5" x14ac:dyDescent="0.25">
      <c r="A29" s="30"/>
    </row>
    <row r="30" spans="1:5" x14ac:dyDescent="0.25">
      <c r="A30" s="30"/>
    </row>
    <row r="31" spans="1:5" x14ac:dyDescent="0.25">
      <c r="A31" s="30"/>
    </row>
    <row r="32" spans="1:5" ht="14.25" x14ac:dyDescent="0.2">
      <c r="B32" s="19"/>
      <c r="C32" s="84"/>
      <c r="D32" s="84"/>
      <c r="E32" s="84"/>
    </row>
    <row r="33" spans="2:5" ht="14.25" x14ac:dyDescent="0.2">
      <c r="B33" s="19"/>
      <c r="C33" s="84"/>
      <c r="D33" s="84"/>
      <c r="E33" s="84"/>
    </row>
    <row r="34" spans="2:5" ht="14.25" x14ac:dyDescent="0.2">
      <c r="B34" s="19"/>
      <c r="C34" s="84"/>
      <c r="D34" s="84"/>
      <c r="E34" s="84"/>
    </row>
    <row r="35" spans="2:5" ht="14.25" x14ac:dyDescent="0.2">
      <c r="B35" s="19"/>
      <c r="C35" s="84"/>
      <c r="D35" s="84"/>
      <c r="E35" s="84"/>
    </row>
    <row r="36" spans="2:5" ht="14.25" x14ac:dyDescent="0.2">
      <c r="B36" s="19"/>
      <c r="C36" s="78"/>
      <c r="D36" s="78"/>
      <c r="E36" s="78"/>
    </row>
    <row r="37" spans="2:5" ht="14.25" x14ac:dyDescent="0.2">
      <c r="B37" s="19"/>
      <c r="C37" s="78"/>
      <c r="D37" s="78"/>
      <c r="E37" s="78"/>
    </row>
    <row r="39" spans="2:5" x14ac:dyDescent="0.25">
      <c r="B39" s="2"/>
      <c r="C39" s="78"/>
      <c r="D39" s="78"/>
      <c r="E39" s="78"/>
    </row>
    <row r="78" spans="1:5" s="87" customFormat="1" hidden="1" x14ac:dyDescent="0.25">
      <c r="A78" s="3"/>
      <c r="B78"/>
      <c r="C78"/>
      <c r="D78"/>
      <c r="E78"/>
    </row>
    <row r="79" spans="1:5" hidden="1" x14ac:dyDescent="0.25">
      <c r="A79" s="87"/>
      <c r="B79" s="87" t="s">
        <v>338</v>
      </c>
      <c r="C79" s="87"/>
      <c r="D79" s="87"/>
      <c r="E79" s="87"/>
    </row>
    <row r="80" spans="1:5" ht="14.25" hidden="1" x14ac:dyDescent="0.2">
      <c r="B80" s="3" t="s">
        <v>339</v>
      </c>
      <c r="C80" s="3">
        <f>C13*birth_occurences2013</f>
        <v>683614.4</v>
      </c>
      <c r="D80" s="3">
        <f>D13*birth_occurences2013</f>
        <v>683614.4</v>
      </c>
      <c r="E80" s="3">
        <f>E13*birth_occurences2013</f>
        <v>683614.4</v>
      </c>
    </row>
    <row r="81" spans="2:5" ht="14.25" hidden="1" x14ac:dyDescent="0.2">
      <c r="B81" s="3" t="s">
        <v>340</v>
      </c>
      <c r="C81" s="3">
        <f>C80*C14</f>
        <v>136722.88</v>
      </c>
      <c r="D81" s="3">
        <f t="shared" ref="D81:E81" si="4">D80*D14</f>
        <v>136722.88</v>
      </c>
      <c r="E81" s="3">
        <f t="shared" si="4"/>
        <v>136722.88</v>
      </c>
    </row>
    <row r="82" spans="2:5" hidden="1" x14ac:dyDescent="0.25"/>
    <row r="83" spans="2:5" hidden="1" x14ac:dyDescent="0.25">
      <c r="B83" s="3" t="s">
        <v>341</v>
      </c>
    </row>
    <row r="84" spans="2:5" ht="14.25" hidden="1" x14ac:dyDescent="0.2">
      <c r="B84" s="19" t="s">
        <v>325</v>
      </c>
      <c r="C84" s="3">
        <f>C16*C81</f>
        <v>61525.296000000002</v>
      </c>
      <c r="D84" s="3">
        <f t="shared" ref="D84:E84" si="5">D16*D81</f>
        <v>61525.296000000002</v>
      </c>
      <c r="E84" s="3">
        <f t="shared" si="5"/>
        <v>61525.296000000002</v>
      </c>
    </row>
    <row r="85" spans="2:5" ht="14.25" hidden="1" x14ac:dyDescent="0.2">
      <c r="B85" s="19" t="s">
        <v>326</v>
      </c>
      <c r="C85" s="3">
        <f>C17*C81</f>
        <v>47853.008000000002</v>
      </c>
      <c r="D85" s="3">
        <f t="shared" ref="D85:E85" si="6">D17*D81</f>
        <v>47853.008000000002</v>
      </c>
      <c r="E85" s="3">
        <f t="shared" si="6"/>
        <v>47853.008000000002</v>
      </c>
    </row>
    <row r="86" spans="2:5" ht="14.25" hidden="1" x14ac:dyDescent="0.2">
      <c r="B86" s="19" t="s">
        <v>327</v>
      </c>
      <c r="C86" s="3">
        <f>C18*C81</f>
        <v>27344.576000000001</v>
      </c>
      <c r="D86" s="3">
        <f t="shared" ref="D86:E86" si="7">D18*D81</f>
        <v>27344.576000000001</v>
      </c>
      <c r="E86" s="3">
        <f t="shared" si="7"/>
        <v>27344.576000000001</v>
      </c>
    </row>
    <row r="87" spans="2:5" hidden="1" x14ac:dyDescent="0.25"/>
    <row r="88" spans="2:5" hidden="1" x14ac:dyDescent="0.25">
      <c r="B88" s="3" t="s">
        <v>342</v>
      </c>
    </row>
    <row r="89" spans="2:5" ht="14.25" hidden="1" x14ac:dyDescent="0.2">
      <c r="B89" s="19" t="s">
        <v>325</v>
      </c>
      <c r="C89" s="84">
        <f>C84*C20</f>
        <v>462116498.25600004</v>
      </c>
      <c r="D89" s="84">
        <f t="shared" ref="D89:E89" si="8">D84*D20</f>
        <v>462116498.25600004</v>
      </c>
      <c r="E89" s="84">
        <f t="shared" si="8"/>
        <v>462116498.25600004</v>
      </c>
    </row>
    <row r="90" spans="2:5" ht="14.25" hidden="1" x14ac:dyDescent="0.2">
      <c r="B90" s="19" t="s">
        <v>326</v>
      </c>
      <c r="C90" s="84">
        <f>C21*C85</f>
        <v>414550608.30400002</v>
      </c>
      <c r="D90" s="84">
        <f t="shared" ref="D90:E90" si="9">D21*D85</f>
        <v>414550608.30400002</v>
      </c>
      <c r="E90" s="84">
        <f t="shared" si="9"/>
        <v>414550608.30400002</v>
      </c>
    </row>
    <row r="91" spans="2:5" ht="14.25" hidden="1" x14ac:dyDescent="0.2">
      <c r="B91" s="19" t="s">
        <v>327</v>
      </c>
      <c r="C91" s="84">
        <f>C22*C86</f>
        <v>262754030.78400001</v>
      </c>
      <c r="D91" s="84">
        <f t="shared" ref="D91:E91" si="10">D22*D86</f>
        <v>262754030.78400001</v>
      </c>
      <c r="E91" s="84">
        <f t="shared" si="10"/>
        <v>262754030.78400001</v>
      </c>
    </row>
  </sheetData>
  <sheetProtection sheet="1" objects="1" scenarios="1"/>
  <pageMargins left="0.7" right="0.7" top="0.75" bottom="0.75" header="0.3" footer="0.3"/>
  <pageSetup paperSize="9" scale="7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33"/>
  </sheetPr>
  <dimension ref="A1:E114"/>
  <sheetViews>
    <sheetView showGridLines="0" zoomScale="80" zoomScaleNormal="80" workbookViewId="0">
      <pane ySplit="1" topLeftCell="A20" activePane="bottomLeft" state="frozen"/>
      <selection pane="bottomLeft" activeCell="C45" sqref="C45"/>
    </sheetView>
  </sheetViews>
  <sheetFormatPr defaultRowHeight="15" x14ac:dyDescent="0.25"/>
  <cols>
    <col min="1" max="1" width="2.7109375" style="3" customWidth="1"/>
    <col min="2" max="2" width="81.42578125" customWidth="1"/>
    <col min="3" max="5" width="18" customWidth="1"/>
    <col min="6" max="16384" width="9.140625" style="3"/>
  </cols>
  <sheetData>
    <row r="1" spans="1:5" ht="15.75" x14ac:dyDescent="0.25">
      <c r="A1" s="30"/>
      <c r="B1" s="350" t="str">
        <f>A26</f>
        <v>Immunisation, deworming and growth monitoring (Road to Health booklet)</v>
      </c>
      <c r="C1" s="351" t="s">
        <v>335</v>
      </c>
      <c r="D1" s="352" t="s">
        <v>336</v>
      </c>
      <c r="E1" s="353" t="s">
        <v>337</v>
      </c>
    </row>
    <row r="2" spans="1:5" ht="14.25" x14ac:dyDescent="0.2">
      <c r="A2" s="30"/>
      <c r="B2" s="123" t="s">
        <v>331</v>
      </c>
      <c r="C2" s="339">
        <f>SUM(C3:C4)</f>
        <v>1470399488.7526231</v>
      </c>
      <c r="D2" s="339">
        <f t="shared" ref="D2:E2" si="0">SUM(D3:D4)</f>
        <v>1470399488.7526231</v>
      </c>
      <c r="E2" s="339">
        <f t="shared" si="0"/>
        <v>1470399488.7526231</v>
      </c>
    </row>
    <row r="3" spans="1:5" ht="14.25" x14ac:dyDescent="0.2">
      <c r="A3" s="30"/>
      <c r="B3" s="126" t="s">
        <v>329</v>
      </c>
      <c r="C3" s="340">
        <f>C10+C17</f>
        <v>1470399488.7526231</v>
      </c>
      <c r="D3" s="340">
        <f t="shared" ref="D3:E3" si="1">D10+D17</f>
        <v>1470399488.7526231</v>
      </c>
      <c r="E3" s="340">
        <f t="shared" si="1"/>
        <v>1470399488.7526231</v>
      </c>
    </row>
    <row r="4" spans="1:5" ht="14.25" x14ac:dyDescent="0.2">
      <c r="A4" s="30"/>
      <c r="B4" s="128" t="s">
        <v>330</v>
      </c>
      <c r="C4" s="341"/>
      <c r="D4" s="341"/>
      <c r="E4" s="341"/>
    </row>
    <row r="5" spans="1:5" ht="14.25" x14ac:dyDescent="0.2">
      <c r="A5" s="30"/>
      <c r="B5" s="130" t="s">
        <v>332</v>
      </c>
      <c r="C5" s="339"/>
      <c r="D5" s="339"/>
      <c r="E5" s="339"/>
    </row>
    <row r="6" spans="1:5" ht="14.25" x14ac:dyDescent="0.2">
      <c r="A6" s="30"/>
      <c r="B6" s="123" t="s">
        <v>333</v>
      </c>
      <c r="C6" s="354">
        <f>C13+C20</f>
        <v>0</v>
      </c>
      <c r="D6" s="354">
        <f t="shared" ref="D6:E6" si="2">D13+D20</f>
        <v>0</v>
      </c>
      <c r="E6" s="354">
        <f t="shared" si="2"/>
        <v>0</v>
      </c>
    </row>
    <row r="7" spans="1:5" ht="14.25" x14ac:dyDescent="0.2">
      <c r="A7" s="30"/>
      <c r="B7" s="123" t="s">
        <v>626</v>
      </c>
      <c r="C7" s="355">
        <f>C3-C6</f>
        <v>1470399488.7526231</v>
      </c>
      <c r="D7" s="355">
        <f t="shared" ref="D7:E7" si="3">D3-D6</f>
        <v>1470399488.7526231</v>
      </c>
      <c r="E7" s="355">
        <f t="shared" si="3"/>
        <v>1470399488.7526231</v>
      </c>
    </row>
    <row r="8" spans="1:5" ht="14.25" x14ac:dyDescent="0.2">
      <c r="A8" s="30"/>
      <c r="B8" s="137" t="s">
        <v>381</v>
      </c>
      <c r="C8" s="356"/>
      <c r="D8" s="356"/>
      <c r="E8" s="356"/>
    </row>
    <row r="9" spans="1:5" ht="14.25" x14ac:dyDescent="0.2">
      <c r="A9" s="30"/>
      <c r="B9" s="123" t="s">
        <v>331</v>
      </c>
      <c r="C9" s="339">
        <f>SUM(C10:C11)</f>
        <v>1446458429.7264178</v>
      </c>
      <c r="D9" s="339">
        <f t="shared" ref="D9:E9" si="4">SUM(D10:D11)</f>
        <v>1446458429.7264178</v>
      </c>
      <c r="E9" s="339">
        <f t="shared" si="4"/>
        <v>1446458429.7264178</v>
      </c>
    </row>
    <row r="10" spans="1:5" ht="14.25" x14ac:dyDescent="0.2">
      <c r="A10" s="30"/>
      <c r="B10" s="126" t="s">
        <v>329</v>
      </c>
      <c r="C10" s="340">
        <f>SUM(C96:C100)+C103+C106</f>
        <v>1446458429.7264178</v>
      </c>
      <c r="D10" s="340">
        <f t="shared" ref="D10:E10" si="5">SUM(D96:D100)+D103+D106</f>
        <v>1446458429.7264178</v>
      </c>
      <c r="E10" s="340">
        <f t="shared" si="5"/>
        <v>1446458429.7264178</v>
      </c>
    </row>
    <row r="11" spans="1:5" ht="14.25" x14ac:dyDescent="0.2">
      <c r="A11" s="30"/>
      <c r="B11" s="128" t="s">
        <v>330</v>
      </c>
      <c r="C11" s="341"/>
      <c r="D11" s="341"/>
      <c r="E11" s="341"/>
    </row>
    <row r="12" spans="1:5" ht="14.25" x14ac:dyDescent="0.2">
      <c r="A12" s="30"/>
      <c r="B12" s="130" t="s">
        <v>332</v>
      </c>
      <c r="C12" s="339"/>
      <c r="D12" s="339"/>
      <c r="E12" s="339"/>
    </row>
    <row r="13" spans="1:5" ht="14.25" x14ac:dyDescent="0.2">
      <c r="A13" s="30"/>
      <c r="B13" s="123" t="s">
        <v>333</v>
      </c>
      <c r="C13" s="354"/>
      <c r="D13" s="354"/>
      <c r="E13" s="354"/>
    </row>
    <row r="14" spans="1:5" ht="14.25" x14ac:dyDescent="0.2">
      <c r="A14" s="30"/>
      <c r="B14" s="123" t="s">
        <v>626</v>
      </c>
      <c r="C14" s="355">
        <f>C10-C13</f>
        <v>1446458429.7264178</v>
      </c>
      <c r="D14" s="355">
        <f t="shared" ref="D14:E14" si="6">D10-D13</f>
        <v>1446458429.7264178</v>
      </c>
      <c r="E14" s="355">
        <f t="shared" si="6"/>
        <v>1446458429.7264178</v>
      </c>
    </row>
    <row r="15" spans="1:5" ht="14.25" x14ac:dyDescent="0.2">
      <c r="A15" s="30"/>
      <c r="B15" s="137" t="s">
        <v>382</v>
      </c>
      <c r="C15" s="356"/>
      <c r="D15" s="356"/>
      <c r="E15" s="356"/>
    </row>
    <row r="16" spans="1:5" ht="14.25" x14ac:dyDescent="0.2">
      <c r="A16" s="30"/>
      <c r="B16" s="123" t="s">
        <v>331</v>
      </c>
      <c r="C16" s="339">
        <f>SUM(C17:C18)</f>
        <v>23941059.026205312</v>
      </c>
      <c r="D16" s="339">
        <f t="shared" ref="D16:E16" si="7">SUM(D17:D18)</f>
        <v>23941059.026205312</v>
      </c>
      <c r="E16" s="339">
        <f t="shared" si="7"/>
        <v>23941059.026205312</v>
      </c>
    </row>
    <row r="17" spans="1:5" ht="14.25" x14ac:dyDescent="0.2">
      <c r="A17" s="30"/>
      <c r="B17" s="126" t="s">
        <v>329</v>
      </c>
      <c r="C17" s="340">
        <f>C114</f>
        <v>23941059.026205312</v>
      </c>
      <c r="D17" s="340">
        <f t="shared" ref="D17:E17" si="8">D114</f>
        <v>23941059.026205312</v>
      </c>
      <c r="E17" s="340">
        <f t="shared" si="8"/>
        <v>23941059.026205312</v>
      </c>
    </row>
    <row r="18" spans="1:5" ht="14.25" x14ac:dyDescent="0.2">
      <c r="A18" s="30"/>
      <c r="B18" s="128" t="s">
        <v>330</v>
      </c>
      <c r="C18" s="341"/>
      <c r="D18" s="341"/>
      <c r="E18" s="341"/>
    </row>
    <row r="19" spans="1:5" ht="14.25" x14ac:dyDescent="0.2">
      <c r="A19" s="30"/>
      <c r="B19" s="130" t="s">
        <v>332</v>
      </c>
      <c r="C19" s="339"/>
      <c r="D19" s="339"/>
      <c r="E19" s="339"/>
    </row>
    <row r="20" spans="1:5" ht="14.25" x14ac:dyDescent="0.2">
      <c r="A20" s="30"/>
      <c r="B20" s="123" t="s">
        <v>333</v>
      </c>
      <c r="C20" s="354"/>
      <c r="D20" s="354"/>
      <c r="E20" s="354"/>
    </row>
    <row r="21" spans="1:5" ht="14.25" x14ac:dyDescent="0.2">
      <c r="A21" s="30"/>
      <c r="B21" s="123" t="s">
        <v>626</v>
      </c>
      <c r="C21" s="357">
        <f>C17-C20</f>
        <v>23941059.026205312</v>
      </c>
      <c r="D21" s="357">
        <f t="shared" ref="D21:E21" si="9">D17-D20</f>
        <v>23941059.026205312</v>
      </c>
      <c r="E21" s="357">
        <f t="shared" si="9"/>
        <v>23941059.026205312</v>
      </c>
    </row>
    <row r="22" spans="1:5" ht="14.25" x14ac:dyDescent="0.2">
      <c r="A22" s="30"/>
      <c r="B22" s="134" t="s">
        <v>562</v>
      </c>
      <c r="C22" s="3"/>
      <c r="D22" s="3"/>
      <c r="E22" s="3"/>
    </row>
    <row r="23" spans="1:5" ht="14.25" x14ac:dyDescent="0.2">
      <c r="A23" s="30"/>
      <c r="B23" s="130" t="s">
        <v>731</v>
      </c>
      <c r="C23" s="133">
        <f>birth_occurences2013+C30+C31</f>
        <v>3581800.8869358255</v>
      </c>
      <c r="D23" s="133">
        <f>birth_occurences2013+D30+D31</f>
        <v>3581800.8869358255</v>
      </c>
      <c r="E23" s="133">
        <f>birth_occurences2013+E30+E31</f>
        <v>3581800.8869358255</v>
      </c>
    </row>
    <row r="24" spans="1:5" ht="14.25" x14ac:dyDescent="0.2">
      <c r="A24" s="30"/>
      <c r="B24" s="154" t="s">
        <v>732</v>
      </c>
      <c r="C24" s="147">
        <f>C111+C112</f>
        <v>4534291.4822358545</v>
      </c>
      <c r="D24" s="147">
        <f t="shared" ref="D24:E24" si="10">D111+D112</f>
        <v>4534291.4822358545</v>
      </c>
      <c r="E24" s="147">
        <f t="shared" si="10"/>
        <v>4534291.4822358545</v>
      </c>
    </row>
    <row r="25" spans="1:5" ht="14.25" x14ac:dyDescent="0.2">
      <c r="A25" s="30"/>
      <c r="B25" s="30"/>
      <c r="C25" s="30"/>
      <c r="D25" s="30"/>
      <c r="E25" s="30"/>
    </row>
    <row r="26" spans="1:5" ht="14.25" x14ac:dyDescent="0.2">
      <c r="A26" s="382" t="s">
        <v>209</v>
      </c>
      <c r="B26" s="384"/>
      <c r="C26" s="384"/>
      <c r="D26" s="384"/>
      <c r="E26" s="384"/>
    </row>
    <row r="27" spans="1:5" x14ac:dyDescent="0.25">
      <c r="A27"/>
      <c r="B27" s="122" t="s">
        <v>22</v>
      </c>
      <c r="C27" s="54"/>
      <c r="D27" s="54"/>
      <c r="E27" s="54"/>
    </row>
    <row r="28" spans="1:5" ht="14.25" x14ac:dyDescent="0.2">
      <c r="A28" s="30"/>
      <c r="B28" s="386" t="s">
        <v>381</v>
      </c>
      <c r="C28" s="180"/>
      <c r="D28" s="180"/>
      <c r="E28" s="180"/>
    </row>
    <row r="29" spans="1:5" ht="14.25" x14ac:dyDescent="0.2">
      <c r="A29" s="30"/>
      <c r="B29" s="30" t="s">
        <v>319</v>
      </c>
      <c r="C29" s="138">
        <v>1</v>
      </c>
      <c r="D29" s="182">
        <v>1</v>
      </c>
      <c r="E29" s="182">
        <v>1</v>
      </c>
    </row>
    <row r="30" spans="1:5" ht="14.25" x14ac:dyDescent="0.2">
      <c r="A30" s="30"/>
      <c r="B30" s="160" t="s">
        <v>320</v>
      </c>
      <c r="C30" s="177">
        <f>'4.3.2'!C42*2</f>
        <v>1709036</v>
      </c>
      <c r="D30" s="177">
        <f>'4.3.2'!D42*2</f>
        <v>1709036</v>
      </c>
      <c r="E30" s="177">
        <f>'4.3.2'!E42*2</f>
        <v>1709036</v>
      </c>
    </row>
    <row r="31" spans="1:5" ht="14.25" x14ac:dyDescent="0.2">
      <c r="A31" s="30"/>
      <c r="B31" s="163" t="s">
        <v>240</v>
      </c>
      <c r="C31" s="178">
        <f>Population!$M$32</f>
        <v>1018246.8869358257</v>
      </c>
      <c r="D31" s="178">
        <f>Population!$M$32</f>
        <v>1018246.8869358257</v>
      </c>
      <c r="E31" s="178">
        <f>Population!$M$32</f>
        <v>1018246.8869358257</v>
      </c>
    </row>
    <row r="32" spans="1:5" ht="14.25" x14ac:dyDescent="0.2">
      <c r="A32" s="30"/>
      <c r="B32" s="30" t="s">
        <v>239</v>
      </c>
      <c r="C32" s="30"/>
      <c r="D32" s="30"/>
      <c r="E32" s="30"/>
    </row>
    <row r="33" spans="1:5" ht="14.25" x14ac:dyDescent="0.2">
      <c r="A33" s="30"/>
      <c r="B33" s="179" t="s">
        <v>232</v>
      </c>
      <c r="C33" s="358">
        <v>4.63</v>
      </c>
      <c r="D33" s="358">
        <v>4.63</v>
      </c>
      <c r="E33" s="358">
        <v>4.63</v>
      </c>
    </row>
    <row r="34" spans="1:5" ht="14.25" x14ac:dyDescent="0.2">
      <c r="A34" s="30"/>
      <c r="B34" s="179" t="s">
        <v>233</v>
      </c>
      <c r="C34" s="358">
        <v>490.34999999999997</v>
      </c>
      <c r="D34" s="358">
        <v>490.34999999999997</v>
      </c>
      <c r="E34" s="358">
        <v>490.34999999999997</v>
      </c>
    </row>
    <row r="35" spans="1:5" ht="14.25" x14ac:dyDescent="0.2">
      <c r="A35" s="30"/>
      <c r="B35" s="179" t="s">
        <v>238</v>
      </c>
      <c r="C35" s="358">
        <v>140.62</v>
      </c>
      <c r="D35" s="358">
        <v>140.62</v>
      </c>
      <c r="E35" s="358">
        <v>140.62</v>
      </c>
    </row>
    <row r="36" spans="1:5" ht="14.25" x14ac:dyDescent="0.2">
      <c r="A36" s="30"/>
      <c r="B36" s="179" t="s">
        <v>234</v>
      </c>
      <c r="C36" s="358">
        <v>487.47999999999996</v>
      </c>
      <c r="D36" s="358">
        <v>487.47999999999996</v>
      </c>
      <c r="E36" s="358">
        <v>487.47999999999996</v>
      </c>
    </row>
    <row r="37" spans="1:5" ht="14.25" x14ac:dyDescent="0.2">
      <c r="A37" s="30"/>
      <c r="B37" s="179" t="s">
        <v>235</v>
      </c>
      <c r="C37" s="358">
        <v>275.05999999999995</v>
      </c>
      <c r="D37" s="358">
        <v>275.05999999999995</v>
      </c>
      <c r="E37" s="358">
        <v>275.05999999999995</v>
      </c>
    </row>
    <row r="38" spans="1:5" ht="14.25" x14ac:dyDescent="0.2">
      <c r="A38" s="30"/>
      <c r="B38" s="179" t="s">
        <v>236</v>
      </c>
      <c r="C38" s="359">
        <v>141.79</v>
      </c>
      <c r="D38" s="359">
        <v>141.79</v>
      </c>
      <c r="E38" s="359">
        <v>141.79</v>
      </c>
    </row>
    <row r="39" spans="1:5" ht="14.25" x14ac:dyDescent="0.2">
      <c r="A39" s="30"/>
      <c r="B39" s="179" t="s">
        <v>237</v>
      </c>
      <c r="C39" s="359">
        <v>9.23</v>
      </c>
      <c r="D39" s="359">
        <v>9.23</v>
      </c>
      <c r="E39" s="359">
        <v>9.23</v>
      </c>
    </row>
    <row r="40" spans="1:5" ht="14.25" x14ac:dyDescent="0.2">
      <c r="A40" s="30"/>
      <c r="B40" s="386" t="s">
        <v>382</v>
      </c>
      <c r="C40" s="403"/>
      <c r="D40" s="403"/>
      <c r="E40" s="403"/>
    </row>
    <row r="41" spans="1:5" ht="14.25" x14ac:dyDescent="0.2">
      <c r="A41" s="30"/>
      <c r="B41" s="163" t="s">
        <v>189</v>
      </c>
      <c r="C41" s="401">
        <v>3</v>
      </c>
      <c r="D41" s="402">
        <v>3</v>
      </c>
      <c r="E41" s="402">
        <v>3</v>
      </c>
    </row>
    <row r="42" spans="1:5" ht="14.25" x14ac:dyDescent="0.2">
      <c r="A42" s="30"/>
      <c r="B42" s="30" t="s">
        <v>243</v>
      </c>
      <c r="C42" s="30"/>
      <c r="D42" s="30"/>
      <c r="E42" s="30"/>
    </row>
    <row r="43" spans="1:5" ht="14.25" x14ac:dyDescent="0.2">
      <c r="A43" s="30"/>
      <c r="B43" s="170" t="s">
        <v>244</v>
      </c>
      <c r="C43" s="139">
        <v>2</v>
      </c>
      <c r="D43" s="183">
        <v>2</v>
      </c>
      <c r="E43" s="183">
        <v>2</v>
      </c>
    </row>
    <row r="44" spans="1:5" ht="14.25" x14ac:dyDescent="0.2">
      <c r="A44" s="30"/>
      <c r="B44" s="170" t="s">
        <v>245</v>
      </c>
      <c r="C44" s="139">
        <v>2</v>
      </c>
      <c r="D44" s="183">
        <v>2</v>
      </c>
      <c r="E44" s="183">
        <v>2</v>
      </c>
    </row>
    <row r="45" spans="1:5" ht="14.25" x14ac:dyDescent="0.2">
      <c r="A45" s="30"/>
      <c r="B45" s="181" t="s">
        <v>758</v>
      </c>
      <c r="C45" s="360">
        <v>2.64</v>
      </c>
      <c r="D45" s="360">
        <v>2.64</v>
      </c>
      <c r="E45" s="360">
        <v>2.64</v>
      </c>
    </row>
    <row r="92" spans="1:5" hidden="1" x14ac:dyDescent="0.25"/>
    <row r="93" spans="1:5" hidden="1" x14ac:dyDescent="0.25">
      <c r="A93" s="3" t="s">
        <v>338</v>
      </c>
    </row>
    <row r="94" spans="1:5" hidden="1" x14ac:dyDescent="0.25"/>
    <row r="95" spans="1:5" hidden="1" x14ac:dyDescent="0.25">
      <c r="B95" s="2" t="s">
        <v>376</v>
      </c>
    </row>
    <row r="96" spans="1:5" ht="14.25" hidden="1" x14ac:dyDescent="0.2">
      <c r="B96" s="85" t="s">
        <v>232</v>
      </c>
      <c r="C96" s="84">
        <f t="shared" ref="C96:E100" si="11">birth_occurences2013*C33*C$29</f>
        <v>3956418.34</v>
      </c>
      <c r="D96" s="84">
        <f t="shared" si="11"/>
        <v>3956418.34</v>
      </c>
      <c r="E96" s="84">
        <f t="shared" si="11"/>
        <v>3956418.34</v>
      </c>
    </row>
    <row r="97" spans="2:5" ht="14.25" hidden="1" x14ac:dyDescent="0.2">
      <c r="B97" s="85" t="s">
        <v>233</v>
      </c>
      <c r="C97" s="84">
        <f t="shared" si="11"/>
        <v>419012901.29999995</v>
      </c>
      <c r="D97" s="84">
        <f t="shared" si="11"/>
        <v>419012901.29999995</v>
      </c>
      <c r="E97" s="84">
        <f t="shared" si="11"/>
        <v>419012901.29999995</v>
      </c>
    </row>
    <row r="98" spans="2:5" ht="14.25" hidden="1" x14ac:dyDescent="0.2">
      <c r="B98" s="85" t="s">
        <v>238</v>
      </c>
      <c r="C98" s="84">
        <f t="shared" si="11"/>
        <v>120162321.16000001</v>
      </c>
      <c r="D98" s="84">
        <f t="shared" si="11"/>
        <v>120162321.16000001</v>
      </c>
      <c r="E98" s="84">
        <f t="shared" si="11"/>
        <v>120162321.16000001</v>
      </c>
    </row>
    <row r="99" spans="2:5" ht="14.25" hidden="1" x14ac:dyDescent="0.2">
      <c r="B99" s="85" t="s">
        <v>234</v>
      </c>
      <c r="C99" s="84">
        <f t="shared" si="11"/>
        <v>416560434.63999999</v>
      </c>
      <c r="D99" s="84">
        <f t="shared" si="11"/>
        <v>416560434.63999999</v>
      </c>
      <c r="E99" s="84">
        <f t="shared" si="11"/>
        <v>416560434.63999999</v>
      </c>
    </row>
    <row r="100" spans="2:5" ht="14.25" hidden="1" x14ac:dyDescent="0.2">
      <c r="B100" s="85" t="s">
        <v>235</v>
      </c>
      <c r="C100" s="84">
        <f t="shared" si="11"/>
        <v>235043721.07999995</v>
      </c>
      <c r="D100" s="84">
        <f t="shared" si="11"/>
        <v>235043721.07999995</v>
      </c>
      <c r="E100" s="84">
        <f t="shared" si="11"/>
        <v>235043721.07999995</v>
      </c>
    </row>
    <row r="101" spans="2:5" hidden="1" x14ac:dyDescent="0.25"/>
    <row r="102" spans="2:5" hidden="1" x14ac:dyDescent="0.25">
      <c r="B102" s="2" t="s">
        <v>377</v>
      </c>
    </row>
    <row r="103" spans="2:5" ht="14.25" hidden="1" x14ac:dyDescent="0.2">
      <c r="B103" s="85" t="s">
        <v>236</v>
      </c>
      <c r="C103" s="84">
        <f>C38*C30*C29</f>
        <v>242324214.44</v>
      </c>
      <c r="D103" s="84">
        <f t="shared" ref="D103:E103" si="12">D38*D30*D29</f>
        <v>242324214.44</v>
      </c>
      <c r="E103" s="84">
        <f t="shared" si="12"/>
        <v>242324214.44</v>
      </c>
    </row>
    <row r="104" spans="2:5" hidden="1" x14ac:dyDescent="0.25"/>
    <row r="105" spans="2:5" hidden="1" x14ac:dyDescent="0.25">
      <c r="B105" s="2" t="s">
        <v>378</v>
      </c>
    </row>
    <row r="106" spans="2:5" ht="14.25" hidden="1" x14ac:dyDescent="0.2">
      <c r="B106" s="85" t="s">
        <v>237</v>
      </c>
      <c r="C106" s="84">
        <f>C29*C31*C39</f>
        <v>9398418.766417671</v>
      </c>
      <c r="D106" s="84">
        <f t="shared" ref="D106:E106" si="13">D29*D31*D39</f>
        <v>9398418.766417671</v>
      </c>
      <c r="E106" s="84">
        <f t="shared" si="13"/>
        <v>9398418.766417671</v>
      </c>
    </row>
    <row r="107" spans="2:5" hidden="1" x14ac:dyDescent="0.25"/>
    <row r="108" spans="2:5" hidden="1" x14ac:dyDescent="0.25">
      <c r="B108" s="2" t="s">
        <v>241</v>
      </c>
    </row>
    <row r="109" spans="2:5" hidden="1" x14ac:dyDescent="0.25"/>
    <row r="110" spans="2:5" hidden="1" x14ac:dyDescent="0.25">
      <c r="B110" s="3" t="s">
        <v>379</v>
      </c>
    </row>
    <row r="111" spans="2:5" ht="14.25" hidden="1" x14ac:dyDescent="0.2">
      <c r="B111" s="19" t="s">
        <v>244</v>
      </c>
      <c r="C111" s="83">
        <f>VLOOKUP(C41,Q_0to4_split_by4,2,FALSE)*2</f>
        <v>1310865.4722134266</v>
      </c>
      <c r="D111" s="83">
        <f>VLOOKUP(D41,Q_0to4_split_by4,2,FALSE)*2</f>
        <v>1310865.4722134266</v>
      </c>
      <c r="E111" s="83">
        <f>VLOOKUP(E41,Q_0to4_split_by4,2,FALSE)*2</f>
        <v>1310865.4722134266</v>
      </c>
    </row>
    <row r="112" spans="2:5" ht="14.25" hidden="1" x14ac:dyDescent="0.2">
      <c r="B112" s="19" t="s">
        <v>245</v>
      </c>
      <c r="C112" s="83">
        <f>VLOOKUP(C41,Q_2to6,2,FALSE)</f>
        <v>3223426.0100224279</v>
      </c>
      <c r="D112" s="83">
        <f>VLOOKUP(D41,Q_2to6,2,FALSE)</f>
        <v>3223426.0100224279</v>
      </c>
      <c r="E112" s="83">
        <f>VLOOKUP(E41,Q_2to6,2,FALSE)</f>
        <v>3223426.0100224279</v>
      </c>
    </row>
    <row r="113" spans="2:5" hidden="1" x14ac:dyDescent="0.25"/>
    <row r="114" spans="2:5" ht="14.25" x14ac:dyDescent="0.2">
      <c r="B114" s="3" t="s">
        <v>380</v>
      </c>
      <c r="C114" s="78">
        <f>C111*C43*C45+C112*C44*C45</f>
        <v>23941059.026205312</v>
      </c>
      <c r="D114" s="78">
        <f t="shared" ref="D114:E114" si="14">D111*D43*D45+D112*D44*D45</f>
        <v>23941059.026205312</v>
      </c>
      <c r="E114" s="78">
        <f t="shared" si="14"/>
        <v>23941059.026205312</v>
      </c>
    </row>
  </sheetData>
  <sheetProtection sheet="1" objects="1" scenarios="1"/>
  <pageMargins left="0.7" right="0.7" top="0.75" bottom="0.75" header="0.3" footer="0.3"/>
  <pageSetup paperSize="9" scale="7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2"/>
  <sheetViews>
    <sheetView showGridLines="0" topLeftCell="A40" workbookViewId="0">
      <selection activeCell="D65" sqref="D65"/>
    </sheetView>
  </sheetViews>
  <sheetFormatPr defaultRowHeight="12.75" x14ac:dyDescent="0.2"/>
  <cols>
    <col min="1" max="1" width="40.28515625" style="30" customWidth="1"/>
    <col min="2" max="2" width="11.7109375" style="30" bestFit="1" customWidth="1"/>
    <col min="3" max="3" width="22" style="30" customWidth="1"/>
    <col min="4" max="4" width="13.140625" style="30" customWidth="1"/>
    <col min="5" max="5" width="10" style="30" bestFit="1" customWidth="1"/>
    <col min="6" max="6" width="9" style="30" bestFit="1" customWidth="1"/>
    <col min="7" max="7" width="14.140625" style="30" bestFit="1" customWidth="1"/>
    <col min="8" max="8" width="9" style="30" bestFit="1" customWidth="1"/>
    <col min="9" max="9" width="12.42578125" style="30" bestFit="1" customWidth="1"/>
    <col min="10" max="10" width="14.140625" style="30" bestFit="1" customWidth="1"/>
    <col min="11" max="11" width="11.140625" style="30" bestFit="1" customWidth="1"/>
    <col min="12" max="12" width="13.5703125" style="30" bestFit="1" customWidth="1"/>
    <col min="13" max="13" width="12.85546875" style="30" bestFit="1" customWidth="1"/>
    <col min="14" max="15" width="10.42578125" style="30" bestFit="1" customWidth="1"/>
    <col min="16" max="16384" width="9.140625" style="30"/>
  </cols>
  <sheetData>
    <row r="1" spans="1:13" x14ac:dyDescent="0.2">
      <c r="A1" s="31"/>
    </row>
    <row r="2" spans="1:13" x14ac:dyDescent="0.2">
      <c r="D2" s="30" t="s">
        <v>268</v>
      </c>
      <c r="E2" s="30" t="s">
        <v>269</v>
      </c>
      <c r="F2" s="30" t="s">
        <v>270</v>
      </c>
      <c r="G2" s="30" t="s">
        <v>271</v>
      </c>
      <c r="H2" s="30" t="s">
        <v>272</v>
      </c>
      <c r="I2" s="30" t="s">
        <v>273</v>
      </c>
      <c r="J2" s="30" t="s">
        <v>274</v>
      </c>
      <c r="K2" s="30" t="s">
        <v>275</v>
      </c>
      <c r="L2" s="30" t="s">
        <v>276</v>
      </c>
      <c r="M2" s="30" t="s">
        <v>277</v>
      </c>
    </row>
    <row r="3" spans="1:13" x14ac:dyDescent="0.2">
      <c r="A3" s="36" t="s">
        <v>278</v>
      </c>
      <c r="B3" s="37">
        <v>1</v>
      </c>
      <c r="C3" s="37" t="s">
        <v>279</v>
      </c>
      <c r="D3" s="37"/>
      <c r="E3" s="37"/>
      <c r="F3" s="37"/>
      <c r="G3" s="37"/>
      <c r="H3" s="37"/>
      <c r="I3" s="37"/>
      <c r="J3" s="37"/>
      <c r="K3" s="37"/>
      <c r="L3" s="37"/>
      <c r="M3" s="38"/>
    </row>
    <row r="4" spans="1:13" x14ac:dyDescent="0.2">
      <c r="A4" s="39"/>
      <c r="B4" s="40"/>
      <c r="C4" s="40" t="s">
        <v>280</v>
      </c>
      <c r="D4" s="41">
        <f>D111*IES!C$15/100</f>
        <v>203632.07530850521</v>
      </c>
      <c r="E4" s="41">
        <f>E111*IES!D$15/100</f>
        <v>50891.133000867121</v>
      </c>
      <c r="F4" s="41">
        <f>F111*IES!E$15/100</f>
        <v>144944.91173370759</v>
      </c>
      <c r="G4" s="41">
        <f>G111*IES!F$15/100</f>
        <v>258899.74395771176</v>
      </c>
      <c r="H4" s="41">
        <f>H111*IES!G$15/100</f>
        <v>179471.88068388094</v>
      </c>
      <c r="I4" s="41">
        <f>I111*IES!H$15/100</f>
        <v>102829.13331674757</v>
      </c>
      <c r="J4" s="41">
        <f>J111*IES!I$15/100</f>
        <v>25077.191787814278</v>
      </c>
      <c r="K4" s="41">
        <f>K111*IES!J$15/100</f>
        <v>95323.964643798856</v>
      </c>
      <c r="L4" s="41">
        <f>L111*IES!K$15/100</f>
        <v>45818.727661111254</v>
      </c>
      <c r="M4" s="42">
        <f>SUM(D4:L4)</f>
        <v>1106888.7620941445</v>
      </c>
    </row>
    <row r="5" spans="1:13" x14ac:dyDescent="0.2">
      <c r="A5" s="43"/>
      <c r="B5" s="44"/>
      <c r="C5" s="45" t="s">
        <v>281</v>
      </c>
      <c r="D5" s="46">
        <f>D112*IES!C$15/100</f>
        <v>200218.52337478576</v>
      </c>
      <c r="E5" s="46">
        <f>E112*IES!D$15/100</f>
        <v>49959.0356974034</v>
      </c>
      <c r="F5" s="46">
        <f>F112*IES!E$15/100</f>
        <v>139786.49763361749</v>
      </c>
      <c r="G5" s="46">
        <f>G112*IES!F$15/100</f>
        <v>251637.82594941676</v>
      </c>
      <c r="H5" s="46">
        <f>H112*IES!G$15/100</f>
        <v>160279.4060725492</v>
      </c>
      <c r="I5" s="46">
        <f>I112*IES!H$15/100</f>
        <v>96477.611554272153</v>
      </c>
      <c r="J5" s="46">
        <f>J112*IES!I$15/100</f>
        <v>24174.776065105722</v>
      </c>
      <c r="K5" s="46">
        <f>K112*IES!J$15/100</f>
        <v>91812.714276293758</v>
      </c>
      <c r="L5" s="46">
        <f>L112*IES!K$15/100</f>
        <v>45688.770147727169</v>
      </c>
      <c r="M5" s="47">
        <f>SUM(D5:L5)</f>
        <v>1060035.1607711713</v>
      </c>
    </row>
    <row r="6" spans="1:13" x14ac:dyDescent="0.2">
      <c r="A6" s="36" t="s">
        <v>278</v>
      </c>
      <c r="B6" s="37">
        <v>2</v>
      </c>
      <c r="C6" s="37" t="s">
        <v>279</v>
      </c>
      <c r="D6" s="37"/>
      <c r="E6" s="37"/>
      <c r="F6" s="37"/>
      <c r="G6" s="37"/>
      <c r="H6" s="37"/>
      <c r="I6" s="37"/>
      <c r="J6" s="37"/>
      <c r="K6" s="37"/>
      <c r="L6" s="37"/>
      <c r="M6" s="38"/>
    </row>
    <row r="7" spans="1:13" x14ac:dyDescent="0.2">
      <c r="A7" s="39"/>
      <c r="B7" s="40"/>
      <c r="C7" s="40" t="s">
        <v>280</v>
      </c>
      <c r="D7" s="41">
        <f>D111*IES!C$16/100</f>
        <v>184455.57021573395</v>
      </c>
      <c r="E7" s="41">
        <f>E111*IES!D$16/100</f>
        <v>51781.93350964917</v>
      </c>
      <c r="F7" s="41">
        <f>F111*IES!E$16/100</f>
        <v>151067.6062059442</v>
      </c>
      <c r="G7" s="41">
        <f>G111*IES!F$16/100</f>
        <v>272076.79608583986</v>
      </c>
      <c r="H7" s="41">
        <f>H111*IES!G$16/100</f>
        <v>156596.36455011909</v>
      </c>
      <c r="I7" s="41">
        <f>I111*IES!H$16/100</f>
        <v>107251.93427475663</v>
      </c>
      <c r="J7" s="41">
        <f>J111*IES!I$16/100</f>
        <v>22455.264752733685</v>
      </c>
      <c r="K7" s="41">
        <f>K111*IES!J$16/100</f>
        <v>83006.132392454543</v>
      </c>
      <c r="L7" s="41">
        <f>L111*IES!K$16/100</f>
        <v>70516.336802028338</v>
      </c>
      <c r="M7" s="42">
        <f>SUM(D7:L7)</f>
        <v>1099207.9387892594</v>
      </c>
    </row>
    <row r="8" spans="1:13" x14ac:dyDescent="0.2">
      <c r="A8" s="43"/>
      <c r="B8" s="44"/>
      <c r="C8" s="45" t="s">
        <v>281</v>
      </c>
      <c r="D8" s="46">
        <f>D112*IES!C$16/100</f>
        <v>181363.48038930894</v>
      </c>
      <c r="E8" s="46">
        <f>E112*IES!D$16/100</f>
        <v>50833.520736216531</v>
      </c>
      <c r="F8" s="46">
        <f>F112*IES!E$16/100</f>
        <v>145691.29281488655</v>
      </c>
      <c r="G8" s="46">
        <f>G112*IES!F$16/100</f>
        <v>264445.27295286336</v>
      </c>
      <c r="H8" s="46">
        <f>H112*IES!G$16/100</f>
        <v>139850.16598462459</v>
      </c>
      <c r="I8" s="46">
        <f>I112*IES!H$16/100</f>
        <v>100627.22615322324</v>
      </c>
      <c r="J8" s="46">
        <f>J112*IES!I$16/100</f>
        <v>21647.200431101905</v>
      </c>
      <c r="K8" s="46">
        <f>K112*IES!J$16/100</f>
        <v>79948.608358941274</v>
      </c>
      <c r="L8" s="46">
        <f>L112*IES!K$16/100</f>
        <v>70316.328459336539</v>
      </c>
      <c r="M8" s="47">
        <f>SUM(D8:L8)</f>
        <v>1054723.0962805029</v>
      </c>
    </row>
    <row r="9" spans="1:13" x14ac:dyDescent="0.2">
      <c r="A9" s="36" t="s">
        <v>278</v>
      </c>
      <c r="B9" s="37">
        <v>3</v>
      </c>
      <c r="C9" s="37" t="s">
        <v>279</v>
      </c>
      <c r="D9" s="37"/>
      <c r="E9" s="37"/>
      <c r="F9" s="37"/>
      <c r="G9" s="37"/>
      <c r="H9" s="37"/>
      <c r="I9" s="37"/>
      <c r="J9" s="37"/>
      <c r="K9" s="37"/>
      <c r="L9" s="37"/>
      <c r="M9" s="38"/>
    </row>
    <row r="10" spans="1:13" x14ac:dyDescent="0.2">
      <c r="A10" s="39"/>
      <c r="B10" s="40"/>
      <c r="C10" s="40" t="s">
        <v>280</v>
      </c>
      <c r="D10" s="41">
        <f>D111*IES!C$17/100</f>
        <v>146335.26321656135</v>
      </c>
      <c r="E10" s="41">
        <f>E111*IES!D$17/100</f>
        <v>55589.453834103566</v>
      </c>
      <c r="F10" s="41">
        <f>F111*IES!E$17/100</f>
        <v>183260.15321080736</v>
      </c>
      <c r="G10" s="41">
        <f>G111*IES!F$17/100</f>
        <v>236589.11580248494</v>
      </c>
      <c r="H10" s="41">
        <f>H111*IES!G$17/100</f>
        <v>154073.0571128696</v>
      </c>
      <c r="I10" s="41">
        <f>I111*IES!H$17/100</f>
        <v>95589.496244822367</v>
      </c>
      <c r="J10" s="41">
        <f>J111*IES!I$17/100</f>
        <v>24167.714560820659</v>
      </c>
      <c r="K10" s="41">
        <f>K111*IES!J$17/100</f>
        <v>77306.773928014445</v>
      </c>
      <c r="L10" s="41">
        <f>L111*IES!K$17/100</f>
        <v>98155.951739678378</v>
      </c>
      <c r="M10" s="42">
        <f>SUM(D10:L10)</f>
        <v>1071066.9796501626</v>
      </c>
    </row>
    <row r="11" spans="1:13" x14ac:dyDescent="0.2">
      <c r="A11" s="43"/>
      <c r="B11" s="44"/>
      <c r="C11" s="45" t="s">
        <v>281</v>
      </c>
      <c r="D11" s="46">
        <f>D112*IES!C$17/100</f>
        <v>143882.19672412664</v>
      </c>
      <c r="E11" s="46">
        <f>E112*IES!D$17/100</f>
        <v>54571.30436553296</v>
      </c>
      <c r="F11" s="46">
        <f>F112*IES!E$17/100</f>
        <v>176738.14600820848</v>
      </c>
      <c r="G11" s="46">
        <f>G112*IES!F$17/100</f>
        <v>229952.99197189018</v>
      </c>
      <c r="H11" s="46">
        <f>H112*IES!G$17/100</f>
        <v>137596.69755358298</v>
      </c>
      <c r="I11" s="46">
        <f>I112*IES!H$17/100</f>
        <v>89685.150403524021</v>
      </c>
      <c r="J11" s="46">
        <f>J112*IES!I$17/100</f>
        <v>23298.026846735589</v>
      </c>
      <c r="K11" s="46">
        <f>K112*IES!J$17/100</f>
        <v>74459.185292987677</v>
      </c>
      <c r="L11" s="46">
        <f>L112*IES!K$17/100</f>
        <v>97877.5480374568</v>
      </c>
      <c r="M11" s="47">
        <f>SUM(D11:L11)</f>
        <v>1028061.2472040453</v>
      </c>
    </row>
    <row r="12" spans="1:13" x14ac:dyDescent="0.2">
      <c r="A12" s="36" t="s">
        <v>278</v>
      </c>
      <c r="B12" s="37">
        <v>4</v>
      </c>
      <c r="C12" s="37" t="s">
        <v>279</v>
      </c>
      <c r="D12" s="37"/>
      <c r="E12" s="37"/>
      <c r="F12" s="37"/>
      <c r="G12" s="37"/>
      <c r="H12" s="37"/>
      <c r="I12" s="37"/>
      <c r="J12" s="37"/>
      <c r="K12" s="37"/>
      <c r="L12" s="37"/>
      <c r="M12" s="38"/>
    </row>
    <row r="13" spans="1:13" x14ac:dyDescent="0.2">
      <c r="A13" s="39"/>
      <c r="B13" s="40"/>
      <c r="C13" s="40" t="s">
        <v>280</v>
      </c>
      <c r="D13" s="41">
        <f>D111*IES!C$18/100</f>
        <v>126712.77130105479</v>
      </c>
      <c r="E13" s="41">
        <f>E111*IES!D$18/100</f>
        <v>51536.641788655979</v>
      </c>
      <c r="F13" s="41">
        <f>F111*IES!E$18/100</f>
        <v>224589.77188191388</v>
      </c>
      <c r="G13" s="41">
        <f>G111*IES!F$18/100</f>
        <v>219248.42376529775</v>
      </c>
      <c r="H13" s="41">
        <f>H111*IES!G$18/100</f>
        <v>94844.095195657923</v>
      </c>
      <c r="I13" s="41">
        <f>I111*IES!H$18/100</f>
        <v>78701.942776054755</v>
      </c>
      <c r="J13" s="41">
        <f>J111*IES!I$18/100</f>
        <v>24914.669384750625</v>
      </c>
      <c r="K13" s="41">
        <f>K111*IES!J$18/100</f>
        <v>65587.168519336585</v>
      </c>
      <c r="L13" s="41">
        <f>L111*IES!K$18/100</f>
        <v>148727.19772729566</v>
      </c>
      <c r="M13" s="42">
        <f>SUM(D13:L13)</f>
        <v>1034862.682340018</v>
      </c>
    </row>
    <row r="14" spans="1:13" x14ac:dyDescent="0.2">
      <c r="A14" s="43"/>
      <c r="B14" s="44"/>
      <c r="C14" s="45" t="s">
        <v>281</v>
      </c>
      <c r="D14" s="46">
        <f>D112*IES!C$18/100</f>
        <v>124588.64314076197</v>
      </c>
      <c r="E14" s="46">
        <f>E112*IES!D$18/100</f>
        <v>50592.721659387804</v>
      </c>
      <c r="F14" s="46">
        <f>F112*IES!E$18/100</f>
        <v>216596.89353831165</v>
      </c>
      <c r="G14" s="46">
        <f>G112*IES!F$18/100</f>
        <v>213098.69162384165</v>
      </c>
      <c r="H14" s="46">
        <f>H112*IES!G$18/100</f>
        <v>84701.598877342592</v>
      </c>
      <c r="I14" s="46">
        <f>I112*IES!H$18/100</f>
        <v>73840.702715308347</v>
      </c>
      <c r="J14" s="46">
        <f>J112*IES!I$18/100</f>
        <v>24018.102114813733</v>
      </c>
      <c r="K14" s="46">
        <f>K112*IES!J$18/100</f>
        <v>63171.270581942925</v>
      </c>
      <c r="L14" s="46">
        <f>L112*IES!K$18/100</f>
        <v>148305.35675143576</v>
      </c>
      <c r="M14" s="47">
        <f>SUM(D14:L14)</f>
        <v>998913.9810031465</v>
      </c>
    </row>
    <row r="15" spans="1:13" x14ac:dyDescent="0.2">
      <c r="A15" s="36" t="s">
        <v>278</v>
      </c>
      <c r="B15" s="37">
        <v>5</v>
      </c>
      <c r="C15" s="37" t="s">
        <v>279</v>
      </c>
      <c r="D15" s="37"/>
      <c r="E15" s="37"/>
      <c r="F15" s="37"/>
      <c r="G15" s="37"/>
      <c r="H15" s="37"/>
      <c r="I15" s="37"/>
      <c r="J15" s="37"/>
      <c r="K15" s="37"/>
      <c r="L15" s="37"/>
      <c r="M15" s="38"/>
    </row>
    <row r="16" spans="1:13" x14ac:dyDescent="0.2">
      <c r="A16" s="39"/>
      <c r="B16" s="40"/>
      <c r="C16" s="40" t="s">
        <v>280</v>
      </c>
      <c r="D16" s="41">
        <f>D111*IES!C$19/100</f>
        <v>84737.340392984523</v>
      </c>
      <c r="E16" s="41">
        <f>E111*IES!D$19/100</f>
        <v>38225.371657455282</v>
      </c>
      <c r="F16" s="41">
        <f>F111*IES!E$19/100</f>
        <v>321473.9792630414</v>
      </c>
      <c r="G16" s="41">
        <f>G111*IES!F$19/100</f>
        <v>185099.01444826342</v>
      </c>
      <c r="H16" s="41">
        <f>H111*IES!G$19/100</f>
        <v>50798.714617822021</v>
      </c>
      <c r="I16" s="41">
        <f>I111*IES!H$19/100</f>
        <v>60209.519117063355</v>
      </c>
      <c r="J16" s="41">
        <f>J111*IES!I$19/100</f>
        <v>19945.935652657834</v>
      </c>
      <c r="K16" s="41">
        <f>K111*IES!J$19/100</f>
        <v>51116.959855651949</v>
      </c>
      <c r="L16" s="41">
        <f>L111*IES!K$19/100</f>
        <v>168878.45215616468</v>
      </c>
      <c r="M16" s="42">
        <f>SUM(D16:L16)</f>
        <v>980485.2871611045</v>
      </c>
    </row>
    <row r="17" spans="1:13" x14ac:dyDescent="0.2">
      <c r="A17" s="43"/>
      <c r="B17" s="44"/>
      <c r="C17" s="45" t="s">
        <v>281</v>
      </c>
      <c r="D17" s="46">
        <f>D112*IES!C$19/100</f>
        <v>83316.860285818257</v>
      </c>
      <c r="E17" s="46">
        <f>E112*IES!D$19/100</f>
        <v>37525.254294275219</v>
      </c>
      <c r="F17" s="46">
        <f>F112*IES!E$19/100</f>
        <v>310033.10915861744</v>
      </c>
      <c r="G17" s="46">
        <f>G112*IES!F$19/100</f>
        <v>179907.14424479555</v>
      </c>
      <c r="H17" s="46">
        <f>H112*IES!G$19/100</f>
        <v>45366.370359346773</v>
      </c>
      <c r="I17" s="46">
        <f>I112*IES!H$19/100</f>
        <v>56490.514019527218</v>
      </c>
      <c r="J17" s="46">
        <f>J112*IES!I$19/100</f>
        <v>19228.170837147747</v>
      </c>
      <c r="K17" s="46">
        <f>K112*IES!J$19/100</f>
        <v>49234.070859693915</v>
      </c>
      <c r="L17" s="46">
        <f>L112*IES!K$19/100</f>
        <v>168399.4553610399</v>
      </c>
      <c r="M17" s="47">
        <f>SUM(D17:L17)</f>
        <v>949500.94942026213</v>
      </c>
    </row>
    <row r="18" spans="1:13" x14ac:dyDescent="0.2">
      <c r="A18" s="31"/>
      <c r="M18" s="48">
        <f>SUM(M4:M17)</f>
        <v>10383746.084713817</v>
      </c>
    </row>
    <row r="19" spans="1:13" x14ac:dyDescent="0.2">
      <c r="A19" s="31" t="s">
        <v>780</v>
      </c>
      <c r="C19" s="30" t="s">
        <v>781</v>
      </c>
    </row>
    <row r="20" spans="1:13" x14ac:dyDescent="0.2">
      <c r="A20" s="31"/>
      <c r="B20" s="30">
        <v>1</v>
      </c>
      <c r="C20" s="89">
        <f>M20</f>
        <v>221377.7524188289</v>
      </c>
      <c r="D20" s="41">
        <f>D4/5</f>
        <v>40726.415061701045</v>
      </c>
      <c r="E20" s="41">
        <f t="shared" ref="E20:L20" si="0">E4/5</f>
        <v>10178.226600173424</v>
      </c>
      <c r="F20" s="41">
        <f t="shared" si="0"/>
        <v>28988.982346741519</v>
      </c>
      <c r="G20" s="41">
        <f t="shared" si="0"/>
        <v>51779.948791542352</v>
      </c>
      <c r="H20" s="41">
        <f t="shared" si="0"/>
        <v>35894.376136776191</v>
      </c>
      <c r="I20" s="41">
        <f t="shared" si="0"/>
        <v>20565.826663349515</v>
      </c>
      <c r="J20" s="41">
        <f t="shared" si="0"/>
        <v>5015.4383575628553</v>
      </c>
      <c r="K20" s="41">
        <f t="shared" si="0"/>
        <v>19064.792928759773</v>
      </c>
      <c r="L20" s="41">
        <f t="shared" si="0"/>
        <v>9163.7455322222504</v>
      </c>
      <c r="M20" s="41">
        <f>SUM(D20:L20)</f>
        <v>221377.7524188289</v>
      </c>
    </row>
    <row r="21" spans="1:13" x14ac:dyDescent="0.2">
      <c r="A21" s="31"/>
      <c r="B21" s="30">
        <v>2</v>
      </c>
      <c r="C21" s="89">
        <f>C20+M21</f>
        <v>441219.34017668082</v>
      </c>
      <c r="D21" s="41">
        <f>D7/5</f>
        <v>36891.114043146794</v>
      </c>
      <c r="E21" s="41">
        <f t="shared" ref="E21:L21" si="1">E7/5</f>
        <v>10356.386701929834</v>
      </c>
      <c r="F21" s="41">
        <f t="shared" si="1"/>
        <v>30213.521241188842</v>
      </c>
      <c r="G21" s="41">
        <f t="shared" si="1"/>
        <v>54415.35921716797</v>
      </c>
      <c r="H21" s="41">
        <f t="shared" si="1"/>
        <v>31319.272910023818</v>
      </c>
      <c r="I21" s="41">
        <f t="shared" si="1"/>
        <v>21450.386854951324</v>
      </c>
      <c r="J21" s="41">
        <f t="shared" si="1"/>
        <v>4491.0529505467366</v>
      </c>
      <c r="K21" s="41">
        <f t="shared" si="1"/>
        <v>16601.226478490909</v>
      </c>
      <c r="L21" s="41">
        <f t="shared" si="1"/>
        <v>14103.267360405667</v>
      </c>
      <c r="M21" s="41">
        <f t="shared" ref="M21:M24" si="2">SUM(D21:L21)</f>
        <v>219841.5877578519</v>
      </c>
    </row>
    <row r="22" spans="1:13" x14ac:dyDescent="0.2">
      <c r="A22" s="31"/>
      <c r="B22" s="30">
        <v>3</v>
      </c>
      <c r="C22" s="89">
        <f t="shared" ref="C22:C24" si="3">C21+M22</f>
        <v>655432.7361067133</v>
      </c>
      <c r="D22" s="41">
        <f>D10/5</f>
        <v>29267.052643312269</v>
      </c>
      <c r="E22" s="41">
        <f t="shared" ref="E22:L22" si="4">E10/5</f>
        <v>11117.890766820714</v>
      </c>
      <c r="F22" s="41">
        <f t="shared" si="4"/>
        <v>36652.030642161473</v>
      </c>
      <c r="G22" s="41">
        <f t="shared" si="4"/>
        <v>47317.823160496991</v>
      </c>
      <c r="H22" s="41">
        <f t="shared" si="4"/>
        <v>30814.611422573922</v>
      </c>
      <c r="I22" s="41">
        <f t="shared" si="4"/>
        <v>19117.899248964473</v>
      </c>
      <c r="J22" s="41">
        <f t="shared" si="4"/>
        <v>4833.5429121641318</v>
      </c>
      <c r="K22" s="41">
        <f t="shared" si="4"/>
        <v>15461.354785602889</v>
      </c>
      <c r="L22" s="41">
        <f t="shared" si="4"/>
        <v>19631.190347935677</v>
      </c>
      <c r="M22" s="41">
        <f t="shared" si="2"/>
        <v>214213.39593003254</v>
      </c>
    </row>
    <row r="23" spans="1:13" x14ac:dyDescent="0.2">
      <c r="B23" s="30">
        <v>4</v>
      </c>
      <c r="C23" s="89">
        <f t="shared" si="3"/>
        <v>862405.27257471695</v>
      </c>
      <c r="D23" s="41">
        <f>D13/5</f>
        <v>25342.554260210956</v>
      </c>
      <c r="E23" s="41">
        <f t="shared" ref="E23:L23" si="5">E13/5</f>
        <v>10307.328357731196</v>
      </c>
      <c r="F23" s="41">
        <f t="shared" si="5"/>
        <v>44917.954376382775</v>
      </c>
      <c r="G23" s="41">
        <f t="shared" si="5"/>
        <v>43849.684753059548</v>
      </c>
      <c r="H23" s="41">
        <f t="shared" si="5"/>
        <v>18968.819039131584</v>
      </c>
      <c r="I23" s="41">
        <f t="shared" si="5"/>
        <v>15740.388555210951</v>
      </c>
      <c r="J23" s="41">
        <f t="shared" si="5"/>
        <v>4982.9338769501246</v>
      </c>
      <c r="K23" s="41">
        <f t="shared" si="5"/>
        <v>13117.433703867317</v>
      </c>
      <c r="L23" s="41">
        <f t="shared" si="5"/>
        <v>29745.439545459132</v>
      </c>
      <c r="M23" s="41">
        <f t="shared" si="2"/>
        <v>206972.53646800359</v>
      </c>
    </row>
    <row r="24" spans="1:13" x14ac:dyDescent="0.2">
      <c r="B24" s="30">
        <v>5</v>
      </c>
      <c r="C24" s="89">
        <f t="shared" si="3"/>
        <v>1058502.3300069377</v>
      </c>
      <c r="D24" s="41">
        <f>D16/5</f>
        <v>16947.468078596903</v>
      </c>
      <c r="E24" s="41">
        <f t="shared" ref="E24:L24" si="6">E16/5</f>
        <v>7645.074331491056</v>
      </c>
      <c r="F24" s="41">
        <f t="shared" si="6"/>
        <v>64294.79585260828</v>
      </c>
      <c r="G24" s="41">
        <f t="shared" si="6"/>
        <v>37019.802889652681</v>
      </c>
      <c r="H24" s="41">
        <f t="shared" si="6"/>
        <v>10159.742923564405</v>
      </c>
      <c r="I24" s="41">
        <f t="shared" si="6"/>
        <v>12041.903823412671</v>
      </c>
      <c r="J24" s="41">
        <f t="shared" si="6"/>
        <v>3989.1871305315667</v>
      </c>
      <c r="K24" s="41">
        <f t="shared" si="6"/>
        <v>10223.39197113039</v>
      </c>
      <c r="L24" s="41">
        <f t="shared" si="6"/>
        <v>33775.690431232935</v>
      </c>
      <c r="M24" s="41">
        <f t="shared" si="2"/>
        <v>196097.05743222087</v>
      </c>
    </row>
    <row r="25" spans="1:13" x14ac:dyDescent="0.2">
      <c r="D25" s="49"/>
      <c r="E25" s="49"/>
      <c r="F25" s="49"/>
      <c r="G25" s="49"/>
      <c r="H25" s="49"/>
      <c r="I25" s="49"/>
      <c r="J25" s="49"/>
      <c r="K25" s="49"/>
      <c r="L25" s="49"/>
      <c r="M25" s="50">
        <f>SUM(M20:M24)</f>
        <v>1058502.3300069377</v>
      </c>
    </row>
    <row r="26" spans="1:13" x14ac:dyDescent="0.2">
      <c r="A26" s="31" t="s">
        <v>282</v>
      </c>
    </row>
    <row r="27" spans="1:13" x14ac:dyDescent="0.2">
      <c r="A27" s="31"/>
      <c r="B27" s="30">
        <v>1</v>
      </c>
      <c r="C27" s="89">
        <f>M27</f>
        <v>212007.03215423427</v>
      </c>
      <c r="D27" s="41">
        <f>D5/5</f>
        <v>40043.704674957153</v>
      </c>
      <c r="E27" s="41">
        <f t="shared" ref="E27:L27" si="7">E5/5</f>
        <v>9991.8071394806793</v>
      </c>
      <c r="F27" s="41">
        <f t="shared" si="7"/>
        <v>27957.299526723498</v>
      </c>
      <c r="G27" s="41">
        <f t="shared" si="7"/>
        <v>50327.565189883353</v>
      </c>
      <c r="H27" s="41">
        <f t="shared" si="7"/>
        <v>32055.881214509842</v>
      </c>
      <c r="I27" s="41">
        <f t="shared" si="7"/>
        <v>19295.522310854431</v>
      </c>
      <c r="J27" s="41">
        <f t="shared" si="7"/>
        <v>4834.9552130211441</v>
      </c>
      <c r="K27" s="41">
        <f t="shared" si="7"/>
        <v>18362.542855258751</v>
      </c>
      <c r="L27" s="41">
        <f t="shared" si="7"/>
        <v>9137.7540295454346</v>
      </c>
      <c r="M27" s="41">
        <f>SUM(D27:L27)</f>
        <v>212007.03215423427</v>
      </c>
    </row>
    <row r="28" spans="1:13" x14ac:dyDescent="0.2">
      <c r="A28" s="31"/>
      <c r="B28" s="30">
        <v>2</v>
      </c>
      <c r="C28" s="89">
        <f>C27+M28</f>
        <v>422951.65141033486</v>
      </c>
      <c r="D28" s="41">
        <f>D8/5</f>
        <v>36272.696077861787</v>
      </c>
      <c r="E28" s="41">
        <f t="shared" ref="E28:L28" si="8">E8/5</f>
        <v>10166.704147243307</v>
      </c>
      <c r="F28" s="41">
        <f t="shared" si="8"/>
        <v>29138.258562977309</v>
      </c>
      <c r="G28" s="41">
        <f t="shared" si="8"/>
        <v>52889.054590572676</v>
      </c>
      <c r="H28" s="41">
        <f t="shared" si="8"/>
        <v>27970.033196924916</v>
      </c>
      <c r="I28" s="41">
        <f t="shared" si="8"/>
        <v>20125.445230644647</v>
      </c>
      <c r="J28" s="41">
        <f t="shared" si="8"/>
        <v>4329.4400862203811</v>
      </c>
      <c r="K28" s="41">
        <f t="shared" si="8"/>
        <v>15989.721671788255</v>
      </c>
      <c r="L28" s="41">
        <f t="shared" si="8"/>
        <v>14063.265691867307</v>
      </c>
      <c r="M28" s="41">
        <f t="shared" ref="M28:M31" si="9">SUM(D28:L28)</f>
        <v>210944.61925610059</v>
      </c>
    </row>
    <row r="29" spans="1:13" x14ac:dyDescent="0.2">
      <c r="A29" s="31"/>
      <c r="B29" s="30">
        <v>3</v>
      </c>
      <c r="C29" s="89">
        <f t="shared" ref="C29:C31" si="10">C28+M29</f>
        <v>628563.90085114399</v>
      </c>
      <c r="D29" s="41">
        <f>D11/5</f>
        <v>28776.439344825329</v>
      </c>
      <c r="E29" s="41">
        <f t="shared" ref="E29:L29" si="11">E11/5</f>
        <v>10914.260873106592</v>
      </c>
      <c r="F29" s="41">
        <f t="shared" si="11"/>
        <v>35347.629201641699</v>
      </c>
      <c r="G29" s="41">
        <f t="shared" si="11"/>
        <v>45990.598394378037</v>
      </c>
      <c r="H29" s="41">
        <f t="shared" si="11"/>
        <v>27519.339510716596</v>
      </c>
      <c r="I29" s="41">
        <f t="shared" si="11"/>
        <v>17937.030080704804</v>
      </c>
      <c r="J29" s="41">
        <f t="shared" si="11"/>
        <v>4659.6053693471176</v>
      </c>
      <c r="K29" s="41">
        <f t="shared" si="11"/>
        <v>14891.837058597535</v>
      </c>
      <c r="L29" s="41">
        <f t="shared" si="11"/>
        <v>19575.50960749136</v>
      </c>
      <c r="M29" s="41">
        <f t="shared" si="9"/>
        <v>205612.24944080907</v>
      </c>
    </row>
    <row r="30" spans="1:13" x14ac:dyDescent="0.2">
      <c r="B30" s="30">
        <v>4</v>
      </c>
      <c r="C30" s="89">
        <f t="shared" si="10"/>
        <v>828346.69705177331</v>
      </c>
      <c r="D30" s="41">
        <f>D14/5</f>
        <v>24917.728628152392</v>
      </c>
      <c r="E30" s="41">
        <f t="shared" ref="E30:L30" si="12">E14/5</f>
        <v>10118.544331877561</v>
      </c>
      <c r="F30" s="41">
        <f t="shared" si="12"/>
        <v>43319.378707662327</v>
      </c>
      <c r="G30" s="41">
        <f t="shared" si="12"/>
        <v>42619.738324768332</v>
      </c>
      <c r="H30" s="41">
        <f t="shared" si="12"/>
        <v>16940.319775468517</v>
      </c>
      <c r="I30" s="41">
        <f t="shared" si="12"/>
        <v>14768.140543061669</v>
      </c>
      <c r="J30" s="41">
        <f t="shared" si="12"/>
        <v>4803.6204229627465</v>
      </c>
      <c r="K30" s="41">
        <f t="shared" si="12"/>
        <v>12634.254116388585</v>
      </c>
      <c r="L30" s="41">
        <f t="shared" si="12"/>
        <v>29661.071350287151</v>
      </c>
      <c r="M30" s="41">
        <f t="shared" si="9"/>
        <v>199782.79620062927</v>
      </c>
    </row>
    <row r="31" spans="1:13" x14ac:dyDescent="0.2">
      <c r="B31" s="30">
        <v>5</v>
      </c>
      <c r="C31" s="89">
        <f t="shared" si="10"/>
        <v>1018246.8869358257</v>
      </c>
      <c r="D31" s="41">
        <f>D17/5</f>
        <v>16663.372057163651</v>
      </c>
      <c r="E31" s="41">
        <f t="shared" ref="E31:L31" si="13">E17/5</f>
        <v>7505.0508588550438</v>
      </c>
      <c r="F31" s="41">
        <f t="shared" si="13"/>
        <v>62006.621831723489</v>
      </c>
      <c r="G31" s="41">
        <f t="shared" si="13"/>
        <v>35981.428848959113</v>
      </c>
      <c r="H31" s="41">
        <f t="shared" si="13"/>
        <v>9073.2740718693549</v>
      </c>
      <c r="I31" s="41">
        <f t="shared" si="13"/>
        <v>11298.102803905444</v>
      </c>
      <c r="J31" s="41">
        <f t="shared" si="13"/>
        <v>3845.6341674295495</v>
      </c>
      <c r="K31" s="41">
        <f t="shared" si="13"/>
        <v>9846.8141719387822</v>
      </c>
      <c r="L31" s="41">
        <f t="shared" si="13"/>
        <v>33679.891072207982</v>
      </c>
      <c r="M31" s="41">
        <f t="shared" si="9"/>
        <v>189900.18988405241</v>
      </c>
    </row>
    <row r="32" spans="1:13" x14ac:dyDescent="0.2">
      <c r="D32" s="49"/>
      <c r="E32" s="49"/>
      <c r="F32" s="49"/>
      <c r="G32" s="49"/>
      <c r="H32" s="49"/>
      <c r="I32" s="49"/>
      <c r="J32" s="49"/>
      <c r="K32" s="49"/>
      <c r="L32" s="49"/>
      <c r="M32" s="50">
        <f>SUM(M27:M31)</f>
        <v>1018246.8869358257</v>
      </c>
    </row>
    <row r="33" spans="1:13" x14ac:dyDescent="0.2">
      <c r="A33" s="31" t="s">
        <v>283</v>
      </c>
      <c r="D33" s="49"/>
      <c r="E33" s="49"/>
      <c r="F33" s="49"/>
      <c r="G33" s="49"/>
      <c r="H33" s="49"/>
      <c r="I33" s="49"/>
      <c r="J33" s="49"/>
      <c r="K33" s="49"/>
      <c r="L33" s="49"/>
      <c r="M33" s="50"/>
    </row>
    <row r="34" spans="1:13" x14ac:dyDescent="0.2">
      <c r="B34" s="30">
        <v>1</v>
      </c>
      <c r="C34" s="89">
        <f>M34</f>
        <v>1318895.7942483788</v>
      </c>
      <c r="D34" s="41">
        <f t="shared" ref="D34:L34" si="14">D27+D4</f>
        <v>243675.77998346236</v>
      </c>
      <c r="E34" s="41">
        <f t="shared" si="14"/>
        <v>60882.940140347797</v>
      </c>
      <c r="F34" s="41">
        <f t="shared" si="14"/>
        <v>172902.2112604311</v>
      </c>
      <c r="G34" s="41">
        <f t="shared" si="14"/>
        <v>309227.30914759514</v>
      </c>
      <c r="H34" s="41">
        <f t="shared" si="14"/>
        <v>211527.76189839077</v>
      </c>
      <c r="I34" s="41">
        <f t="shared" si="14"/>
        <v>122124.655627602</v>
      </c>
      <c r="J34" s="41">
        <f t="shared" si="14"/>
        <v>29912.147000835423</v>
      </c>
      <c r="K34" s="41">
        <f t="shared" si="14"/>
        <v>113686.50749905761</v>
      </c>
      <c r="L34" s="41">
        <f t="shared" si="14"/>
        <v>54956.481690656685</v>
      </c>
      <c r="M34" s="51">
        <f>SUM(D34:L34)</f>
        <v>1318895.7942483788</v>
      </c>
    </row>
    <row r="35" spans="1:13" x14ac:dyDescent="0.2">
      <c r="B35" s="30">
        <v>2</v>
      </c>
      <c r="C35" s="89">
        <f>C34+M35</f>
        <v>2629048.3522937391</v>
      </c>
      <c r="D35" s="41">
        <f t="shared" ref="D35:L35" si="15">D28+D7</f>
        <v>220728.26629359575</v>
      </c>
      <c r="E35" s="41">
        <f t="shared" si="15"/>
        <v>61948.637656892475</v>
      </c>
      <c r="F35" s="41">
        <f t="shared" si="15"/>
        <v>180205.86476892151</v>
      </c>
      <c r="G35" s="41">
        <f t="shared" si="15"/>
        <v>324965.85067641252</v>
      </c>
      <c r="H35" s="41">
        <f t="shared" si="15"/>
        <v>184566.39774704401</v>
      </c>
      <c r="I35" s="41">
        <f t="shared" si="15"/>
        <v>127377.37950540127</v>
      </c>
      <c r="J35" s="41">
        <f t="shared" si="15"/>
        <v>26784.704838954065</v>
      </c>
      <c r="K35" s="41">
        <f t="shared" si="15"/>
        <v>98995.854064242798</v>
      </c>
      <c r="L35" s="41">
        <f t="shared" si="15"/>
        <v>84579.60249389564</v>
      </c>
      <c r="M35" s="51">
        <f t="shared" ref="M35:M38" si="16">SUM(D35:L35)</f>
        <v>1310152.5580453603</v>
      </c>
    </row>
    <row r="36" spans="1:13" x14ac:dyDescent="0.2">
      <c r="B36" s="30">
        <v>3</v>
      </c>
      <c r="C36" s="89">
        <f t="shared" ref="C36:C38" si="17">C35+M36</f>
        <v>3905727.581384711</v>
      </c>
      <c r="D36" s="41">
        <f t="shared" ref="D36:L36" si="18">D10+D29</f>
        <v>175111.70256138669</v>
      </c>
      <c r="E36" s="41">
        <f t="shared" si="18"/>
        <v>66503.714707210165</v>
      </c>
      <c r="F36" s="41">
        <f t="shared" si="18"/>
        <v>218607.78241244907</v>
      </c>
      <c r="G36" s="41">
        <f t="shared" si="18"/>
        <v>282579.714196863</v>
      </c>
      <c r="H36" s="41">
        <f t="shared" si="18"/>
        <v>181592.39662358619</v>
      </c>
      <c r="I36" s="41">
        <f t="shared" si="18"/>
        <v>113526.52632552717</v>
      </c>
      <c r="J36" s="41">
        <f t="shared" si="18"/>
        <v>28827.319930167778</v>
      </c>
      <c r="K36" s="41">
        <f t="shared" si="18"/>
        <v>92198.61098661198</v>
      </c>
      <c r="L36" s="41">
        <f t="shared" si="18"/>
        <v>117731.46134716974</v>
      </c>
      <c r="M36" s="51">
        <f t="shared" si="16"/>
        <v>1276679.2290909719</v>
      </c>
    </row>
    <row r="37" spans="1:13" x14ac:dyDescent="0.2">
      <c r="B37" s="30">
        <v>4</v>
      </c>
      <c r="C37" s="89">
        <f t="shared" si="17"/>
        <v>5140373.0599253578</v>
      </c>
      <c r="D37" s="41">
        <f t="shared" ref="D37:L37" si="19">D30+D13</f>
        <v>151630.49992920717</v>
      </c>
      <c r="E37" s="41">
        <f t="shared" si="19"/>
        <v>61655.186120533544</v>
      </c>
      <c r="F37" s="41">
        <f t="shared" si="19"/>
        <v>267909.15058957622</v>
      </c>
      <c r="G37" s="41">
        <f t="shared" si="19"/>
        <v>261868.16209006606</v>
      </c>
      <c r="H37" s="41">
        <f t="shared" si="19"/>
        <v>111784.41497112645</v>
      </c>
      <c r="I37" s="41">
        <f t="shared" si="19"/>
        <v>93470.083319116427</v>
      </c>
      <c r="J37" s="41">
        <f t="shared" si="19"/>
        <v>29718.289807713372</v>
      </c>
      <c r="K37" s="41">
        <f t="shared" si="19"/>
        <v>78221.422635725175</v>
      </c>
      <c r="L37" s="41">
        <f t="shared" si="19"/>
        <v>178388.26907758281</v>
      </c>
      <c r="M37" s="51">
        <f t="shared" si="16"/>
        <v>1234645.4785406471</v>
      </c>
    </row>
    <row r="38" spans="1:13" x14ac:dyDescent="0.2">
      <c r="B38" s="30">
        <v>5</v>
      </c>
      <c r="C38" s="89">
        <f t="shared" si="17"/>
        <v>6310758.5369705148</v>
      </c>
      <c r="D38" s="41">
        <f t="shared" ref="D38:L38" si="20">D16+D31</f>
        <v>101400.71245014817</v>
      </c>
      <c r="E38" s="41">
        <f t="shared" si="20"/>
        <v>45730.422516310326</v>
      </c>
      <c r="F38" s="41">
        <f t="shared" si="20"/>
        <v>383480.60109476489</v>
      </c>
      <c r="G38" s="41">
        <f t="shared" si="20"/>
        <v>221080.44329722255</v>
      </c>
      <c r="H38" s="41">
        <f t="shared" si="20"/>
        <v>59871.988689691374</v>
      </c>
      <c r="I38" s="41">
        <f t="shared" si="20"/>
        <v>71507.621920968799</v>
      </c>
      <c r="J38" s="41">
        <f t="shared" si="20"/>
        <v>23791.569820087385</v>
      </c>
      <c r="K38" s="41">
        <f t="shared" si="20"/>
        <v>60963.774027590727</v>
      </c>
      <c r="L38" s="41">
        <f t="shared" si="20"/>
        <v>202558.34322837266</v>
      </c>
      <c r="M38" s="51">
        <f t="shared" si="16"/>
        <v>1170385.4770451568</v>
      </c>
    </row>
    <row r="39" spans="1:13" x14ac:dyDescent="0.2">
      <c r="D39" s="49"/>
      <c r="E39" s="49"/>
      <c r="F39" s="49"/>
      <c r="G39" s="49"/>
      <c r="H39" s="49"/>
      <c r="I39" s="49"/>
      <c r="J39" s="49"/>
      <c r="K39" s="49"/>
      <c r="L39" s="49"/>
      <c r="M39" s="50">
        <f>SUM(M34:M38)</f>
        <v>6310758.5369705148</v>
      </c>
    </row>
    <row r="40" spans="1:13" x14ac:dyDescent="0.2">
      <c r="A40" s="31" t="s">
        <v>782</v>
      </c>
      <c r="D40" s="49"/>
      <c r="E40" s="49"/>
      <c r="F40" s="49"/>
      <c r="G40" s="49"/>
      <c r="H40" s="49"/>
      <c r="I40" s="49"/>
      <c r="J40" s="49"/>
      <c r="K40" s="49"/>
      <c r="L40" s="49"/>
      <c r="M40" s="50"/>
    </row>
    <row r="41" spans="1:13" x14ac:dyDescent="0.2">
      <c r="B41" s="30">
        <v>1</v>
      </c>
      <c r="C41" s="89">
        <f>M41</f>
        <v>654762.53699189215</v>
      </c>
      <c r="D41" s="41">
        <f>D20*2+D27</f>
        <v>121496.53479835924</v>
      </c>
      <c r="E41" s="41">
        <f t="shared" ref="E41:L41" si="21">(E4/5)*2+E27</f>
        <v>30348.260339827528</v>
      </c>
      <c r="F41" s="41">
        <f t="shared" si="21"/>
        <v>85935.264220206533</v>
      </c>
      <c r="G41" s="41">
        <f t="shared" si="21"/>
        <v>153887.46277296805</v>
      </c>
      <c r="H41" s="41">
        <f t="shared" si="21"/>
        <v>103844.63348806222</v>
      </c>
      <c r="I41" s="41">
        <f t="shared" si="21"/>
        <v>60427.175637553461</v>
      </c>
      <c r="J41" s="41">
        <f t="shared" si="21"/>
        <v>14865.831928146854</v>
      </c>
      <c r="K41" s="41">
        <f t="shared" si="21"/>
        <v>56492.1287127783</v>
      </c>
      <c r="L41" s="41">
        <f t="shared" si="21"/>
        <v>27465.245093989935</v>
      </c>
      <c r="M41" s="51">
        <f>SUM(D41:L41)</f>
        <v>654762.53699189215</v>
      </c>
    </row>
    <row r="42" spans="1:13" x14ac:dyDescent="0.2">
      <c r="B42" s="30">
        <v>2</v>
      </c>
      <c r="C42" s="89">
        <f>C41+M42</f>
        <v>1305390.3317636964</v>
      </c>
      <c r="D42" s="41">
        <f>D21*2+D28</f>
        <v>110054.92416415538</v>
      </c>
      <c r="E42" s="41">
        <f t="shared" ref="E42:L42" si="22">(E7/5)*2+E28</f>
        <v>30879.477551102973</v>
      </c>
      <c r="F42" s="41">
        <f t="shared" si="22"/>
        <v>89565.301045354994</v>
      </c>
      <c r="G42" s="41">
        <f t="shared" si="22"/>
        <v>161719.77302490862</v>
      </c>
      <c r="H42" s="41">
        <f t="shared" si="22"/>
        <v>90608.579016972551</v>
      </c>
      <c r="I42" s="41">
        <f t="shared" si="22"/>
        <v>63026.218940547296</v>
      </c>
      <c r="J42" s="41">
        <f t="shared" si="22"/>
        <v>13311.545987313853</v>
      </c>
      <c r="K42" s="41">
        <f t="shared" si="22"/>
        <v>49192.174628770073</v>
      </c>
      <c r="L42" s="41">
        <f t="shared" si="22"/>
        <v>42269.80041267864</v>
      </c>
      <c r="M42" s="51">
        <f t="shared" ref="M42:M45" si="23">SUM(D42:L42)</f>
        <v>650627.79477180436</v>
      </c>
    </row>
    <row r="43" spans="1:13" x14ac:dyDescent="0.2">
      <c r="B43" s="30">
        <v>3</v>
      </c>
      <c r="C43" s="89">
        <f t="shared" ref="C43:C45" si="24">C42+M43</f>
        <v>1939429.3730645706</v>
      </c>
      <c r="D43" s="41">
        <f>D22*2+D29</f>
        <v>87310.544631449869</v>
      </c>
      <c r="E43" s="41">
        <f t="shared" ref="E43:L43" si="25">(E10/5)*2+E29</f>
        <v>33150.04240674802</v>
      </c>
      <c r="F43" s="41">
        <f t="shared" si="25"/>
        <v>108651.69048596465</v>
      </c>
      <c r="G43" s="41">
        <f t="shared" si="25"/>
        <v>140626.24471537201</v>
      </c>
      <c r="H43" s="41">
        <f t="shared" si="25"/>
        <v>89148.562355864444</v>
      </c>
      <c r="I43" s="41">
        <f t="shared" si="25"/>
        <v>56172.828578633751</v>
      </c>
      <c r="J43" s="41">
        <f t="shared" si="25"/>
        <v>14326.691193675382</v>
      </c>
      <c r="K43" s="41">
        <f t="shared" si="25"/>
        <v>45814.546629803313</v>
      </c>
      <c r="L43" s="41">
        <f t="shared" si="25"/>
        <v>58837.890303362714</v>
      </c>
      <c r="M43" s="51">
        <f t="shared" si="23"/>
        <v>634039.04130087409</v>
      </c>
    </row>
    <row r="44" spans="1:13" x14ac:dyDescent="0.2">
      <c r="B44" s="30">
        <v>4</v>
      </c>
      <c r="C44" s="89">
        <f t="shared" si="24"/>
        <v>2553157.2422012072</v>
      </c>
      <c r="D44" s="41">
        <f>D23*2+D30</f>
        <v>75602.837148574297</v>
      </c>
      <c r="E44" s="41">
        <f t="shared" ref="E44:L44" si="26">(E13/5)*2+E30</f>
        <v>30733.201047339953</v>
      </c>
      <c r="F44" s="41">
        <f t="shared" si="26"/>
        <v>133155.28746042788</v>
      </c>
      <c r="G44" s="41">
        <f t="shared" si="26"/>
        <v>130319.10783088743</v>
      </c>
      <c r="H44" s="41">
        <f t="shared" si="26"/>
        <v>54877.957853731685</v>
      </c>
      <c r="I44" s="41">
        <f t="shared" si="26"/>
        <v>46248.917653483571</v>
      </c>
      <c r="J44" s="41">
        <f t="shared" si="26"/>
        <v>14769.488176862997</v>
      </c>
      <c r="K44" s="41">
        <f t="shared" si="26"/>
        <v>38869.12152412322</v>
      </c>
      <c r="L44" s="41">
        <f t="shared" si="26"/>
        <v>89151.950441205408</v>
      </c>
      <c r="M44" s="51">
        <f t="shared" si="23"/>
        <v>613727.86913663649</v>
      </c>
    </row>
    <row r="45" spans="1:13" x14ac:dyDescent="0.2">
      <c r="B45" s="30">
        <v>5</v>
      </c>
      <c r="C45" s="89">
        <f t="shared" si="24"/>
        <v>3135251.5469497014</v>
      </c>
      <c r="D45" s="41">
        <f>D24*2+D31</f>
        <v>50558.308214357457</v>
      </c>
      <c r="E45" s="41">
        <f t="shared" ref="E45:L45" si="27">(E16/5)*2+E31</f>
        <v>22795.199521837156</v>
      </c>
      <c r="F45" s="41">
        <f t="shared" si="27"/>
        <v>190596.21353694005</v>
      </c>
      <c r="G45" s="41">
        <f t="shared" si="27"/>
        <v>110021.03462826448</v>
      </c>
      <c r="H45" s="41">
        <f t="shared" si="27"/>
        <v>29392.759918998163</v>
      </c>
      <c r="I45" s="41">
        <f t="shared" si="27"/>
        <v>35381.910450730786</v>
      </c>
      <c r="J45" s="41">
        <f t="shared" si="27"/>
        <v>11824.008428492683</v>
      </c>
      <c r="K45" s="41">
        <f t="shared" si="27"/>
        <v>30293.598114199562</v>
      </c>
      <c r="L45" s="41">
        <f t="shared" si="27"/>
        <v>101231.27193467386</v>
      </c>
      <c r="M45" s="51">
        <f t="shared" si="23"/>
        <v>582094.30474849429</v>
      </c>
    </row>
    <row r="46" spans="1:13" x14ac:dyDescent="0.2">
      <c r="D46" s="49"/>
      <c r="E46" s="49"/>
      <c r="F46" s="49"/>
      <c r="G46" s="49"/>
      <c r="H46" s="49"/>
      <c r="I46" s="49"/>
      <c r="J46" s="49"/>
      <c r="K46" s="49"/>
      <c r="L46" s="49"/>
      <c r="M46" s="50">
        <f>SUM(M41:M45)</f>
        <v>3135251.5469497014</v>
      </c>
    </row>
    <row r="47" spans="1:13" x14ac:dyDescent="0.2">
      <c r="A47" s="31" t="s">
        <v>783</v>
      </c>
      <c r="D47" s="49"/>
      <c r="E47" s="49"/>
      <c r="F47" s="49"/>
      <c r="G47" s="49"/>
      <c r="H47" s="49"/>
      <c r="I47" s="49"/>
      <c r="J47" s="49"/>
      <c r="K47" s="49"/>
      <c r="L47" s="49"/>
      <c r="M47" s="50"/>
    </row>
    <row r="48" spans="1:13" x14ac:dyDescent="0.2">
      <c r="B48" s="30">
        <v>1</v>
      </c>
      <c r="C48" s="89">
        <f>M48</f>
        <v>876140.28941072116</v>
      </c>
      <c r="D48" s="41">
        <f>D20*3+D27</f>
        <v>162222.9498600603</v>
      </c>
      <c r="E48" s="41">
        <f t="shared" ref="E48:L48" si="28">E20*3+E27</f>
        <v>40526.486940000948</v>
      </c>
      <c r="F48" s="41">
        <f t="shared" si="28"/>
        <v>114924.24656694806</v>
      </c>
      <c r="G48" s="41">
        <f t="shared" si="28"/>
        <v>205667.4115645104</v>
      </c>
      <c r="H48" s="41">
        <f t="shared" si="28"/>
        <v>139739.00962483842</v>
      </c>
      <c r="I48" s="41">
        <f t="shared" si="28"/>
        <v>80993.002300902968</v>
      </c>
      <c r="J48" s="41">
        <f t="shared" si="28"/>
        <v>19881.27028570971</v>
      </c>
      <c r="K48" s="41">
        <f t="shared" si="28"/>
        <v>75556.921641538065</v>
      </c>
      <c r="L48" s="41">
        <f t="shared" si="28"/>
        <v>36628.99062621218</v>
      </c>
      <c r="M48" s="51">
        <f>SUM(D48:L48)</f>
        <v>876140.28941072116</v>
      </c>
    </row>
    <row r="49" spans="1:13" x14ac:dyDescent="0.2">
      <c r="B49" s="30">
        <v>2</v>
      </c>
      <c r="C49" s="89">
        <f>C48+M49</f>
        <v>1746609.6719403774</v>
      </c>
      <c r="D49" s="41">
        <f t="shared" ref="D49:L52" si="29">D21*3+D28</f>
        <v>146946.03820730216</v>
      </c>
      <c r="E49" s="41">
        <f t="shared" si="29"/>
        <v>41235.864253032807</v>
      </c>
      <c r="F49" s="41">
        <f t="shared" si="29"/>
        <v>119778.82228654384</v>
      </c>
      <c r="G49" s="41">
        <f t="shared" si="29"/>
        <v>216135.13224207656</v>
      </c>
      <c r="H49" s="41">
        <f t="shared" si="29"/>
        <v>121927.85192699637</v>
      </c>
      <c r="I49" s="41">
        <f t="shared" si="29"/>
        <v>84476.605795498617</v>
      </c>
      <c r="J49" s="41">
        <f t="shared" si="29"/>
        <v>17802.598937860592</v>
      </c>
      <c r="K49" s="41">
        <f t="shared" si="29"/>
        <v>65793.401107260986</v>
      </c>
      <c r="L49" s="41">
        <f t="shared" si="29"/>
        <v>56373.067773084309</v>
      </c>
      <c r="M49" s="51">
        <f t="shared" ref="M49:M52" si="30">SUM(D49:L49)</f>
        <v>870469.38252965617</v>
      </c>
    </row>
    <row r="50" spans="1:13" x14ac:dyDescent="0.2">
      <c r="B50" s="30">
        <v>3</v>
      </c>
      <c r="C50" s="89">
        <f t="shared" ref="C50:C52" si="31">C49+M50</f>
        <v>2594862.1091712844</v>
      </c>
      <c r="D50" s="41">
        <f t="shared" si="29"/>
        <v>116577.59727476213</v>
      </c>
      <c r="E50" s="41">
        <f t="shared" si="29"/>
        <v>44267.933173568737</v>
      </c>
      <c r="F50" s="41">
        <f t="shared" si="29"/>
        <v>145303.72112812614</v>
      </c>
      <c r="G50" s="41">
        <f t="shared" si="29"/>
        <v>187944.06787586899</v>
      </c>
      <c r="H50" s="41">
        <f t="shared" si="29"/>
        <v>119963.17377843837</v>
      </c>
      <c r="I50" s="41">
        <f t="shared" si="29"/>
        <v>75290.727827598224</v>
      </c>
      <c r="J50" s="41">
        <f t="shared" si="29"/>
        <v>19160.234105839514</v>
      </c>
      <c r="K50" s="41">
        <f t="shared" si="29"/>
        <v>61275.901415406202</v>
      </c>
      <c r="L50" s="41">
        <f t="shared" si="29"/>
        <v>78469.080651298398</v>
      </c>
      <c r="M50" s="51">
        <f t="shared" si="30"/>
        <v>848252.43723090668</v>
      </c>
    </row>
    <row r="51" spans="1:13" x14ac:dyDescent="0.2">
      <c r="B51" s="30">
        <v>4</v>
      </c>
      <c r="C51" s="89">
        <f t="shared" si="31"/>
        <v>3415562.5147759244</v>
      </c>
      <c r="D51" s="41">
        <f t="shared" si="29"/>
        <v>100945.39140878528</v>
      </c>
      <c r="E51" s="41">
        <f t="shared" si="29"/>
        <v>41040.529405071153</v>
      </c>
      <c r="F51" s="41">
        <f t="shared" si="29"/>
        <v>178073.24183681066</v>
      </c>
      <c r="G51" s="41">
        <f t="shared" si="29"/>
        <v>174168.79258394695</v>
      </c>
      <c r="H51" s="41">
        <f t="shared" si="29"/>
        <v>73846.776892863272</v>
      </c>
      <c r="I51" s="41">
        <f t="shared" si="29"/>
        <v>61989.306208694528</v>
      </c>
      <c r="J51" s="41">
        <f t="shared" si="29"/>
        <v>19752.422053813119</v>
      </c>
      <c r="K51" s="41">
        <f t="shared" si="29"/>
        <v>51986.555227990531</v>
      </c>
      <c r="L51" s="41">
        <f t="shared" si="29"/>
        <v>118897.38998666455</v>
      </c>
      <c r="M51" s="51">
        <f t="shared" si="30"/>
        <v>820700.40560463991</v>
      </c>
    </row>
    <row r="52" spans="1:13" x14ac:dyDescent="0.2">
      <c r="B52" s="30">
        <v>5</v>
      </c>
      <c r="C52" s="89">
        <f t="shared" si="31"/>
        <v>4193753.8769566393</v>
      </c>
      <c r="D52" s="41">
        <f t="shared" si="29"/>
        <v>67505.776292954368</v>
      </c>
      <c r="E52" s="41">
        <f t="shared" si="29"/>
        <v>30440.27385332821</v>
      </c>
      <c r="F52" s="41">
        <f t="shared" si="29"/>
        <v>254891.00938954833</v>
      </c>
      <c r="G52" s="41">
        <f t="shared" si="29"/>
        <v>147040.83751791716</v>
      </c>
      <c r="H52" s="41">
        <f t="shared" si="29"/>
        <v>39552.502842562571</v>
      </c>
      <c r="I52" s="41">
        <f t="shared" si="29"/>
        <v>47423.814274143457</v>
      </c>
      <c r="J52" s="41">
        <f t="shared" si="29"/>
        <v>15813.195559024249</v>
      </c>
      <c r="K52" s="41">
        <f t="shared" si="29"/>
        <v>40516.990085329948</v>
      </c>
      <c r="L52" s="41">
        <f t="shared" si="29"/>
        <v>135006.96236590677</v>
      </c>
      <c r="M52" s="51">
        <f t="shared" si="30"/>
        <v>778191.36218071508</v>
      </c>
    </row>
    <row r="53" spans="1:13" x14ac:dyDescent="0.2">
      <c r="D53" s="49"/>
      <c r="E53" s="49"/>
      <c r="F53" s="49"/>
      <c r="G53" s="49"/>
      <c r="H53" s="49"/>
      <c r="I53" s="49"/>
      <c r="J53" s="49"/>
      <c r="K53" s="49"/>
      <c r="L53" s="49"/>
      <c r="M53" s="50">
        <f>SUM(M48:M52)</f>
        <v>4193753.8769566393</v>
      </c>
    </row>
    <row r="54" spans="1:13" x14ac:dyDescent="0.2">
      <c r="A54" s="31" t="s">
        <v>284</v>
      </c>
      <c r="C54" s="31" t="s">
        <v>363</v>
      </c>
      <c r="D54" s="49"/>
      <c r="E54" s="49"/>
      <c r="F54" s="49"/>
      <c r="G54" s="49"/>
      <c r="H54" s="49"/>
      <c r="I54" s="49"/>
      <c r="J54" s="49"/>
      <c r="K54" s="49"/>
      <c r="L54" s="49"/>
      <c r="M54" s="50"/>
    </row>
    <row r="55" spans="1:13" x14ac:dyDescent="0.2">
      <c r="B55" s="30">
        <v>1</v>
      </c>
      <c r="C55" s="89">
        <f>M55</f>
        <v>1088147.3215649554</v>
      </c>
      <c r="D55" s="41">
        <f t="shared" ref="D55:L55" si="32">D48+D27</f>
        <v>202266.65453501744</v>
      </c>
      <c r="E55" s="41">
        <f t="shared" si="32"/>
        <v>50518.294079481624</v>
      </c>
      <c r="F55" s="41">
        <f t="shared" si="32"/>
        <v>142881.54609367155</v>
      </c>
      <c r="G55" s="41">
        <f t="shared" si="32"/>
        <v>255994.97675439375</v>
      </c>
      <c r="H55" s="41">
        <f t="shared" si="32"/>
        <v>171794.89083934826</v>
      </c>
      <c r="I55" s="41">
        <f t="shared" si="32"/>
        <v>100288.5246117574</v>
      </c>
      <c r="J55" s="41">
        <f t="shared" si="32"/>
        <v>24716.225498730855</v>
      </c>
      <c r="K55" s="41">
        <f t="shared" si="32"/>
        <v>93919.46449679682</v>
      </c>
      <c r="L55" s="41">
        <f t="shared" si="32"/>
        <v>45766.744655757619</v>
      </c>
      <c r="M55" s="51">
        <f>SUM(D55:L55)</f>
        <v>1088147.3215649554</v>
      </c>
    </row>
    <row r="56" spans="1:13" x14ac:dyDescent="0.2">
      <c r="B56" s="30">
        <v>2</v>
      </c>
      <c r="C56" s="89">
        <f>C55+M56</f>
        <v>2169561.3233507122</v>
      </c>
      <c r="D56" s="41">
        <f t="shared" ref="D56:L56" si="33">D49+D28</f>
        <v>183218.73428516396</v>
      </c>
      <c r="E56" s="41">
        <f t="shared" si="33"/>
        <v>51402.568400276112</v>
      </c>
      <c r="F56" s="41">
        <f t="shared" si="33"/>
        <v>148917.08084952115</v>
      </c>
      <c r="G56" s="41">
        <f t="shared" si="33"/>
        <v>269024.18683264923</v>
      </c>
      <c r="H56" s="41">
        <f t="shared" si="33"/>
        <v>149897.8851239213</v>
      </c>
      <c r="I56" s="41">
        <f t="shared" si="33"/>
        <v>104602.05102614326</v>
      </c>
      <c r="J56" s="41">
        <f t="shared" si="33"/>
        <v>22132.039024080972</v>
      </c>
      <c r="K56" s="41">
        <f t="shared" si="33"/>
        <v>81783.122779049241</v>
      </c>
      <c r="L56" s="41">
        <f t="shared" si="33"/>
        <v>70436.333464951618</v>
      </c>
      <c r="M56" s="51">
        <f t="shared" ref="M56:M59" si="34">SUM(D56:L56)</f>
        <v>1081414.0017857568</v>
      </c>
    </row>
    <row r="57" spans="1:13" x14ac:dyDescent="0.2">
      <c r="B57" s="30">
        <v>3</v>
      </c>
      <c r="C57" s="89">
        <f>C56+M57</f>
        <v>3223426.0100224279</v>
      </c>
      <c r="D57" s="41">
        <f t="shared" ref="D57:L57" si="35">D50+D29</f>
        <v>145354.03661958745</v>
      </c>
      <c r="E57" s="41">
        <f t="shared" si="35"/>
        <v>55182.194046675329</v>
      </c>
      <c r="F57" s="41">
        <f t="shared" si="35"/>
        <v>180651.35032976785</v>
      </c>
      <c r="G57" s="41">
        <f t="shared" si="35"/>
        <v>233934.66627024702</v>
      </c>
      <c r="H57" s="41">
        <f t="shared" si="35"/>
        <v>147482.51328915497</v>
      </c>
      <c r="I57" s="41">
        <f t="shared" si="35"/>
        <v>93227.757908303029</v>
      </c>
      <c r="J57" s="41">
        <f t="shared" si="35"/>
        <v>23819.839475186633</v>
      </c>
      <c r="K57" s="41">
        <f t="shared" si="35"/>
        <v>76167.738474003738</v>
      </c>
      <c r="L57" s="41">
        <f t="shared" si="35"/>
        <v>98044.590258789758</v>
      </c>
      <c r="M57" s="51">
        <f t="shared" si="34"/>
        <v>1053864.6866717159</v>
      </c>
    </row>
    <row r="58" spans="1:13" x14ac:dyDescent="0.2">
      <c r="B58" s="30">
        <v>4</v>
      </c>
      <c r="C58" s="89">
        <f t="shared" ref="C58:C59" si="36">C57+M58</f>
        <v>4243909.2118276972</v>
      </c>
      <c r="D58" s="41">
        <f t="shared" ref="D58:L58" si="37">D51+D30</f>
        <v>125863.12003693767</v>
      </c>
      <c r="E58" s="41">
        <f t="shared" si="37"/>
        <v>51159.073736948718</v>
      </c>
      <c r="F58" s="41">
        <f t="shared" si="37"/>
        <v>221392.620544473</v>
      </c>
      <c r="G58" s="41">
        <f t="shared" si="37"/>
        <v>216788.53090871527</v>
      </c>
      <c r="H58" s="41">
        <f t="shared" si="37"/>
        <v>90787.096668331797</v>
      </c>
      <c r="I58" s="41">
        <f t="shared" si="37"/>
        <v>76757.446751756201</v>
      </c>
      <c r="J58" s="41">
        <f t="shared" si="37"/>
        <v>24556.042476775867</v>
      </c>
      <c r="K58" s="41">
        <f t="shared" si="37"/>
        <v>64620.809344379115</v>
      </c>
      <c r="L58" s="41">
        <f t="shared" si="37"/>
        <v>148558.4613369517</v>
      </c>
      <c r="M58" s="51">
        <f t="shared" si="34"/>
        <v>1020483.2018052692</v>
      </c>
    </row>
    <row r="59" spans="1:13" x14ac:dyDescent="0.2">
      <c r="B59" s="30">
        <v>5</v>
      </c>
      <c r="C59" s="89">
        <f t="shared" si="36"/>
        <v>5212000.7638924643</v>
      </c>
      <c r="D59" s="41">
        <f t="shared" ref="D59:L59" si="38">D52+D31</f>
        <v>84169.148350118019</v>
      </c>
      <c r="E59" s="41">
        <f t="shared" si="38"/>
        <v>37945.324712183254</v>
      </c>
      <c r="F59" s="41">
        <f t="shared" si="38"/>
        <v>316897.63122127182</v>
      </c>
      <c r="G59" s="41">
        <f t="shared" si="38"/>
        <v>183022.26636687625</v>
      </c>
      <c r="H59" s="41">
        <f t="shared" si="38"/>
        <v>48625.776914431925</v>
      </c>
      <c r="I59" s="41">
        <f t="shared" si="38"/>
        <v>58721.9170780489</v>
      </c>
      <c r="J59" s="41">
        <f t="shared" si="38"/>
        <v>19658.829726453798</v>
      </c>
      <c r="K59" s="41">
        <f t="shared" si="38"/>
        <v>50363.804257268726</v>
      </c>
      <c r="L59" s="41">
        <f t="shared" si="38"/>
        <v>168686.85343811475</v>
      </c>
      <c r="M59" s="51">
        <f t="shared" si="34"/>
        <v>968091.55206476734</v>
      </c>
    </row>
    <row r="60" spans="1:13" x14ac:dyDescent="0.2">
      <c r="D60" s="49"/>
      <c r="E60" s="49"/>
      <c r="F60" s="49"/>
      <c r="G60" s="49"/>
      <c r="H60" s="49"/>
      <c r="I60" s="49"/>
      <c r="J60" s="49"/>
      <c r="K60" s="49"/>
      <c r="L60" s="49"/>
      <c r="M60" s="50">
        <f>SUM(M55:M59)</f>
        <v>5212000.7638924643</v>
      </c>
    </row>
    <row r="61" spans="1:13" x14ac:dyDescent="0.2">
      <c r="A61" s="31" t="s">
        <v>362</v>
      </c>
      <c r="C61" s="31" t="s">
        <v>363</v>
      </c>
      <c r="D61" s="49"/>
      <c r="E61" s="49"/>
      <c r="F61" s="49"/>
      <c r="G61" s="49"/>
      <c r="H61" s="49"/>
      <c r="I61" s="49"/>
      <c r="J61" s="49"/>
      <c r="K61" s="49"/>
      <c r="L61" s="49"/>
      <c r="M61" s="50"/>
    </row>
    <row r="62" spans="1:13" x14ac:dyDescent="0.2">
      <c r="B62" s="30">
        <v>1</v>
      </c>
      <c r="C62" s="89">
        <f>M62</f>
        <v>221377.7524188289</v>
      </c>
      <c r="D62" s="41">
        <f t="shared" ref="D62:L62" si="39">D4/5</f>
        <v>40726.415061701045</v>
      </c>
      <c r="E62" s="41">
        <f t="shared" si="39"/>
        <v>10178.226600173424</v>
      </c>
      <c r="F62" s="41">
        <f t="shared" si="39"/>
        <v>28988.982346741519</v>
      </c>
      <c r="G62" s="41">
        <f t="shared" si="39"/>
        <v>51779.948791542352</v>
      </c>
      <c r="H62" s="41">
        <f t="shared" si="39"/>
        <v>35894.376136776191</v>
      </c>
      <c r="I62" s="41">
        <f t="shared" si="39"/>
        <v>20565.826663349515</v>
      </c>
      <c r="J62" s="41">
        <f t="shared" si="39"/>
        <v>5015.4383575628553</v>
      </c>
      <c r="K62" s="41">
        <f t="shared" si="39"/>
        <v>19064.792928759773</v>
      </c>
      <c r="L62" s="41">
        <f t="shared" si="39"/>
        <v>9163.7455322222504</v>
      </c>
      <c r="M62" s="51">
        <f>SUM(D62:L62)</f>
        <v>221377.7524188289</v>
      </c>
    </row>
    <row r="63" spans="1:13" x14ac:dyDescent="0.2">
      <c r="B63" s="30">
        <v>2</v>
      </c>
      <c r="C63" s="89">
        <f>C62+M63</f>
        <v>441219.34017668082</v>
      </c>
      <c r="D63" s="41">
        <f t="shared" ref="D63:L63" si="40">D7/5</f>
        <v>36891.114043146794</v>
      </c>
      <c r="E63" s="41">
        <f t="shared" si="40"/>
        <v>10356.386701929834</v>
      </c>
      <c r="F63" s="41">
        <f t="shared" si="40"/>
        <v>30213.521241188842</v>
      </c>
      <c r="G63" s="41">
        <f t="shared" si="40"/>
        <v>54415.35921716797</v>
      </c>
      <c r="H63" s="41">
        <f t="shared" si="40"/>
        <v>31319.272910023818</v>
      </c>
      <c r="I63" s="41">
        <f t="shared" si="40"/>
        <v>21450.386854951324</v>
      </c>
      <c r="J63" s="41">
        <f t="shared" si="40"/>
        <v>4491.0529505467366</v>
      </c>
      <c r="K63" s="41">
        <f t="shared" si="40"/>
        <v>16601.226478490909</v>
      </c>
      <c r="L63" s="41">
        <f t="shared" si="40"/>
        <v>14103.267360405667</v>
      </c>
      <c r="M63" s="51">
        <f t="shared" ref="M63:M66" si="41">SUM(D63:L63)</f>
        <v>219841.5877578519</v>
      </c>
    </row>
    <row r="64" spans="1:13" x14ac:dyDescent="0.2">
      <c r="B64" s="30">
        <v>3</v>
      </c>
      <c r="C64" s="89">
        <f t="shared" ref="C64:C66" si="42">C63+M64</f>
        <v>655432.7361067133</v>
      </c>
      <c r="D64" s="41">
        <f t="shared" ref="D64:L64" si="43">D10/5</f>
        <v>29267.052643312269</v>
      </c>
      <c r="E64" s="41">
        <f t="shared" si="43"/>
        <v>11117.890766820714</v>
      </c>
      <c r="F64" s="41">
        <f t="shared" si="43"/>
        <v>36652.030642161473</v>
      </c>
      <c r="G64" s="41">
        <f t="shared" si="43"/>
        <v>47317.823160496991</v>
      </c>
      <c r="H64" s="41">
        <f t="shared" si="43"/>
        <v>30814.611422573922</v>
      </c>
      <c r="I64" s="41">
        <f t="shared" si="43"/>
        <v>19117.899248964473</v>
      </c>
      <c r="J64" s="41">
        <f t="shared" si="43"/>
        <v>4833.5429121641318</v>
      </c>
      <c r="K64" s="41">
        <f t="shared" si="43"/>
        <v>15461.354785602889</v>
      </c>
      <c r="L64" s="41">
        <f t="shared" si="43"/>
        <v>19631.190347935677</v>
      </c>
      <c r="M64" s="51">
        <f t="shared" si="41"/>
        <v>214213.39593003254</v>
      </c>
    </row>
    <row r="65" spans="1:15" x14ac:dyDescent="0.2">
      <c r="B65" s="30">
        <v>4</v>
      </c>
      <c r="C65" s="89">
        <f t="shared" si="42"/>
        <v>862405.27257471695</v>
      </c>
      <c r="D65" s="41">
        <f t="shared" ref="D65:L65" si="44">D13/5</f>
        <v>25342.554260210956</v>
      </c>
      <c r="E65" s="41">
        <f t="shared" si="44"/>
        <v>10307.328357731196</v>
      </c>
      <c r="F65" s="41">
        <f t="shared" si="44"/>
        <v>44917.954376382775</v>
      </c>
      <c r="G65" s="41">
        <f t="shared" si="44"/>
        <v>43849.684753059548</v>
      </c>
      <c r="H65" s="41">
        <f t="shared" si="44"/>
        <v>18968.819039131584</v>
      </c>
      <c r="I65" s="41">
        <f t="shared" si="44"/>
        <v>15740.388555210951</v>
      </c>
      <c r="J65" s="41">
        <f t="shared" si="44"/>
        <v>4982.9338769501246</v>
      </c>
      <c r="K65" s="41">
        <f t="shared" si="44"/>
        <v>13117.433703867317</v>
      </c>
      <c r="L65" s="41">
        <f t="shared" si="44"/>
        <v>29745.439545459132</v>
      </c>
      <c r="M65" s="51">
        <f t="shared" si="41"/>
        <v>206972.53646800359</v>
      </c>
    </row>
    <row r="66" spans="1:15" x14ac:dyDescent="0.2">
      <c r="B66" s="30">
        <v>5</v>
      </c>
      <c r="C66" s="89">
        <f t="shared" si="42"/>
        <v>1058502.3300069377</v>
      </c>
      <c r="D66" s="41">
        <f t="shared" ref="D66:L66" si="45">D16/5</f>
        <v>16947.468078596903</v>
      </c>
      <c r="E66" s="41">
        <f t="shared" si="45"/>
        <v>7645.074331491056</v>
      </c>
      <c r="F66" s="41">
        <f t="shared" si="45"/>
        <v>64294.79585260828</v>
      </c>
      <c r="G66" s="41">
        <f t="shared" si="45"/>
        <v>37019.802889652681</v>
      </c>
      <c r="H66" s="41">
        <f t="shared" si="45"/>
        <v>10159.742923564405</v>
      </c>
      <c r="I66" s="41">
        <f t="shared" si="45"/>
        <v>12041.903823412671</v>
      </c>
      <c r="J66" s="41">
        <f t="shared" si="45"/>
        <v>3989.1871305315667</v>
      </c>
      <c r="K66" s="41">
        <f t="shared" si="45"/>
        <v>10223.39197113039</v>
      </c>
      <c r="L66" s="41">
        <f t="shared" si="45"/>
        <v>33775.690431232935</v>
      </c>
      <c r="M66" s="51">
        <f t="shared" si="41"/>
        <v>196097.05743222087</v>
      </c>
    </row>
    <row r="67" spans="1:15" x14ac:dyDescent="0.2">
      <c r="D67" s="49"/>
      <c r="E67" s="49"/>
      <c r="F67" s="49"/>
      <c r="G67" s="49"/>
      <c r="H67" s="49"/>
      <c r="I67" s="49"/>
      <c r="J67" s="49"/>
      <c r="K67" s="49"/>
      <c r="L67" s="49"/>
      <c r="M67" s="50">
        <f>SUM(M62:M66)</f>
        <v>1058502.3300069377</v>
      </c>
    </row>
    <row r="68" spans="1:15" x14ac:dyDescent="0.2">
      <c r="A68" s="30" t="s">
        <v>390</v>
      </c>
      <c r="C68" s="41">
        <f>M112+(M113-M113/5)</f>
        <v>9148030.9486362599</v>
      </c>
      <c r="D68" s="49"/>
      <c r="E68" s="49"/>
      <c r="F68" s="49"/>
      <c r="G68" s="49"/>
      <c r="H68" s="49"/>
      <c r="I68" s="49"/>
      <c r="J68" s="49"/>
      <c r="K68" s="49"/>
      <c r="L68" s="49"/>
      <c r="M68" s="50"/>
    </row>
    <row r="69" spans="1:15" x14ac:dyDescent="0.2">
      <c r="A69" s="30" t="s">
        <v>391</v>
      </c>
      <c r="C69" s="41">
        <f>M111+M112+M113+(M114-M114/5)</f>
        <v>19589779.082815666</v>
      </c>
      <c r="D69" s="49"/>
      <c r="E69" s="49"/>
      <c r="F69" s="49"/>
      <c r="G69" s="49"/>
      <c r="H69" s="49"/>
      <c r="I69" s="49"/>
      <c r="J69" s="49"/>
      <c r="K69" s="49"/>
      <c r="L69" s="49"/>
      <c r="M69" s="50"/>
    </row>
    <row r="70" spans="1:15" x14ac:dyDescent="0.2">
      <c r="D70" s="49"/>
      <c r="E70" s="49"/>
      <c r="F70" s="49"/>
      <c r="G70" s="49"/>
      <c r="H70" s="49"/>
      <c r="I70" s="49"/>
      <c r="J70" s="49"/>
      <c r="K70" s="49"/>
      <c r="L70" s="49"/>
      <c r="M70" s="50"/>
    </row>
    <row r="71" spans="1:15" x14ac:dyDescent="0.2">
      <c r="A71" s="31" t="s">
        <v>285</v>
      </c>
    </row>
    <row r="72" spans="1:15" x14ac:dyDescent="0.2">
      <c r="A72" s="31"/>
      <c r="D72" s="30" t="s">
        <v>286</v>
      </c>
    </row>
    <row r="73" spans="1:15" x14ac:dyDescent="0.2">
      <c r="A73" s="31" t="s">
        <v>287</v>
      </c>
      <c r="D73" s="30" t="s">
        <v>268</v>
      </c>
      <c r="E73" s="30" t="s">
        <v>269</v>
      </c>
      <c r="F73" s="30" t="s">
        <v>270</v>
      </c>
      <c r="G73" s="30" t="s">
        <v>271</v>
      </c>
      <c r="H73" s="30" t="s">
        <v>272</v>
      </c>
      <c r="I73" s="30" t="s">
        <v>273</v>
      </c>
      <c r="J73" s="30" t="s">
        <v>274</v>
      </c>
      <c r="K73" s="30" t="s">
        <v>275</v>
      </c>
      <c r="L73" s="30" t="s">
        <v>276</v>
      </c>
      <c r="M73" s="30" t="s">
        <v>277</v>
      </c>
    </row>
    <row r="74" spans="1:15" x14ac:dyDescent="0.2">
      <c r="B74" s="52" t="s">
        <v>288</v>
      </c>
      <c r="C74" s="53" t="s">
        <v>279</v>
      </c>
      <c r="D74" s="54"/>
      <c r="E74" s="54"/>
      <c r="F74" s="54"/>
      <c r="G74" s="54"/>
      <c r="H74" s="54"/>
      <c r="I74" s="54"/>
      <c r="J74" s="54"/>
      <c r="K74" s="54"/>
      <c r="L74" s="54"/>
      <c r="M74" s="55"/>
      <c r="N74" s="56"/>
      <c r="O74" s="56"/>
    </row>
    <row r="75" spans="1:15" x14ac:dyDescent="0.2">
      <c r="B75" s="39" t="s">
        <v>289</v>
      </c>
      <c r="C75" s="57" t="s">
        <v>280</v>
      </c>
      <c r="D75" s="41">
        <v>376853.9538767378</v>
      </c>
      <c r="E75" s="58">
        <v>124728.49099981786</v>
      </c>
      <c r="F75" s="58">
        <v>517228.90716531256</v>
      </c>
      <c r="G75" s="58">
        <v>590573.73103930126</v>
      </c>
      <c r="H75" s="58">
        <v>319890.9662707033</v>
      </c>
      <c r="I75" s="58">
        <v>223591.40135536803</v>
      </c>
      <c r="J75" s="58">
        <v>58700.754643931636</v>
      </c>
      <c r="K75" s="58">
        <v>187419.12227304233</v>
      </c>
      <c r="L75" s="59">
        <v>268335.80436025851</v>
      </c>
      <c r="M75" s="60">
        <f>SUM(D75:L75)</f>
        <v>2667323.1319844732</v>
      </c>
      <c r="N75" s="56"/>
      <c r="O75" s="56"/>
    </row>
    <row r="76" spans="1:15" x14ac:dyDescent="0.2">
      <c r="B76" s="39" t="s">
        <v>289</v>
      </c>
      <c r="C76" s="57" t="s">
        <v>281</v>
      </c>
      <c r="D76" s="61">
        <v>366117.68684731418</v>
      </c>
      <c r="E76" s="62">
        <v>121129.69186212977</v>
      </c>
      <c r="F76" s="62">
        <v>501437.13826822594</v>
      </c>
      <c r="G76" s="62">
        <v>570951.1243260015</v>
      </c>
      <c r="H76" s="62">
        <v>283516.48567293212</v>
      </c>
      <c r="I76" s="62">
        <v>209748.98287873037</v>
      </c>
      <c r="J76" s="62">
        <v>55888.313102957407</v>
      </c>
      <c r="K76" s="62">
        <v>179448.01114171365</v>
      </c>
      <c r="L76" s="63">
        <v>267631.87134071789</v>
      </c>
      <c r="M76" s="64">
        <f t="shared" ref="M76:M108" si="46">SUM(D76:L76)</f>
        <v>2555869.305440723</v>
      </c>
      <c r="N76" s="56"/>
      <c r="O76" s="56"/>
    </row>
    <row r="77" spans="1:15" x14ac:dyDescent="0.2">
      <c r="B77" s="39" t="s">
        <v>289</v>
      </c>
      <c r="C77" s="57" t="s">
        <v>290</v>
      </c>
      <c r="D77" s="61">
        <v>350144.73817180848</v>
      </c>
      <c r="E77" s="62">
        <v>135331.8590427005</v>
      </c>
      <c r="F77" s="62">
        <v>495062.0441742033</v>
      </c>
      <c r="G77" s="62">
        <v>554663.20225589327</v>
      </c>
      <c r="H77" s="62">
        <v>291927.52872094489</v>
      </c>
      <c r="I77" s="62">
        <v>218267.24269537223</v>
      </c>
      <c r="J77" s="62">
        <v>58997.567220374069</v>
      </c>
      <c r="K77" s="62">
        <v>172943.50051300132</v>
      </c>
      <c r="L77" s="63">
        <v>261123.53013059334</v>
      </c>
      <c r="M77" s="64">
        <f t="shared" si="46"/>
        <v>2538461.2129248912</v>
      </c>
      <c r="N77" s="56"/>
      <c r="O77" s="56"/>
    </row>
    <row r="78" spans="1:15" x14ac:dyDescent="0.2">
      <c r="B78" s="39" t="s">
        <v>289</v>
      </c>
      <c r="C78" s="57" t="s">
        <v>291</v>
      </c>
      <c r="D78" s="61">
        <v>365479.60843880952</v>
      </c>
      <c r="E78" s="62">
        <v>141297.31817450197</v>
      </c>
      <c r="F78" s="62">
        <v>507184.34086764918</v>
      </c>
      <c r="G78" s="62">
        <v>553191.17574438464</v>
      </c>
      <c r="H78" s="62">
        <v>314602.31660165975</v>
      </c>
      <c r="I78" s="62">
        <v>220504.01449140199</v>
      </c>
      <c r="J78" s="62">
        <v>58185.719547669578</v>
      </c>
      <c r="K78" s="62">
        <v>171564.04146739491</v>
      </c>
      <c r="L78" s="63">
        <v>256228.57139208069</v>
      </c>
      <c r="M78" s="64">
        <f t="shared" si="46"/>
        <v>2588237.1067255521</v>
      </c>
      <c r="N78" s="56"/>
      <c r="O78" s="56"/>
    </row>
    <row r="79" spans="1:15" x14ac:dyDescent="0.2">
      <c r="B79" s="39" t="s">
        <v>289</v>
      </c>
      <c r="C79" s="57" t="s">
        <v>292</v>
      </c>
      <c r="D79" s="61">
        <v>340585.36406255839</v>
      </c>
      <c r="E79" s="62">
        <v>134485.79834549403</v>
      </c>
      <c r="F79" s="62">
        <v>570216.8640029307</v>
      </c>
      <c r="G79" s="62">
        <v>509768.67650567938</v>
      </c>
      <c r="H79" s="62">
        <v>289920.87417619111</v>
      </c>
      <c r="I79" s="62">
        <v>210106.22458476142</v>
      </c>
      <c r="J79" s="62">
        <v>53367.881458370866</v>
      </c>
      <c r="K79" s="62">
        <v>172928.26957567665</v>
      </c>
      <c r="L79" s="63">
        <v>258275.1995175209</v>
      </c>
      <c r="M79" s="64">
        <f t="shared" si="46"/>
        <v>2539655.1522291843</v>
      </c>
      <c r="N79" s="56"/>
      <c r="O79" s="56"/>
    </row>
    <row r="80" spans="1:15" x14ac:dyDescent="0.2">
      <c r="B80" s="39" t="s">
        <v>289</v>
      </c>
      <c r="C80" s="57" t="s">
        <v>293</v>
      </c>
      <c r="D80" s="61">
        <v>286855.81524640496</v>
      </c>
      <c r="E80" s="62">
        <v>126572.60754057982</v>
      </c>
      <c r="F80" s="62">
        <v>605200.99685825303</v>
      </c>
      <c r="G80" s="62">
        <v>455793.5978487769</v>
      </c>
      <c r="H80" s="62">
        <v>253645.50602060807</v>
      </c>
      <c r="I80" s="62">
        <v>198381.38937955591</v>
      </c>
      <c r="J80" s="62">
        <v>50878.77073308418</v>
      </c>
      <c r="K80" s="62">
        <v>169177.72836701738</v>
      </c>
      <c r="L80" s="63">
        <v>260433.76089094044</v>
      </c>
      <c r="M80" s="64">
        <f t="shared" si="46"/>
        <v>2406940.1728852205</v>
      </c>
      <c r="N80" s="56"/>
      <c r="O80" s="56"/>
    </row>
    <row r="81" spans="2:15" x14ac:dyDescent="0.2">
      <c r="B81" s="39" t="s">
        <v>289</v>
      </c>
      <c r="C81" s="57" t="s">
        <v>294</v>
      </c>
      <c r="D81" s="61">
        <v>233635.54477771616</v>
      </c>
      <c r="E81" s="62">
        <v>114684.47238682042</v>
      </c>
      <c r="F81" s="62">
        <v>632117.23313357681</v>
      </c>
      <c r="G81" s="62">
        <v>398356.62571562763</v>
      </c>
      <c r="H81" s="62">
        <v>212109.04181153228</v>
      </c>
      <c r="I81" s="62">
        <v>173424.79069196712</v>
      </c>
      <c r="J81" s="62">
        <v>46740.667478694122</v>
      </c>
      <c r="K81" s="62">
        <v>158602.49691408334</v>
      </c>
      <c r="L81" s="63">
        <v>256202.56886980703</v>
      </c>
      <c r="M81" s="64">
        <f t="shared" si="46"/>
        <v>2225873.4417798249</v>
      </c>
      <c r="N81" s="56"/>
      <c r="O81" s="56"/>
    </row>
    <row r="82" spans="2:15" x14ac:dyDescent="0.2">
      <c r="B82" s="39" t="s">
        <v>289</v>
      </c>
      <c r="C82" s="57" t="s">
        <v>295</v>
      </c>
      <c r="D82" s="61">
        <v>176499.91136798018</v>
      </c>
      <c r="E82" s="62">
        <v>97015.726943964371</v>
      </c>
      <c r="F82" s="62">
        <v>638987.39251176477</v>
      </c>
      <c r="G82" s="62">
        <v>327825.0485450144</v>
      </c>
      <c r="H82" s="62">
        <v>155621.01929237266</v>
      </c>
      <c r="I82" s="62">
        <v>139921.04146118221</v>
      </c>
      <c r="J82" s="62">
        <v>40462.767887253314</v>
      </c>
      <c r="K82" s="62">
        <v>137638.41400502861</v>
      </c>
      <c r="L82" s="63">
        <v>246012.08118877307</v>
      </c>
      <c r="M82" s="64">
        <f t="shared" si="46"/>
        <v>1959983.4032033337</v>
      </c>
      <c r="N82" s="56"/>
      <c r="O82" s="56"/>
    </row>
    <row r="83" spans="2:15" x14ac:dyDescent="0.2">
      <c r="B83" s="39" t="s">
        <v>289</v>
      </c>
      <c r="C83" s="57" t="s">
        <v>296</v>
      </c>
      <c r="D83" s="61">
        <v>135231.95502987609</v>
      </c>
      <c r="E83" s="62">
        <v>80553.133546663303</v>
      </c>
      <c r="F83" s="62">
        <v>538996.88161940954</v>
      </c>
      <c r="G83" s="62">
        <v>247297.22723561944</v>
      </c>
      <c r="H83" s="62">
        <v>112739.36996215701</v>
      </c>
      <c r="I83" s="62">
        <v>108539.60649550025</v>
      </c>
      <c r="J83" s="62">
        <v>35108.703570048965</v>
      </c>
      <c r="K83" s="62">
        <v>115233.92132465899</v>
      </c>
      <c r="L83" s="63">
        <v>221082.19744947797</v>
      </c>
      <c r="M83" s="64">
        <f t="shared" si="46"/>
        <v>1594782.9962334116</v>
      </c>
      <c r="N83" s="56"/>
      <c r="O83" s="56"/>
    </row>
    <row r="84" spans="2:15" x14ac:dyDescent="0.2">
      <c r="B84" s="39" t="s">
        <v>289</v>
      </c>
      <c r="C84" s="57" t="s">
        <v>297</v>
      </c>
      <c r="D84" s="61">
        <v>107505.05174633434</v>
      </c>
      <c r="E84" s="62">
        <v>65088.595938877261</v>
      </c>
      <c r="F84" s="62">
        <v>400656.43190149422</v>
      </c>
      <c r="G84" s="62">
        <v>186410.2908182964</v>
      </c>
      <c r="H84" s="62">
        <v>85162.436925407019</v>
      </c>
      <c r="I84" s="62">
        <v>84186.940346205869</v>
      </c>
      <c r="J84" s="62">
        <v>28268.41262100554</v>
      </c>
      <c r="K84" s="62">
        <v>95347.274507287235</v>
      </c>
      <c r="L84" s="63">
        <v>177635.09054566215</v>
      </c>
      <c r="M84" s="64">
        <f t="shared" si="46"/>
        <v>1230260.5253505702</v>
      </c>
      <c r="N84" s="56"/>
      <c r="O84" s="56"/>
    </row>
    <row r="85" spans="2:15" x14ac:dyDescent="0.2">
      <c r="B85" s="39" t="s">
        <v>289</v>
      </c>
      <c r="C85" s="57" t="s">
        <v>298</v>
      </c>
      <c r="D85" s="61">
        <v>99954.214914873417</v>
      </c>
      <c r="E85" s="62">
        <v>57531.293259853614</v>
      </c>
      <c r="F85" s="62">
        <v>337409.2931511178</v>
      </c>
      <c r="G85" s="62">
        <v>164590.64388236855</v>
      </c>
      <c r="H85" s="62">
        <v>72334.66303995761</v>
      </c>
      <c r="I85" s="62">
        <v>71958.832142772066</v>
      </c>
      <c r="J85" s="62">
        <v>25143.459654135673</v>
      </c>
      <c r="K85" s="62">
        <v>87071.683836382814</v>
      </c>
      <c r="L85" s="63">
        <v>149665.88450781177</v>
      </c>
      <c r="M85" s="64">
        <f t="shared" si="46"/>
        <v>1065659.9683892734</v>
      </c>
      <c r="N85" s="56"/>
      <c r="O85" s="56"/>
    </row>
    <row r="86" spans="2:15" x14ac:dyDescent="0.2">
      <c r="B86" s="39" t="s">
        <v>289</v>
      </c>
      <c r="C86" s="57" t="s">
        <v>299</v>
      </c>
      <c r="D86" s="61">
        <v>85657.935058467308</v>
      </c>
      <c r="E86" s="62">
        <v>47358.759335343013</v>
      </c>
      <c r="F86" s="62">
        <v>259904.71059841078</v>
      </c>
      <c r="G86" s="62">
        <v>135067.57479627428</v>
      </c>
      <c r="H86" s="62">
        <v>59535.699451174391</v>
      </c>
      <c r="I86" s="62">
        <v>57722.731447368671</v>
      </c>
      <c r="J86" s="62">
        <v>21226.328101977022</v>
      </c>
      <c r="K86" s="62">
        <v>67152.716918075777</v>
      </c>
      <c r="L86" s="63">
        <v>115483.26102797377</v>
      </c>
      <c r="M86" s="64">
        <f t="shared" si="46"/>
        <v>849109.71673506487</v>
      </c>
      <c r="N86" s="56"/>
      <c r="O86" s="56"/>
    </row>
    <row r="87" spans="2:15" x14ac:dyDescent="0.2">
      <c r="B87" s="39" t="s">
        <v>289</v>
      </c>
      <c r="C87" s="57" t="s">
        <v>300</v>
      </c>
      <c r="D87" s="61">
        <v>65712.530211265694</v>
      </c>
      <c r="E87" s="62">
        <v>35202.879092710122</v>
      </c>
      <c r="F87" s="62">
        <v>183555.23516859065</v>
      </c>
      <c r="G87" s="62">
        <v>107345.71990624472</v>
      </c>
      <c r="H87" s="62">
        <v>46731.595839705587</v>
      </c>
      <c r="I87" s="62">
        <v>42199.6650079803</v>
      </c>
      <c r="J87" s="62">
        <v>15931.177878049799</v>
      </c>
      <c r="K87" s="62">
        <v>45395.574781546224</v>
      </c>
      <c r="L87" s="63">
        <v>85538.701380323604</v>
      </c>
      <c r="M87" s="64">
        <f t="shared" si="46"/>
        <v>627613.07926641672</v>
      </c>
      <c r="N87" s="56"/>
      <c r="O87" s="56"/>
    </row>
    <row r="88" spans="2:15" x14ac:dyDescent="0.2">
      <c r="B88" s="39" t="s">
        <v>289</v>
      </c>
      <c r="C88" s="57" t="s">
        <v>301</v>
      </c>
      <c r="D88" s="61">
        <v>46738.778888706271</v>
      </c>
      <c r="E88" s="62">
        <v>23678.134762401118</v>
      </c>
      <c r="F88" s="62">
        <v>118553.76515105853</v>
      </c>
      <c r="G88" s="62">
        <v>74336.371068492881</v>
      </c>
      <c r="H88" s="62">
        <v>32286.145109124718</v>
      </c>
      <c r="I88" s="62">
        <v>27177.883572653369</v>
      </c>
      <c r="J88" s="62">
        <v>11066.089193788592</v>
      </c>
      <c r="K88" s="62">
        <v>30850.900192749737</v>
      </c>
      <c r="L88" s="63">
        <v>59221.081702753363</v>
      </c>
      <c r="M88" s="64">
        <f t="shared" si="46"/>
        <v>423909.14964172855</v>
      </c>
      <c r="N88" s="56"/>
      <c r="O88" s="56"/>
    </row>
    <row r="89" spans="2:15" x14ac:dyDescent="0.2">
      <c r="B89" s="39" t="s">
        <v>289</v>
      </c>
      <c r="C89" s="57" t="s">
        <v>302</v>
      </c>
      <c r="D89" s="61">
        <v>37105.145836542724</v>
      </c>
      <c r="E89" s="62">
        <v>15273.747966348525</v>
      </c>
      <c r="F89" s="62">
        <v>70334.1548700977</v>
      </c>
      <c r="G89" s="62">
        <v>48285.868070428449</v>
      </c>
      <c r="H89" s="62">
        <v>22728.746587072888</v>
      </c>
      <c r="I89" s="62">
        <v>17656.891994218684</v>
      </c>
      <c r="J89" s="62">
        <v>7451.8323757787684</v>
      </c>
      <c r="K89" s="62">
        <v>20239.766153911773</v>
      </c>
      <c r="L89" s="63">
        <v>39168.322239719884</v>
      </c>
      <c r="M89" s="64">
        <f t="shared" si="46"/>
        <v>278244.47609411937</v>
      </c>
      <c r="N89" s="56"/>
      <c r="O89" s="56"/>
    </row>
    <row r="90" spans="2:15" x14ac:dyDescent="0.2">
      <c r="B90" s="39" t="s">
        <v>289</v>
      </c>
      <c r="C90" s="57" t="s">
        <v>303</v>
      </c>
      <c r="D90" s="61">
        <v>26974.046801568384</v>
      </c>
      <c r="E90" s="62">
        <v>8604.4782724720662</v>
      </c>
      <c r="F90" s="62">
        <v>35340.584621226866</v>
      </c>
      <c r="G90" s="62">
        <v>29723.775790081276</v>
      </c>
      <c r="H90" s="62">
        <v>15970.163943619222</v>
      </c>
      <c r="I90" s="62">
        <v>10414.353171676174</v>
      </c>
      <c r="J90" s="62">
        <v>4227.4847094308252</v>
      </c>
      <c r="K90" s="62">
        <v>10401.640191938593</v>
      </c>
      <c r="L90" s="63">
        <v>22783.202240415863</v>
      </c>
      <c r="M90" s="64">
        <f t="shared" si="46"/>
        <v>164439.72974242928</v>
      </c>
      <c r="N90" s="56"/>
      <c r="O90" s="56"/>
    </row>
    <row r="91" spans="2:15" x14ac:dyDescent="0.2">
      <c r="B91" s="39" t="s">
        <v>289</v>
      </c>
      <c r="C91" s="57" t="s">
        <v>304</v>
      </c>
      <c r="D91" s="61">
        <v>17162.555422220546</v>
      </c>
      <c r="E91" s="62">
        <v>4289.1144069608672</v>
      </c>
      <c r="F91" s="62">
        <v>19867.129701218753</v>
      </c>
      <c r="G91" s="62">
        <v>20100.092675524607</v>
      </c>
      <c r="H91" s="62">
        <v>14849.875608191178</v>
      </c>
      <c r="I91" s="62">
        <v>9082.725480806097</v>
      </c>
      <c r="J91" s="62">
        <v>2516.1221898666495</v>
      </c>
      <c r="K91" s="62">
        <v>6246.6109235915283</v>
      </c>
      <c r="L91" s="63">
        <v>12793.29732907809</v>
      </c>
      <c r="M91" s="64">
        <f t="shared" si="46"/>
        <v>106907.52373745832</v>
      </c>
      <c r="N91" s="56"/>
      <c r="O91" s="56"/>
    </row>
    <row r="92" spans="2:15" x14ac:dyDescent="0.2">
      <c r="B92" s="39" t="s">
        <v>305</v>
      </c>
      <c r="C92" s="57" t="s">
        <v>280</v>
      </c>
      <c r="D92" s="61">
        <v>369019.06655810197</v>
      </c>
      <c r="E92" s="62">
        <v>123296.04279091323</v>
      </c>
      <c r="F92" s="62">
        <v>508107.51513010194</v>
      </c>
      <c r="G92" s="62">
        <v>581339.36302029656</v>
      </c>
      <c r="H92" s="62">
        <v>315893.1458896462</v>
      </c>
      <c r="I92" s="62">
        <v>220990.62437407667</v>
      </c>
      <c r="J92" s="62">
        <v>57860.021494845452</v>
      </c>
      <c r="K92" s="62">
        <v>184921.87706621405</v>
      </c>
      <c r="L92" s="63">
        <v>263760.86172601976</v>
      </c>
      <c r="M92" s="64">
        <f t="shared" si="46"/>
        <v>2625188.5180502152</v>
      </c>
      <c r="N92" s="56"/>
      <c r="O92" s="56"/>
    </row>
    <row r="93" spans="2:15" x14ac:dyDescent="0.2">
      <c r="B93" s="39" t="s">
        <v>305</v>
      </c>
      <c r="C93" s="57" t="s">
        <v>281</v>
      </c>
      <c r="D93" s="61">
        <v>367252.01706748729</v>
      </c>
      <c r="E93" s="62">
        <v>122352.14489068613</v>
      </c>
      <c r="F93" s="62">
        <v>487408.80088541564</v>
      </c>
      <c r="G93" s="62">
        <v>568090.80241680611</v>
      </c>
      <c r="H93" s="62">
        <v>284277.75317451393</v>
      </c>
      <c r="I93" s="62">
        <v>207372.22196712461</v>
      </c>
      <c r="J93" s="62">
        <v>56477.963191947281</v>
      </c>
      <c r="K93" s="62">
        <v>179177.83822814588</v>
      </c>
      <c r="L93" s="63">
        <v>262955.5874162782</v>
      </c>
      <c r="M93" s="64">
        <f t="shared" si="46"/>
        <v>2535365.1292384053</v>
      </c>
      <c r="N93" s="56"/>
      <c r="O93" s="56"/>
    </row>
    <row r="94" spans="2:15" x14ac:dyDescent="0.2">
      <c r="B94" s="39" t="s">
        <v>305</v>
      </c>
      <c r="C94" s="57" t="s">
        <v>290</v>
      </c>
      <c r="D94" s="61">
        <v>344306.03979731916</v>
      </c>
      <c r="E94" s="62">
        <v>134854.86238927214</v>
      </c>
      <c r="F94" s="62">
        <v>501825.36499367299</v>
      </c>
      <c r="G94" s="62">
        <v>553744.95387530397</v>
      </c>
      <c r="H94" s="62">
        <v>291669.70855488157</v>
      </c>
      <c r="I94" s="62">
        <v>218171.61968799576</v>
      </c>
      <c r="J94" s="62">
        <v>58096.602684195663</v>
      </c>
      <c r="K94" s="62">
        <v>171990.41894070012</v>
      </c>
      <c r="L94" s="63">
        <v>257874.85859818244</v>
      </c>
      <c r="M94" s="64">
        <f>SUM(D94:L94)</f>
        <v>2532534.4295215239</v>
      </c>
      <c r="N94" s="56"/>
      <c r="O94" s="56"/>
    </row>
    <row r="95" spans="2:15" x14ac:dyDescent="0.2">
      <c r="B95" s="39" t="s">
        <v>305</v>
      </c>
      <c r="C95" s="57" t="s">
        <v>291</v>
      </c>
      <c r="D95" s="61">
        <v>359031.95734185621</v>
      </c>
      <c r="E95" s="62">
        <v>139660.87263883516</v>
      </c>
      <c r="F95" s="62">
        <v>513732.74708965467</v>
      </c>
      <c r="G95" s="62">
        <v>557258.74568875344</v>
      </c>
      <c r="H95" s="62">
        <v>314019.37211236201</v>
      </c>
      <c r="I95" s="62">
        <v>219718.53041167266</v>
      </c>
      <c r="J95" s="62">
        <v>56035.89700403632</v>
      </c>
      <c r="K95" s="62">
        <v>166734.65151780681</v>
      </c>
      <c r="L95" s="63">
        <v>254366.81403876509</v>
      </c>
      <c r="M95" s="64">
        <f t="shared" si="46"/>
        <v>2580559.5878437427</v>
      </c>
      <c r="N95" s="56"/>
      <c r="O95" s="56"/>
    </row>
    <row r="96" spans="2:15" x14ac:dyDescent="0.2">
      <c r="B96" s="39" t="s">
        <v>305</v>
      </c>
      <c r="C96" s="57" t="s">
        <v>292</v>
      </c>
      <c r="D96" s="61">
        <v>344134.14994558913</v>
      </c>
      <c r="E96" s="62">
        <v>132516.5925678635</v>
      </c>
      <c r="F96" s="62">
        <v>542933.04519381118</v>
      </c>
      <c r="G96" s="62">
        <v>515598.41488882247</v>
      </c>
      <c r="H96" s="62">
        <v>295228.62586277595</v>
      </c>
      <c r="I96" s="62">
        <v>202054.3802643547</v>
      </c>
      <c r="J96" s="62">
        <v>50788.012517987205</v>
      </c>
      <c r="K96" s="62">
        <v>160765.83952349264</v>
      </c>
      <c r="L96" s="63">
        <v>250857.45447810445</v>
      </c>
      <c r="M96" s="64">
        <f t="shared" si="46"/>
        <v>2494876.5152428015</v>
      </c>
      <c r="N96" s="56"/>
      <c r="O96" s="56"/>
    </row>
    <row r="97" spans="1:15" x14ac:dyDescent="0.2">
      <c r="B97" s="39" t="s">
        <v>305</v>
      </c>
      <c r="C97" s="57" t="s">
        <v>293</v>
      </c>
      <c r="D97" s="61">
        <v>298409.89712464006</v>
      </c>
      <c r="E97" s="62">
        <v>124242.57106275597</v>
      </c>
      <c r="F97" s="62">
        <v>564892.36757019046</v>
      </c>
      <c r="G97" s="62">
        <v>470133.53400704946</v>
      </c>
      <c r="H97" s="62">
        <v>262167.80258652818</v>
      </c>
      <c r="I97" s="62">
        <v>186174.39960518101</v>
      </c>
      <c r="J97" s="62">
        <v>47215.437432880572</v>
      </c>
      <c r="K97" s="62">
        <v>150549.40996442037</v>
      </c>
      <c r="L97" s="63">
        <v>254935.67529885803</v>
      </c>
      <c r="M97" s="64">
        <f t="shared" si="46"/>
        <v>2358721.0946525042</v>
      </c>
      <c r="N97" s="56"/>
      <c r="O97" s="56"/>
    </row>
    <row r="98" spans="1:15" x14ac:dyDescent="0.2">
      <c r="B98" s="39" t="s">
        <v>305</v>
      </c>
      <c r="C98" s="57" t="s">
        <v>294</v>
      </c>
      <c r="D98" s="61">
        <v>242211.94867751695</v>
      </c>
      <c r="E98" s="62">
        <v>113393.79229748569</v>
      </c>
      <c r="F98" s="62">
        <v>578933.77499206702</v>
      </c>
      <c r="G98" s="62">
        <v>415720.36376215471</v>
      </c>
      <c r="H98" s="62">
        <v>225078.67790261301</v>
      </c>
      <c r="I98" s="62">
        <v>164943.94502327673</v>
      </c>
      <c r="J98" s="62">
        <v>42981.564591085589</v>
      </c>
      <c r="K98" s="62">
        <v>136411.11840940415</v>
      </c>
      <c r="L98" s="63">
        <v>253984.46040002193</v>
      </c>
      <c r="M98" s="64">
        <f t="shared" si="46"/>
        <v>2173659.6460556258</v>
      </c>
      <c r="N98" s="56"/>
      <c r="O98" s="56"/>
    </row>
    <row r="99" spans="1:15" x14ac:dyDescent="0.2">
      <c r="B99" s="39" t="s">
        <v>305</v>
      </c>
      <c r="C99" s="57" t="s">
        <v>295</v>
      </c>
      <c r="D99" s="61">
        <v>194048.17173950138</v>
      </c>
      <c r="E99" s="62">
        <v>100749.59528712815</v>
      </c>
      <c r="F99" s="62">
        <v>569396.5795205686</v>
      </c>
      <c r="G99" s="62">
        <v>354371.59548230912</v>
      </c>
      <c r="H99" s="62">
        <v>186052.46617010332</v>
      </c>
      <c r="I99" s="62">
        <v>144339.49417289204</v>
      </c>
      <c r="J99" s="62">
        <v>38792.459451651841</v>
      </c>
      <c r="K99" s="62">
        <v>122694.52362363029</v>
      </c>
      <c r="L99" s="63">
        <v>242863.86058582913</v>
      </c>
      <c r="M99" s="64">
        <f t="shared" si="46"/>
        <v>1953308.746033614</v>
      </c>
      <c r="N99" s="56"/>
      <c r="O99" s="56"/>
    </row>
    <row r="100" spans="1:15" x14ac:dyDescent="0.2">
      <c r="B100" s="39" t="s">
        <v>305</v>
      </c>
      <c r="C100" s="57" t="s">
        <v>296</v>
      </c>
      <c r="D100" s="61">
        <v>174986.1607305762</v>
      </c>
      <c r="E100" s="62">
        <v>91338.15722775858</v>
      </c>
      <c r="F100" s="62">
        <v>500884.18517882621</v>
      </c>
      <c r="G100" s="62">
        <v>303806.75536971819</v>
      </c>
      <c r="H100" s="62">
        <v>155000.5030603632</v>
      </c>
      <c r="I100" s="62">
        <v>126216.54930607145</v>
      </c>
      <c r="J100" s="62">
        <v>36609.664194854944</v>
      </c>
      <c r="K100" s="62">
        <v>109138.98572087527</v>
      </c>
      <c r="L100" s="63">
        <v>231378.02989586021</v>
      </c>
      <c r="M100" s="64">
        <f t="shared" si="46"/>
        <v>1729358.9906849042</v>
      </c>
      <c r="N100" s="56"/>
      <c r="O100" s="56"/>
    </row>
    <row r="101" spans="1:15" x14ac:dyDescent="0.2">
      <c r="B101" s="39" t="s">
        <v>305</v>
      </c>
      <c r="C101" s="57" t="s">
        <v>297</v>
      </c>
      <c r="D101" s="61">
        <v>151627.67521592983</v>
      </c>
      <c r="E101" s="62">
        <v>74485.100259757717</v>
      </c>
      <c r="F101" s="62">
        <v>380128.48277350719</v>
      </c>
      <c r="G101" s="62">
        <v>247969.89615189808</v>
      </c>
      <c r="H101" s="62">
        <v>124404.36808732893</v>
      </c>
      <c r="I101" s="62">
        <v>99090.763891402952</v>
      </c>
      <c r="J101" s="62">
        <v>30197.090078151185</v>
      </c>
      <c r="K101" s="62">
        <v>86583.426881056541</v>
      </c>
      <c r="L101" s="63">
        <v>187774.45980110319</v>
      </c>
      <c r="M101" s="64">
        <f t="shared" si="46"/>
        <v>1382261.2631401354</v>
      </c>
      <c r="N101" s="56"/>
      <c r="O101" s="56"/>
    </row>
    <row r="102" spans="1:15" x14ac:dyDescent="0.2">
      <c r="B102" s="39" t="s">
        <v>305</v>
      </c>
      <c r="C102" s="57" t="s">
        <v>298</v>
      </c>
      <c r="D102" s="61">
        <v>151868.77836889896</v>
      </c>
      <c r="E102" s="62">
        <v>66642.016563195168</v>
      </c>
      <c r="F102" s="62">
        <v>332800.26790690765</v>
      </c>
      <c r="G102" s="62">
        <v>228587.20911613142</v>
      </c>
      <c r="H102" s="62">
        <v>111222.68047818614</v>
      </c>
      <c r="I102" s="62">
        <v>83107.885746578075</v>
      </c>
      <c r="J102" s="62">
        <v>27492.661710030759</v>
      </c>
      <c r="K102" s="62">
        <v>77087.527697082784</v>
      </c>
      <c r="L102" s="63">
        <v>165498.21303065657</v>
      </c>
      <c r="M102" s="64">
        <f t="shared" si="46"/>
        <v>1244307.2406176676</v>
      </c>
      <c r="N102" s="56"/>
      <c r="O102" s="56"/>
    </row>
    <row r="103" spans="1:15" x14ac:dyDescent="0.2">
      <c r="B103" s="39" t="s">
        <v>305</v>
      </c>
      <c r="C103" s="57" t="s">
        <v>299</v>
      </c>
      <c r="D103" s="61">
        <v>129479.15107387138</v>
      </c>
      <c r="E103" s="62">
        <v>55632.193214472281</v>
      </c>
      <c r="F103" s="62">
        <v>261847.07629696955</v>
      </c>
      <c r="G103" s="62">
        <v>183316.59330986717</v>
      </c>
      <c r="H103" s="62">
        <v>91893.128024607358</v>
      </c>
      <c r="I103" s="62">
        <v>65765.106119184333</v>
      </c>
      <c r="J103" s="62">
        <v>23484.60905872966</v>
      </c>
      <c r="K103" s="62">
        <v>62450.044829906707</v>
      </c>
      <c r="L103" s="63">
        <v>128915.5642921017</v>
      </c>
      <c r="M103" s="64">
        <f t="shared" si="46"/>
        <v>1002783.46621971</v>
      </c>
      <c r="N103" s="56"/>
      <c r="O103" s="56"/>
    </row>
    <row r="104" spans="1:15" x14ac:dyDescent="0.2">
      <c r="B104" s="39" t="s">
        <v>305</v>
      </c>
      <c r="C104" s="57" t="s">
        <v>300</v>
      </c>
      <c r="D104" s="61">
        <v>101414.52809266828</v>
      </c>
      <c r="E104" s="62">
        <v>44622.611436445048</v>
      </c>
      <c r="F104" s="62">
        <v>193537.69491066769</v>
      </c>
      <c r="G104" s="62">
        <v>151779.93612973875</v>
      </c>
      <c r="H104" s="62">
        <v>74813.373639829282</v>
      </c>
      <c r="I104" s="62">
        <v>50603.904998010585</v>
      </c>
      <c r="J104" s="62">
        <v>18809.217476819809</v>
      </c>
      <c r="K104" s="62">
        <v>47365.752013111931</v>
      </c>
      <c r="L104" s="63">
        <v>98929.534433821958</v>
      </c>
      <c r="M104" s="64">
        <f t="shared" si="46"/>
        <v>781876.55313111329</v>
      </c>
      <c r="N104" s="56"/>
      <c r="O104" s="56"/>
    </row>
    <row r="105" spans="1:15" x14ac:dyDescent="0.2">
      <c r="B105" s="39" t="s">
        <v>305</v>
      </c>
      <c r="C105" s="57" t="s">
        <v>301</v>
      </c>
      <c r="D105" s="61">
        <v>94564.612117117984</v>
      </c>
      <c r="E105" s="62">
        <v>40209.642106349485</v>
      </c>
      <c r="F105" s="62">
        <v>167066.55803836574</v>
      </c>
      <c r="G105" s="62">
        <v>140852.78921218007</v>
      </c>
      <c r="H105" s="62">
        <v>66452.307372476615</v>
      </c>
      <c r="I105" s="62">
        <v>43124.307098625883</v>
      </c>
      <c r="J105" s="62">
        <v>17857.93746016486</v>
      </c>
      <c r="K105" s="62">
        <v>45168.256425416897</v>
      </c>
      <c r="L105" s="63">
        <v>90095.921280387673</v>
      </c>
      <c r="M105" s="64">
        <f t="shared" si="46"/>
        <v>705392.33111108525</v>
      </c>
      <c r="N105" s="56"/>
      <c r="O105" s="56"/>
    </row>
    <row r="106" spans="1:15" x14ac:dyDescent="0.2">
      <c r="B106" s="39" t="s">
        <v>305</v>
      </c>
      <c r="C106" s="57" t="s">
        <v>302</v>
      </c>
      <c r="D106" s="61">
        <v>80269.590351206833</v>
      </c>
      <c r="E106" s="62">
        <v>27626.397491189404</v>
      </c>
      <c r="F106" s="62">
        <v>105164.56433543307</v>
      </c>
      <c r="G106" s="62">
        <v>98684.011373674206</v>
      </c>
      <c r="H106" s="62">
        <v>51378.611964280513</v>
      </c>
      <c r="I106" s="62">
        <v>31605.079601462476</v>
      </c>
      <c r="J106" s="62">
        <v>12682.842176662309</v>
      </c>
      <c r="K106" s="62">
        <v>33099.624615078879</v>
      </c>
      <c r="L106" s="63">
        <v>59503.724264425575</v>
      </c>
      <c r="M106" s="64">
        <f t="shared" si="46"/>
        <v>500014.44617341331</v>
      </c>
      <c r="N106" s="56"/>
      <c r="O106" s="56"/>
    </row>
    <row r="107" spans="1:15" x14ac:dyDescent="0.2">
      <c r="B107" s="39" t="s">
        <v>305</v>
      </c>
      <c r="C107" s="57" t="s">
        <v>303</v>
      </c>
      <c r="D107" s="61">
        <v>60095.999324899218</v>
      </c>
      <c r="E107" s="62">
        <v>17302.94665699964</v>
      </c>
      <c r="F107" s="62">
        <v>53138.851758325836</v>
      </c>
      <c r="G107" s="62">
        <v>64012.711389844873</v>
      </c>
      <c r="H107" s="62">
        <v>41961.981050905437</v>
      </c>
      <c r="I107" s="62">
        <v>22116.826861104746</v>
      </c>
      <c r="J107" s="62">
        <v>7326.6334597502646</v>
      </c>
      <c r="K107" s="62">
        <v>19033.432420341014</v>
      </c>
      <c r="L107" s="63">
        <v>33333.197515444786</v>
      </c>
      <c r="M107" s="64">
        <f>SUM(D107:L107)</f>
        <v>318322.5804376158</v>
      </c>
      <c r="N107" s="56"/>
      <c r="O107" s="56"/>
    </row>
    <row r="108" spans="1:15" x14ac:dyDescent="0.2">
      <c r="B108" s="43" t="s">
        <v>305</v>
      </c>
      <c r="C108" s="45" t="s">
        <v>304</v>
      </c>
      <c r="D108" s="65">
        <v>39202.213245555926</v>
      </c>
      <c r="E108" s="66">
        <v>11390.420862109382</v>
      </c>
      <c r="F108" s="66">
        <v>34587.412999386579</v>
      </c>
      <c r="G108" s="66">
        <v>47359.008542241179</v>
      </c>
      <c r="H108" s="66">
        <v>42880.813115823199</v>
      </c>
      <c r="I108" s="66">
        <v>19689.439765587202</v>
      </c>
      <c r="J108" s="66">
        <v>6043.1879303061578</v>
      </c>
      <c r="K108" s="66">
        <v>16754.796682915399</v>
      </c>
      <c r="L108" s="67">
        <v>22283.561227051181</v>
      </c>
      <c r="M108" s="68">
        <f t="shared" si="46"/>
        <v>240190.85437097622</v>
      </c>
      <c r="N108" s="56"/>
      <c r="O108" s="56"/>
    </row>
    <row r="109" spans="1:15" x14ac:dyDescent="0.2">
      <c r="B109" s="69"/>
      <c r="C109" s="69"/>
      <c r="D109" s="70" t="s">
        <v>268</v>
      </c>
      <c r="E109" s="70" t="s">
        <v>269</v>
      </c>
      <c r="F109" s="70" t="s">
        <v>270</v>
      </c>
      <c r="G109" s="70" t="s">
        <v>271</v>
      </c>
      <c r="H109" s="70" t="s">
        <v>272</v>
      </c>
      <c r="I109" s="70" t="s">
        <v>273</v>
      </c>
      <c r="J109" s="70" t="s">
        <v>274</v>
      </c>
      <c r="K109" s="70" t="s">
        <v>275</v>
      </c>
      <c r="L109" s="70" t="s">
        <v>276</v>
      </c>
      <c r="M109" s="50" t="s">
        <v>277</v>
      </c>
      <c r="N109" s="56"/>
      <c r="O109" s="56"/>
    </row>
    <row r="110" spans="1:15" x14ac:dyDescent="0.2">
      <c r="A110" s="52" t="s">
        <v>306</v>
      </c>
      <c r="B110" s="54"/>
      <c r="C110" s="54"/>
      <c r="D110" s="54"/>
      <c r="E110" s="54"/>
      <c r="F110" s="54"/>
      <c r="G110" s="54"/>
      <c r="H110" s="54"/>
      <c r="I110" s="54"/>
      <c r="J110" s="54"/>
      <c r="K110" s="54"/>
      <c r="L110" s="54"/>
      <c r="M110" s="71"/>
      <c r="N110" s="56"/>
      <c r="O110" s="56"/>
    </row>
    <row r="111" spans="1:15" x14ac:dyDescent="0.2">
      <c r="B111" s="72"/>
      <c r="C111" s="73" t="s">
        <v>280</v>
      </c>
      <c r="D111" s="41">
        <f t="shared" ref="D111:L111" si="47">D75+D92</f>
        <v>745873.02043483977</v>
      </c>
      <c r="E111" s="58">
        <f t="shared" si="47"/>
        <v>248024.5337907311</v>
      </c>
      <c r="F111" s="58">
        <f t="shared" si="47"/>
        <v>1025336.4222954145</v>
      </c>
      <c r="G111" s="58">
        <f t="shared" si="47"/>
        <v>1171913.0940595977</v>
      </c>
      <c r="H111" s="58">
        <f t="shared" si="47"/>
        <v>635784.1121603495</v>
      </c>
      <c r="I111" s="58">
        <f t="shared" si="47"/>
        <v>444582.02572944469</v>
      </c>
      <c r="J111" s="58">
        <f t="shared" si="47"/>
        <v>116560.77613877709</v>
      </c>
      <c r="K111" s="58">
        <f t="shared" si="47"/>
        <v>372340.99933925638</v>
      </c>
      <c r="L111" s="59">
        <f t="shared" si="47"/>
        <v>532096.66608627827</v>
      </c>
      <c r="M111" s="60">
        <f>SUM(D111:L111)</f>
        <v>5292511.6500346884</v>
      </c>
      <c r="N111" s="56"/>
      <c r="O111" s="56"/>
    </row>
    <row r="112" spans="1:15" x14ac:dyDescent="0.2">
      <c r="B112" s="39"/>
      <c r="C112" s="57" t="s">
        <v>281</v>
      </c>
      <c r="D112" s="61">
        <f t="shared" ref="D112:L112" si="48">D76+D93</f>
        <v>733369.70391480147</v>
      </c>
      <c r="E112" s="62">
        <f t="shared" si="48"/>
        <v>243481.8367528159</v>
      </c>
      <c r="F112" s="62">
        <f t="shared" si="48"/>
        <v>988845.93915364158</v>
      </c>
      <c r="G112" s="62">
        <f t="shared" si="48"/>
        <v>1139041.9267428075</v>
      </c>
      <c r="H112" s="62">
        <f t="shared" si="48"/>
        <v>567794.23884744605</v>
      </c>
      <c r="I112" s="62">
        <f t="shared" si="48"/>
        <v>417121.20484585501</v>
      </c>
      <c r="J112" s="62">
        <f t="shared" si="48"/>
        <v>112366.27629490469</v>
      </c>
      <c r="K112" s="62">
        <f t="shared" si="48"/>
        <v>358625.84936985956</v>
      </c>
      <c r="L112" s="63">
        <f t="shared" si="48"/>
        <v>530587.45875699609</v>
      </c>
      <c r="M112" s="64">
        <f t="shared" ref="M112:M127" si="49">SUM(D112:L112)</f>
        <v>5091234.4346791273</v>
      </c>
      <c r="N112" s="56"/>
      <c r="O112" s="56"/>
    </row>
    <row r="113" spans="2:15" x14ac:dyDescent="0.2">
      <c r="B113" s="39"/>
      <c r="C113" s="57" t="s">
        <v>290</v>
      </c>
      <c r="D113" s="61">
        <f t="shared" ref="D113:L113" si="50">D77+D94</f>
        <v>694450.77796912764</v>
      </c>
      <c r="E113" s="62">
        <f t="shared" si="50"/>
        <v>270186.72143197263</v>
      </c>
      <c r="F113" s="62">
        <f t="shared" si="50"/>
        <v>996887.40916787623</v>
      </c>
      <c r="G113" s="62">
        <f t="shared" si="50"/>
        <v>1108408.1561311972</v>
      </c>
      <c r="H113" s="62">
        <f t="shared" si="50"/>
        <v>583597.23727582651</v>
      </c>
      <c r="I113" s="62">
        <f t="shared" si="50"/>
        <v>436438.86238336796</v>
      </c>
      <c r="J113" s="62">
        <f t="shared" si="50"/>
        <v>117094.16990456973</v>
      </c>
      <c r="K113" s="62">
        <f t="shared" si="50"/>
        <v>344933.91945370147</v>
      </c>
      <c r="L113" s="63">
        <f t="shared" si="50"/>
        <v>518998.38872877578</v>
      </c>
      <c r="M113" s="64">
        <f t="shared" si="49"/>
        <v>5070995.6424464146</v>
      </c>
      <c r="N113" s="56"/>
      <c r="O113" s="56"/>
    </row>
    <row r="114" spans="2:15" x14ac:dyDescent="0.2">
      <c r="B114" s="39"/>
      <c r="C114" s="57" t="s">
        <v>291</v>
      </c>
      <c r="D114" s="61">
        <f t="shared" ref="D114:L114" si="51">D78+D95</f>
        <v>724511.56578066573</v>
      </c>
      <c r="E114" s="62">
        <f t="shared" si="51"/>
        <v>280958.1908133371</v>
      </c>
      <c r="F114" s="62">
        <f t="shared" si="51"/>
        <v>1020917.0879573039</v>
      </c>
      <c r="G114" s="62">
        <f t="shared" si="51"/>
        <v>1110449.9214331382</v>
      </c>
      <c r="H114" s="62">
        <f t="shared" si="51"/>
        <v>628621.68871402182</v>
      </c>
      <c r="I114" s="62">
        <f t="shared" si="51"/>
        <v>440222.54490307462</v>
      </c>
      <c r="J114" s="62">
        <f t="shared" si="51"/>
        <v>114221.6165517059</v>
      </c>
      <c r="K114" s="62">
        <f t="shared" si="51"/>
        <v>338298.69298520172</v>
      </c>
      <c r="L114" s="63">
        <f t="shared" si="51"/>
        <v>510595.38543084578</v>
      </c>
      <c r="M114" s="64">
        <f t="shared" si="49"/>
        <v>5168796.6945692943</v>
      </c>
      <c r="N114" s="56"/>
      <c r="O114" s="56"/>
    </row>
    <row r="115" spans="2:15" x14ac:dyDescent="0.2">
      <c r="B115" s="39"/>
      <c r="C115" s="57" t="s">
        <v>292</v>
      </c>
      <c r="D115" s="61">
        <f t="shared" ref="D115:L115" si="52">D79+D96</f>
        <v>684719.51400814753</v>
      </c>
      <c r="E115" s="62">
        <f t="shared" si="52"/>
        <v>267002.39091335749</v>
      </c>
      <c r="F115" s="62">
        <f t="shared" si="52"/>
        <v>1113149.9091967419</v>
      </c>
      <c r="G115" s="62">
        <f t="shared" si="52"/>
        <v>1025367.0913945019</v>
      </c>
      <c r="H115" s="62">
        <f t="shared" si="52"/>
        <v>585149.500038967</v>
      </c>
      <c r="I115" s="62">
        <f t="shared" si="52"/>
        <v>412160.60484911612</v>
      </c>
      <c r="J115" s="62">
        <f t="shared" si="52"/>
        <v>104155.89397635807</v>
      </c>
      <c r="K115" s="62">
        <f t="shared" si="52"/>
        <v>333694.10909916926</v>
      </c>
      <c r="L115" s="63">
        <f t="shared" si="52"/>
        <v>509132.65399562533</v>
      </c>
      <c r="M115" s="64">
        <f t="shared" si="49"/>
        <v>5034531.6674719844</v>
      </c>
      <c r="N115" s="56"/>
      <c r="O115" s="56"/>
    </row>
    <row r="116" spans="2:15" x14ac:dyDescent="0.2">
      <c r="B116" s="39"/>
      <c r="C116" s="57" t="s">
        <v>293</v>
      </c>
      <c r="D116" s="61">
        <f t="shared" ref="D116:L116" si="53">D80+D97</f>
        <v>585265.71237104503</v>
      </c>
      <c r="E116" s="62">
        <f t="shared" si="53"/>
        <v>250815.17860333581</v>
      </c>
      <c r="F116" s="62">
        <f t="shared" si="53"/>
        <v>1170093.3644284434</v>
      </c>
      <c r="G116" s="62">
        <f t="shared" si="53"/>
        <v>925927.13185582636</v>
      </c>
      <c r="H116" s="62">
        <f t="shared" si="53"/>
        <v>515813.30860713625</v>
      </c>
      <c r="I116" s="62">
        <f t="shared" si="53"/>
        <v>384555.78898473689</v>
      </c>
      <c r="J116" s="62">
        <f t="shared" si="53"/>
        <v>98094.208165964752</v>
      </c>
      <c r="K116" s="62">
        <f t="shared" si="53"/>
        <v>319727.13833143772</v>
      </c>
      <c r="L116" s="63">
        <f t="shared" si="53"/>
        <v>515369.43618979846</v>
      </c>
      <c r="M116" s="64">
        <f t="shared" si="49"/>
        <v>4765661.2675377252</v>
      </c>
      <c r="N116" s="56"/>
      <c r="O116" s="56"/>
    </row>
    <row r="117" spans="2:15" x14ac:dyDescent="0.2">
      <c r="B117" s="39"/>
      <c r="C117" s="57" t="s">
        <v>294</v>
      </c>
      <c r="D117" s="61">
        <f t="shared" ref="D117:L117" si="54">D81+D98</f>
        <v>475847.49345523311</v>
      </c>
      <c r="E117" s="62">
        <f t="shared" si="54"/>
        <v>228078.26468430611</v>
      </c>
      <c r="F117" s="62">
        <f t="shared" si="54"/>
        <v>1211051.0081256437</v>
      </c>
      <c r="G117" s="62">
        <f t="shared" si="54"/>
        <v>814076.98947778228</v>
      </c>
      <c r="H117" s="62">
        <f t="shared" si="54"/>
        <v>437187.71971414529</v>
      </c>
      <c r="I117" s="62">
        <f t="shared" si="54"/>
        <v>338368.73571524385</v>
      </c>
      <c r="J117" s="62">
        <f t="shared" si="54"/>
        <v>89722.232069779711</v>
      </c>
      <c r="K117" s="62">
        <f t="shared" si="54"/>
        <v>295013.61532348749</v>
      </c>
      <c r="L117" s="63">
        <f t="shared" si="54"/>
        <v>510187.02926982893</v>
      </c>
      <c r="M117" s="64">
        <f t="shared" si="49"/>
        <v>4399533.0878354507</v>
      </c>
      <c r="N117" s="56"/>
      <c r="O117" s="56"/>
    </row>
    <row r="118" spans="2:15" x14ac:dyDescent="0.2">
      <c r="B118" s="39"/>
      <c r="C118" s="57" t="s">
        <v>295</v>
      </c>
      <c r="D118" s="61">
        <f t="shared" ref="D118:L118" si="55">D82+D99</f>
        <v>370548.08310748159</v>
      </c>
      <c r="E118" s="62">
        <f t="shared" si="55"/>
        <v>197765.32223109252</v>
      </c>
      <c r="F118" s="62">
        <f t="shared" si="55"/>
        <v>1208383.9720323333</v>
      </c>
      <c r="G118" s="62">
        <f t="shared" si="55"/>
        <v>682196.64402732346</v>
      </c>
      <c r="H118" s="62">
        <f t="shared" si="55"/>
        <v>341673.48546247598</v>
      </c>
      <c r="I118" s="62">
        <f t="shared" si="55"/>
        <v>284260.53563407424</v>
      </c>
      <c r="J118" s="62">
        <f t="shared" si="55"/>
        <v>79255.227338905155</v>
      </c>
      <c r="K118" s="62">
        <f t="shared" si="55"/>
        <v>260332.9376286589</v>
      </c>
      <c r="L118" s="63">
        <f t="shared" si="55"/>
        <v>488875.94177460216</v>
      </c>
      <c r="M118" s="64">
        <f t="shared" si="49"/>
        <v>3913292.1492369473</v>
      </c>
      <c r="N118" s="56"/>
      <c r="O118" s="56"/>
    </row>
    <row r="119" spans="2:15" x14ac:dyDescent="0.2">
      <c r="B119" s="39"/>
      <c r="C119" s="57" t="s">
        <v>296</v>
      </c>
      <c r="D119" s="61">
        <f t="shared" ref="D119:L119" si="56">D83+D100</f>
        <v>310218.11576045229</v>
      </c>
      <c r="E119" s="62">
        <f t="shared" si="56"/>
        <v>171891.29077442188</v>
      </c>
      <c r="F119" s="62">
        <f t="shared" si="56"/>
        <v>1039881.0667982358</v>
      </c>
      <c r="G119" s="62">
        <f t="shared" si="56"/>
        <v>551103.98260533763</v>
      </c>
      <c r="H119" s="62">
        <f t="shared" si="56"/>
        <v>267739.87302252022</v>
      </c>
      <c r="I119" s="62">
        <f t="shared" si="56"/>
        <v>234756.1558015717</v>
      </c>
      <c r="J119" s="62">
        <f t="shared" si="56"/>
        <v>71718.367764903902</v>
      </c>
      <c r="K119" s="62">
        <f t="shared" si="56"/>
        <v>224372.90704553426</v>
      </c>
      <c r="L119" s="63">
        <f t="shared" si="56"/>
        <v>452460.22734533821</v>
      </c>
      <c r="M119" s="64">
        <f t="shared" si="49"/>
        <v>3324141.9869183158</v>
      </c>
      <c r="N119" s="56"/>
      <c r="O119" s="56"/>
    </row>
    <row r="120" spans="2:15" x14ac:dyDescent="0.2">
      <c r="B120" s="39"/>
      <c r="C120" s="57" t="s">
        <v>297</v>
      </c>
      <c r="D120" s="61">
        <f t="shared" ref="D120:L120" si="57">D84+D101</f>
        <v>259132.72696226416</v>
      </c>
      <c r="E120" s="62">
        <f t="shared" si="57"/>
        <v>139573.69619863498</v>
      </c>
      <c r="F120" s="62">
        <f t="shared" si="57"/>
        <v>780784.9146750014</v>
      </c>
      <c r="G120" s="62">
        <f t="shared" si="57"/>
        <v>434380.18697019445</v>
      </c>
      <c r="H120" s="62">
        <f t="shared" si="57"/>
        <v>209566.80501273595</v>
      </c>
      <c r="I120" s="62">
        <f t="shared" si="57"/>
        <v>183277.70423760882</v>
      </c>
      <c r="J120" s="62">
        <f t="shared" si="57"/>
        <v>58465.502699156728</v>
      </c>
      <c r="K120" s="62">
        <f t="shared" si="57"/>
        <v>181930.70138834376</v>
      </c>
      <c r="L120" s="63">
        <f t="shared" si="57"/>
        <v>365409.55034676532</v>
      </c>
      <c r="M120" s="64">
        <f t="shared" si="49"/>
        <v>2612521.7884907052</v>
      </c>
      <c r="N120" s="56"/>
      <c r="O120" s="56"/>
    </row>
    <row r="121" spans="2:15" x14ac:dyDescent="0.2">
      <c r="B121" s="39"/>
      <c r="C121" s="57" t="s">
        <v>298</v>
      </c>
      <c r="D121" s="61">
        <f t="shared" ref="D121:L121" si="58">D85+D102</f>
        <v>251822.99328377238</v>
      </c>
      <c r="E121" s="62">
        <f t="shared" si="58"/>
        <v>124173.30982304878</v>
      </c>
      <c r="F121" s="62">
        <f t="shared" si="58"/>
        <v>670209.56105802546</v>
      </c>
      <c r="G121" s="62">
        <f t="shared" si="58"/>
        <v>393177.85299849999</v>
      </c>
      <c r="H121" s="62">
        <f t="shared" si="58"/>
        <v>183557.34351814375</v>
      </c>
      <c r="I121" s="62">
        <f t="shared" si="58"/>
        <v>155066.71788935014</v>
      </c>
      <c r="J121" s="62">
        <f t="shared" si="58"/>
        <v>52636.121364166436</v>
      </c>
      <c r="K121" s="62">
        <f t="shared" si="58"/>
        <v>164159.2115334656</v>
      </c>
      <c r="L121" s="63">
        <f t="shared" si="58"/>
        <v>315164.09753846831</v>
      </c>
      <c r="M121" s="64">
        <f t="shared" si="49"/>
        <v>2309967.2090069409</v>
      </c>
      <c r="N121" s="56"/>
      <c r="O121" s="56"/>
    </row>
    <row r="122" spans="2:15" x14ac:dyDescent="0.2">
      <c r="B122" s="39"/>
      <c r="C122" s="57" t="s">
        <v>299</v>
      </c>
      <c r="D122" s="61">
        <f t="shared" ref="D122:L122" si="59">D86+D103</f>
        <v>215137.08613233868</v>
      </c>
      <c r="E122" s="62">
        <f t="shared" si="59"/>
        <v>102990.95254981529</v>
      </c>
      <c r="F122" s="62">
        <f t="shared" si="59"/>
        <v>521751.78689538036</v>
      </c>
      <c r="G122" s="62">
        <f t="shared" si="59"/>
        <v>318384.16810614144</v>
      </c>
      <c r="H122" s="62">
        <f t="shared" si="59"/>
        <v>151428.82747578176</v>
      </c>
      <c r="I122" s="62">
        <f t="shared" si="59"/>
        <v>123487.837566553</v>
      </c>
      <c r="J122" s="62">
        <f t="shared" si="59"/>
        <v>44710.937160706686</v>
      </c>
      <c r="K122" s="62">
        <f t="shared" si="59"/>
        <v>129602.76174798248</v>
      </c>
      <c r="L122" s="63">
        <f t="shared" si="59"/>
        <v>244398.82532007547</v>
      </c>
      <c r="M122" s="64">
        <f t="shared" si="49"/>
        <v>1851893.1829547752</v>
      </c>
      <c r="N122" s="56"/>
      <c r="O122" s="56"/>
    </row>
    <row r="123" spans="2:15" x14ac:dyDescent="0.2">
      <c r="B123" s="39"/>
      <c r="C123" s="57" t="s">
        <v>300</v>
      </c>
      <c r="D123" s="61">
        <f t="shared" ref="D123:L123" si="60">D87+D104</f>
        <v>167127.05830393397</v>
      </c>
      <c r="E123" s="62">
        <f t="shared" si="60"/>
        <v>79825.490529155169</v>
      </c>
      <c r="F123" s="62">
        <f t="shared" si="60"/>
        <v>377092.93007925834</v>
      </c>
      <c r="G123" s="62">
        <f t="shared" si="60"/>
        <v>259125.65603598347</v>
      </c>
      <c r="H123" s="62">
        <f t="shared" si="60"/>
        <v>121544.96947953486</v>
      </c>
      <c r="I123" s="62">
        <f t="shared" si="60"/>
        <v>92803.570005990885</v>
      </c>
      <c r="J123" s="62">
        <f t="shared" si="60"/>
        <v>34740.395354869608</v>
      </c>
      <c r="K123" s="62">
        <f t="shared" si="60"/>
        <v>92761.326794658147</v>
      </c>
      <c r="L123" s="63">
        <f t="shared" si="60"/>
        <v>184468.23581414556</v>
      </c>
      <c r="M123" s="64">
        <f t="shared" si="49"/>
        <v>1409489.6323975299</v>
      </c>
      <c r="N123" s="56"/>
      <c r="O123" s="56"/>
    </row>
    <row r="124" spans="2:15" x14ac:dyDescent="0.2">
      <c r="B124" s="39"/>
      <c r="C124" s="57" t="s">
        <v>301</v>
      </c>
      <c r="D124" s="61">
        <f t="shared" ref="D124:L124" si="61">D88+D105</f>
        <v>141303.39100582426</v>
      </c>
      <c r="E124" s="62">
        <f t="shared" si="61"/>
        <v>63887.776868750603</v>
      </c>
      <c r="F124" s="62">
        <f t="shared" si="61"/>
        <v>285620.32318942423</v>
      </c>
      <c r="G124" s="62">
        <f t="shared" si="61"/>
        <v>215189.16028067295</v>
      </c>
      <c r="H124" s="62">
        <f t="shared" si="61"/>
        <v>98738.452481601329</v>
      </c>
      <c r="I124" s="62">
        <f t="shared" si="61"/>
        <v>70302.190671279255</v>
      </c>
      <c r="J124" s="62">
        <f t="shared" si="61"/>
        <v>28924.02665395345</v>
      </c>
      <c r="K124" s="62">
        <f t="shared" si="61"/>
        <v>76019.156618166628</v>
      </c>
      <c r="L124" s="63">
        <f t="shared" si="61"/>
        <v>149317.00298314105</v>
      </c>
      <c r="M124" s="64">
        <f t="shared" si="49"/>
        <v>1129301.4807528139</v>
      </c>
      <c r="N124" s="56"/>
      <c r="O124" s="56"/>
    </row>
    <row r="125" spans="2:15" x14ac:dyDescent="0.2">
      <c r="B125" s="39"/>
      <c r="C125" s="57" t="s">
        <v>302</v>
      </c>
      <c r="D125" s="61">
        <f t="shared" ref="D125:L125" si="62">D89+D106</f>
        <v>117374.73618774956</v>
      </c>
      <c r="E125" s="62">
        <f t="shared" si="62"/>
        <v>42900.145457537932</v>
      </c>
      <c r="F125" s="62">
        <f t="shared" si="62"/>
        <v>175498.71920553077</v>
      </c>
      <c r="G125" s="62">
        <f t="shared" si="62"/>
        <v>146969.87944410264</v>
      </c>
      <c r="H125" s="62">
        <f t="shared" si="62"/>
        <v>74107.358551353405</v>
      </c>
      <c r="I125" s="62">
        <f t="shared" si="62"/>
        <v>49261.971595681156</v>
      </c>
      <c r="J125" s="62">
        <f t="shared" si="62"/>
        <v>20134.674552441076</v>
      </c>
      <c r="K125" s="62">
        <f t="shared" si="62"/>
        <v>53339.390768990648</v>
      </c>
      <c r="L125" s="63">
        <f t="shared" si="62"/>
        <v>98672.046504145459</v>
      </c>
      <c r="M125" s="64">
        <f t="shared" si="49"/>
        <v>778258.92226753267</v>
      </c>
      <c r="N125" s="56"/>
      <c r="O125" s="56"/>
    </row>
    <row r="126" spans="2:15" x14ac:dyDescent="0.2">
      <c r="B126" s="39"/>
      <c r="C126" s="57" t="s">
        <v>303</v>
      </c>
      <c r="D126" s="61">
        <f t="shared" ref="D126:L126" si="63">D90+D107</f>
        <v>87070.046126467598</v>
      </c>
      <c r="E126" s="62">
        <f t="shared" si="63"/>
        <v>25907.424929471708</v>
      </c>
      <c r="F126" s="62">
        <f t="shared" si="63"/>
        <v>88479.436379552702</v>
      </c>
      <c r="G126" s="62">
        <f t="shared" si="63"/>
        <v>93736.487179926145</v>
      </c>
      <c r="H126" s="62">
        <f t="shared" si="63"/>
        <v>57932.144994524657</v>
      </c>
      <c r="I126" s="62">
        <f t="shared" si="63"/>
        <v>32531.180032780918</v>
      </c>
      <c r="J126" s="62">
        <f t="shared" si="63"/>
        <v>11554.118169181089</v>
      </c>
      <c r="K126" s="62">
        <f t="shared" si="63"/>
        <v>29435.072612279608</v>
      </c>
      <c r="L126" s="63">
        <f t="shared" si="63"/>
        <v>56116.39975586065</v>
      </c>
      <c r="M126" s="64">
        <f t="shared" si="49"/>
        <v>482762.31018004508</v>
      </c>
      <c r="N126" s="56"/>
      <c r="O126" s="56"/>
    </row>
    <row r="127" spans="2:15" x14ac:dyDescent="0.2">
      <c r="B127" s="43"/>
      <c r="C127" s="45" t="s">
        <v>304</v>
      </c>
      <c r="D127" s="65">
        <f t="shared" ref="D127:L127" si="64">D91+D108</f>
        <v>56364.768667776472</v>
      </c>
      <c r="E127" s="66">
        <f t="shared" si="64"/>
        <v>15679.535269070249</v>
      </c>
      <c r="F127" s="66">
        <f t="shared" si="64"/>
        <v>54454.542700605336</v>
      </c>
      <c r="G127" s="66">
        <f t="shared" si="64"/>
        <v>67459.101217765783</v>
      </c>
      <c r="H127" s="66">
        <f t="shared" si="64"/>
        <v>57730.688724014377</v>
      </c>
      <c r="I127" s="66">
        <f t="shared" si="64"/>
        <v>28772.165246393299</v>
      </c>
      <c r="J127" s="66">
        <f t="shared" si="64"/>
        <v>8559.3101201728077</v>
      </c>
      <c r="K127" s="66">
        <f t="shared" si="64"/>
        <v>23001.407606506928</v>
      </c>
      <c r="L127" s="74">
        <f t="shared" si="64"/>
        <v>35076.858556129271</v>
      </c>
      <c r="M127" s="68">
        <f t="shared" si="49"/>
        <v>347098.37810843455</v>
      </c>
      <c r="N127" s="56"/>
      <c r="O127" s="56"/>
    </row>
    <row r="128" spans="2:15" x14ac:dyDescent="0.2">
      <c r="D128" s="56"/>
      <c r="E128" s="56"/>
      <c r="F128" s="56"/>
      <c r="G128" s="56"/>
      <c r="H128" s="56"/>
      <c r="I128" s="56"/>
      <c r="J128" s="56"/>
      <c r="K128" s="56"/>
      <c r="L128" s="56"/>
      <c r="M128" s="56"/>
      <c r="N128" s="56"/>
      <c r="O128" s="56"/>
    </row>
    <row r="129" spans="1:15" x14ac:dyDescent="0.2">
      <c r="D129" s="56"/>
      <c r="E129" s="56"/>
      <c r="F129" s="56"/>
      <c r="G129" s="56"/>
      <c r="H129" s="56"/>
      <c r="I129" s="56"/>
      <c r="J129" s="56"/>
      <c r="K129" s="56"/>
      <c r="L129" s="56"/>
      <c r="M129" s="56"/>
      <c r="N129" s="56"/>
      <c r="O129" s="56"/>
    </row>
    <row r="130" spans="1:15" x14ac:dyDescent="0.2">
      <c r="D130" s="56"/>
      <c r="E130" s="56"/>
      <c r="F130" s="56"/>
      <c r="G130" s="56"/>
      <c r="H130" s="56"/>
      <c r="I130" s="56"/>
      <c r="J130" s="56"/>
      <c r="K130" s="56"/>
      <c r="L130" s="56"/>
      <c r="M130" s="56"/>
      <c r="N130" s="56"/>
      <c r="O130" s="56"/>
    </row>
    <row r="131" spans="1:15" x14ac:dyDescent="0.2">
      <c r="D131" s="56"/>
      <c r="E131" s="56"/>
      <c r="F131" s="56"/>
      <c r="G131" s="56"/>
      <c r="H131" s="56"/>
      <c r="I131" s="56"/>
      <c r="J131" s="56"/>
      <c r="K131" s="56"/>
      <c r="L131" s="56"/>
      <c r="M131" s="56"/>
      <c r="N131" s="56"/>
      <c r="O131" s="56"/>
    </row>
    <row r="132" spans="1:15" x14ac:dyDescent="0.2">
      <c r="A132" s="30" t="s">
        <v>402</v>
      </c>
      <c r="D132" s="56"/>
      <c r="E132" s="56"/>
      <c r="F132" s="56"/>
      <c r="G132" s="56"/>
      <c r="H132" s="56"/>
      <c r="I132" s="56"/>
      <c r="J132" s="56"/>
      <c r="K132" s="56"/>
      <c r="L132" s="56"/>
      <c r="M132" s="56"/>
      <c r="N132" s="56"/>
      <c r="O132" s="56"/>
    </row>
    <row r="133" spans="1:15" x14ac:dyDescent="0.2">
      <c r="A133" s="98" t="s">
        <v>403</v>
      </c>
      <c r="D133" s="56"/>
      <c r="E133" s="56"/>
      <c r="F133" s="56"/>
      <c r="G133" s="56"/>
      <c r="H133" s="56"/>
      <c r="I133" s="56"/>
      <c r="J133" s="56"/>
      <c r="K133" s="56"/>
      <c r="L133" s="56"/>
      <c r="M133" s="56"/>
      <c r="N133" s="56"/>
      <c r="O133" s="56"/>
    </row>
    <row r="134" spans="1:15" x14ac:dyDescent="0.2">
      <c r="A134" s="98" t="s">
        <v>404</v>
      </c>
      <c r="D134" s="56"/>
      <c r="E134" s="56"/>
      <c r="F134" s="56"/>
      <c r="G134" s="56"/>
      <c r="H134" s="56"/>
      <c r="I134" s="56"/>
      <c r="J134" s="56"/>
      <c r="K134" s="56"/>
      <c r="L134" s="56"/>
      <c r="M134" s="56"/>
      <c r="N134" s="56"/>
      <c r="O134" s="56"/>
    </row>
    <row r="135" spans="1:15" x14ac:dyDescent="0.2">
      <c r="A135" s="100" t="s">
        <v>405</v>
      </c>
      <c r="D135" s="56"/>
      <c r="E135" s="56"/>
      <c r="F135" s="56"/>
      <c r="G135" s="56"/>
      <c r="H135" s="56"/>
      <c r="I135" s="56"/>
      <c r="J135" s="56"/>
      <c r="K135" s="56"/>
      <c r="L135" s="56"/>
      <c r="M135" s="56"/>
      <c r="N135" s="56"/>
      <c r="O135" s="56"/>
    </row>
    <row r="136" spans="1:15" x14ac:dyDescent="0.2">
      <c r="A136" s="100" t="s">
        <v>406</v>
      </c>
      <c r="B136" s="98" t="s">
        <v>403</v>
      </c>
      <c r="C136" s="98" t="s">
        <v>404</v>
      </c>
      <c r="D136" s="99" t="s">
        <v>405</v>
      </c>
      <c r="E136" s="99" t="s">
        <v>406</v>
      </c>
      <c r="F136" s="56"/>
      <c r="G136" s="56" t="s">
        <v>540</v>
      </c>
      <c r="H136" s="56" t="s">
        <v>541</v>
      </c>
      <c r="I136" s="56" t="s">
        <v>542</v>
      </c>
      <c r="J136" s="56"/>
      <c r="K136" s="56"/>
      <c r="L136" s="56"/>
      <c r="M136" s="56"/>
      <c r="N136" s="56"/>
      <c r="O136" s="56"/>
    </row>
    <row r="137" spans="1:15" x14ac:dyDescent="0.2">
      <c r="A137" s="30">
        <v>1</v>
      </c>
      <c r="B137" s="89">
        <f>C34</f>
        <v>1318895.7942483788</v>
      </c>
      <c r="C137" s="89">
        <f>C48</f>
        <v>876140.28941072116</v>
      </c>
      <c r="D137" s="89">
        <f>C41</f>
        <v>654762.53699189215</v>
      </c>
      <c r="E137" s="89">
        <f>C55</f>
        <v>1088147.3215649554</v>
      </c>
      <c r="F137" s="56">
        <v>1</v>
      </c>
      <c r="G137" s="56">
        <f>C62</f>
        <v>221377.7524188289</v>
      </c>
      <c r="H137" s="56">
        <f>C62*2</f>
        <v>442755.50483765779</v>
      </c>
      <c r="I137" s="56">
        <f>C41</f>
        <v>654762.53699189215</v>
      </c>
      <c r="J137" s="56"/>
      <c r="K137" s="56"/>
      <c r="L137" s="56"/>
      <c r="M137" s="56"/>
      <c r="N137" s="56"/>
      <c r="O137" s="56"/>
    </row>
    <row r="138" spans="1:15" x14ac:dyDescent="0.2">
      <c r="A138" s="30">
        <v>2</v>
      </c>
      <c r="B138" s="89">
        <f t="shared" ref="B138:B141" si="65">C35</f>
        <v>2629048.3522937391</v>
      </c>
      <c r="C138" s="89">
        <f t="shared" ref="C138:C141" si="66">C49</f>
        <v>1746609.6719403774</v>
      </c>
      <c r="D138" s="89">
        <f t="shared" ref="D138:D141" si="67">C42</f>
        <v>1305390.3317636964</v>
      </c>
      <c r="E138" s="89">
        <f t="shared" ref="E138:E141" si="68">C56</f>
        <v>2169561.3233507122</v>
      </c>
      <c r="F138" s="56">
        <v>2</v>
      </c>
      <c r="G138" s="56">
        <f t="shared" ref="G138:G141" si="69">C63</f>
        <v>441219.34017668082</v>
      </c>
      <c r="H138" s="56">
        <f t="shared" ref="H138:H141" si="70">C63*2</f>
        <v>882438.68035336165</v>
      </c>
      <c r="I138" s="56">
        <f t="shared" ref="I138:I141" si="71">C42</f>
        <v>1305390.3317636964</v>
      </c>
      <c r="J138" s="56"/>
      <c r="K138" s="56"/>
      <c r="L138" s="56"/>
      <c r="M138" s="56"/>
      <c r="N138" s="56"/>
      <c r="O138" s="56"/>
    </row>
    <row r="139" spans="1:15" x14ac:dyDescent="0.2">
      <c r="A139" s="30">
        <v>3</v>
      </c>
      <c r="B139" s="101">
        <f t="shared" si="65"/>
        <v>3905727.581384711</v>
      </c>
      <c r="C139" s="89">
        <f t="shared" si="66"/>
        <v>2594862.1091712844</v>
      </c>
      <c r="D139" s="89">
        <f t="shared" si="67"/>
        <v>1939429.3730645706</v>
      </c>
      <c r="E139" s="89">
        <f t="shared" si="68"/>
        <v>3223426.0100224279</v>
      </c>
      <c r="F139" s="56">
        <v>3</v>
      </c>
      <c r="G139" s="56">
        <f t="shared" si="69"/>
        <v>655432.7361067133</v>
      </c>
      <c r="H139" s="56">
        <f t="shared" si="70"/>
        <v>1310865.4722134266</v>
      </c>
      <c r="I139" s="56">
        <f t="shared" si="71"/>
        <v>1939429.3730645706</v>
      </c>
      <c r="J139" s="56"/>
      <c r="K139" s="56"/>
      <c r="L139" s="56"/>
      <c r="M139" s="56"/>
      <c r="N139" s="56"/>
      <c r="O139" s="56"/>
    </row>
    <row r="140" spans="1:15" x14ac:dyDescent="0.2">
      <c r="A140" s="30">
        <v>4</v>
      </c>
      <c r="B140" s="89">
        <f t="shared" si="65"/>
        <v>5140373.0599253578</v>
      </c>
      <c r="C140" s="89">
        <f t="shared" si="66"/>
        <v>3415562.5147759244</v>
      </c>
      <c r="D140" s="89">
        <f t="shared" si="67"/>
        <v>2553157.2422012072</v>
      </c>
      <c r="E140" s="89">
        <f t="shared" si="68"/>
        <v>4243909.2118276972</v>
      </c>
      <c r="F140" s="56">
        <v>4</v>
      </c>
      <c r="G140" s="56">
        <f t="shared" si="69"/>
        <v>862405.27257471695</v>
      </c>
      <c r="H140" s="56">
        <f t="shared" si="70"/>
        <v>1724810.5451494339</v>
      </c>
      <c r="I140" s="56">
        <f t="shared" si="71"/>
        <v>2553157.2422012072</v>
      </c>
      <c r="J140" s="56"/>
      <c r="K140" s="56"/>
      <c r="L140" s="56"/>
      <c r="M140" s="56"/>
      <c r="N140" s="56"/>
      <c r="O140" s="56"/>
    </row>
    <row r="141" spans="1:15" x14ac:dyDescent="0.2">
      <c r="A141" s="30">
        <v>5</v>
      </c>
      <c r="B141" s="89">
        <f t="shared" si="65"/>
        <v>6310758.5369705148</v>
      </c>
      <c r="C141" s="89">
        <f t="shared" si="66"/>
        <v>4193753.8769566393</v>
      </c>
      <c r="D141" s="89">
        <f t="shared" si="67"/>
        <v>3135251.5469497014</v>
      </c>
      <c r="E141" s="89">
        <f t="shared" si="68"/>
        <v>5212000.7638924643</v>
      </c>
      <c r="F141" s="56">
        <v>5</v>
      </c>
      <c r="G141" s="56">
        <f t="shared" si="69"/>
        <v>1058502.3300069377</v>
      </c>
      <c r="H141" s="56">
        <f t="shared" si="70"/>
        <v>2117004.6600138755</v>
      </c>
      <c r="I141" s="56">
        <f t="shared" si="71"/>
        <v>3135251.5469497014</v>
      </c>
      <c r="J141" s="56"/>
      <c r="K141" s="56"/>
      <c r="L141" s="56"/>
      <c r="M141" s="56"/>
      <c r="N141" s="56"/>
      <c r="O141" s="56"/>
    </row>
    <row r="142" spans="1:15" x14ac:dyDescent="0.2">
      <c r="D142" s="56"/>
      <c r="E142" s="56"/>
      <c r="F142" s="56"/>
      <c r="G142" s="56"/>
      <c r="H142" s="56"/>
      <c r="I142" s="56"/>
      <c r="J142" s="56"/>
      <c r="K142" s="56"/>
      <c r="L142" s="56"/>
      <c r="M142" s="56"/>
      <c r="N142" s="56"/>
      <c r="O142" s="56"/>
    </row>
    <row r="143" spans="1:15" x14ac:dyDescent="0.2">
      <c r="D143" s="56"/>
      <c r="E143" s="56"/>
      <c r="F143" s="56"/>
      <c r="G143" s="56"/>
      <c r="H143" s="56"/>
      <c r="I143" s="56"/>
      <c r="J143" s="56"/>
      <c r="K143" s="56"/>
      <c r="L143" s="56"/>
      <c r="M143" s="56"/>
      <c r="N143" s="56"/>
      <c r="O143" s="56"/>
    </row>
    <row r="144" spans="1:15" x14ac:dyDescent="0.2">
      <c r="D144" s="56"/>
      <c r="E144" s="56"/>
      <c r="F144" s="56"/>
      <c r="G144" s="56"/>
      <c r="H144" s="56"/>
      <c r="I144" s="56"/>
      <c r="J144" s="56"/>
      <c r="K144" s="56"/>
      <c r="L144" s="56"/>
      <c r="M144" s="56"/>
      <c r="N144" s="56"/>
      <c r="O144" s="56"/>
    </row>
    <row r="145" spans="4:15" x14ac:dyDescent="0.2">
      <c r="D145" s="56"/>
      <c r="E145" s="56"/>
      <c r="F145" s="56"/>
      <c r="G145" s="56"/>
      <c r="H145" s="56"/>
      <c r="I145" s="56"/>
      <c r="J145" s="56"/>
      <c r="K145" s="56"/>
      <c r="L145" s="56"/>
      <c r="M145" s="56"/>
      <c r="N145" s="56"/>
      <c r="O145" s="56"/>
    </row>
    <row r="146" spans="4:15" x14ac:dyDescent="0.2">
      <c r="D146" s="56"/>
      <c r="E146" s="56"/>
      <c r="F146" s="56"/>
      <c r="G146" s="56"/>
      <c r="H146" s="56"/>
      <c r="I146" s="56"/>
      <c r="J146" s="56"/>
      <c r="K146" s="56"/>
      <c r="L146" s="56"/>
      <c r="M146" s="56"/>
      <c r="N146" s="56"/>
      <c r="O146" s="56"/>
    </row>
    <row r="147" spans="4:15" x14ac:dyDescent="0.2">
      <c r="D147" s="56"/>
      <c r="E147" s="56"/>
      <c r="F147" s="56"/>
      <c r="G147" s="56"/>
      <c r="H147" s="56"/>
      <c r="I147" s="56"/>
      <c r="J147" s="56"/>
      <c r="K147" s="56"/>
      <c r="L147" s="56"/>
      <c r="M147" s="56"/>
      <c r="N147" s="56"/>
      <c r="O147" s="56"/>
    </row>
    <row r="148" spans="4:15" x14ac:dyDescent="0.2">
      <c r="D148" s="56"/>
      <c r="E148" s="56"/>
      <c r="F148" s="56"/>
      <c r="G148" s="56"/>
      <c r="H148" s="56"/>
      <c r="I148" s="56"/>
      <c r="J148" s="56"/>
      <c r="K148" s="56"/>
      <c r="L148" s="56"/>
      <c r="M148" s="56"/>
      <c r="N148" s="56"/>
      <c r="O148" s="56"/>
    </row>
    <row r="149" spans="4:15" x14ac:dyDescent="0.2">
      <c r="D149" s="56"/>
      <c r="E149" s="56"/>
      <c r="F149" s="56"/>
      <c r="G149" s="56"/>
      <c r="H149" s="56"/>
      <c r="I149" s="56"/>
      <c r="J149" s="56"/>
      <c r="K149" s="56"/>
      <c r="L149" s="56"/>
      <c r="M149" s="56"/>
      <c r="N149" s="56"/>
      <c r="O149" s="56"/>
    </row>
    <row r="150" spans="4:15" x14ac:dyDescent="0.2">
      <c r="D150" s="56"/>
      <c r="E150" s="56"/>
      <c r="F150" s="56"/>
      <c r="G150" s="56"/>
      <c r="H150" s="56"/>
      <c r="I150" s="56"/>
      <c r="J150" s="56"/>
      <c r="K150" s="56"/>
      <c r="L150" s="56"/>
      <c r="M150" s="56"/>
      <c r="N150" s="56"/>
      <c r="O150" s="56"/>
    </row>
    <row r="151" spans="4:15" x14ac:dyDescent="0.2">
      <c r="D151" s="56"/>
      <c r="E151" s="56"/>
      <c r="F151" s="56"/>
      <c r="G151" s="56"/>
      <c r="H151" s="56"/>
      <c r="I151" s="56"/>
      <c r="J151" s="56"/>
      <c r="K151" s="56"/>
      <c r="L151" s="56"/>
      <c r="M151" s="56"/>
      <c r="N151" s="56"/>
      <c r="O151" s="56"/>
    </row>
    <row r="152" spans="4:15" x14ac:dyDescent="0.2">
      <c r="D152" s="56"/>
      <c r="E152" s="56"/>
      <c r="F152" s="56"/>
      <c r="G152" s="56"/>
      <c r="H152" s="56"/>
      <c r="I152" s="56"/>
      <c r="J152" s="56"/>
      <c r="K152" s="56"/>
      <c r="L152" s="56"/>
      <c r="M152" s="56"/>
      <c r="N152" s="56"/>
      <c r="O152" s="56"/>
    </row>
    <row r="153" spans="4:15" x14ac:dyDescent="0.2">
      <c r="D153" s="56"/>
      <c r="E153" s="56"/>
      <c r="F153" s="56"/>
      <c r="G153" s="56"/>
      <c r="H153" s="56"/>
      <c r="I153" s="56"/>
      <c r="J153" s="56"/>
      <c r="K153" s="56"/>
      <c r="L153" s="56"/>
      <c r="M153" s="56"/>
      <c r="N153" s="56"/>
      <c r="O153" s="56"/>
    </row>
    <row r="154" spans="4:15" x14ac:dyDescent="0.2">
      <c r="D154" s="56"/>
      <c r="E154" s="56"/>
      <c r="F154" s="56"/>
      <c r="G154" s="56"/>
      <c r="H154" s="56"/>
      <c r="I154" s="56"/>
      <c r="J154" s="56"/>
      <c r="K154" s="56"/>
      <c r="L154" s="56"/>
      <c r="M154" s="56"/>
      <c r="N154" s="56"/>
      <c r="O154" s="56"/>
    </row>
    <row r="155" spans="4:15" x14ac:dyDescent="0.2">
      <c r="D155" s="56"/>
      <c r="E155" s="56"/>
      <c r="F155" s="56"/>
      <c r="G155" s="56"/>
      <c r="H155" s="56"/>
      <c r="I155" s="56"/>
      <c r="J155" s="56"/>
      <c r="K155" s="56"/>
      <c r="L155" s="56"/>
      <c r="M155" s="56"/>
      <c r="N155" s="56"/>
      <c r="O155" s="56"/>
    </row>
    <row r="156" spans="4:15" x14ac:dyDescent="0.2">
      <c r="D156" s="56"/>
      <c r="E156" s="56"/>
      <c r="F156" s="56"/>
      <c r="G156" s="56"/>
      <c r="H156" s="56"/>
      <c r="I156" s="56"/>
      <c r="J156" s="56"/>
      <c r="K156" s="56"/>
      <c r="L156" s="56"/>
      <c r="M156" s="56"/>
      <c r="N156" s="56"/>
      <c r="O156" s="56"/>
    </row>
    <row r="157" spans="4:15" x14ac:dyDescent="0.2">
      <c r="D157" s="56"/>
      <c r="E157" s="56"/>
      <c r="F157" s="56"/>
      <c r="G157" s="56"/>
      <c r="H157" s="56"/>
      <c r="I157" s="56"/>
      <c r="J157" s="56"/>
      <c r="K157" s="56"/>
      <c r="L157" s="56"/>
      <c r="M157" s="56"/>
      <c r="N157" s="56"/>
      <c r="O157" s="56"/>
    </row>
    <row r="158" spans="4:15" x14ac:dyDescent="0.2">
      <c r="D158" s="56"/>
      <c r="E158" s="56"/>
      <c r="F158" s="56"/>
      <c r="G158" s="56"/>
      <c r="H158" s="56"/>
      <c r="I158" s="56"/>
      <c r="J158" s="56"/>
      <c r="K158" s="56"/>
      <c r="L158" s="56"/>
      <c r="M158" s="56"/>
      <c r="N158" s="56"/>
      <c r="O158" s="56"/>
    </row>
    <row r="159" spans="4:15" x14ac:dyDescent="0.2">
      <c r="D159" s="56"/>
      <c r="E159" s="56"/>
      <c r="F159" s="56"/>
      <c r="G159" s="56"/>
      <c r="H159" s="56"/>
      <c r="I159" s="56"/>
      <c r="J159" s="56"/>
      <c r="K159" s="56"/>
      <c r="L159" s="56"/>
      <c r="M159" s="56"/>
      <c r="N159" s="56"/>
      <c r="O159" s="56"/>
    </row>
    <row r="160" spans="4:15" x14ac:dyDescent="0.2">
      <c r="D160" s="56"/>
      <c r="E160" s="56"/>
      <c r="F160" s="56"/>
      <c r="G160" s="56"/>
      <c r="H160" s="56"/>
      <c r="I160" s="56"/>
      <c r="J160" s="56"/>
      <c r="K160" s="56"/>
      <c r="L160" s="56"/>
      <c r="M160" s="56"/>
      <c r="N160" s="56"/>
      <c r="O160" s="56"/>
    </row>
    <row r="161" spans="4:15" x14ac:dyDescent="0.2">
      <c r="D161" s="56"/>
      <c r="E161" s="56"/>
      <c r="F161" s="56"/>
      <c r="G161" s="56"/>
      <c r="H161" s="56"/>
      <c r="I161" s="56"/>
      <c r="J161" s="56"/>
      <c r="K161" s="56"/>
      <c r="L161" s="56"/>
      <c r="M161" s="56"/>
      <c r="N161" s="56"/>
      <c r="O161" s="56"/>
    </row>
    <row r="162" spans="4:15" x14ac:dyDescent="0.2">
      <c r="D162" s="56"/>
      <c r="E162" s="56"/>
      <c r="F162" s="56"/>
      <c r="G162" s="56"/>
      <c r="H162" s="56"/>
      <c r="I162" s="56"/>
      <c r="J162" s="56"/>
      <c r="K162" s="56"/>
      <c r="L162" s="56"/>
      <c r="M162" s="56"/>
      <c r="N162" s="56"/>
      <c r="O162" s="56"/>
    </row>
    <row r="163" spans="4:15" x14ac:dyDescent="0.2">
      <c r="D163" s="56"/>
      <c r="E163" s="56"/>
      <c r="F163" s="56"/>
      <c r="G163" s="56"/>
      <c r="H163" s="56"/>
      <c r="I163" s="56"/>
      <c r="J163" s="56"/>
      <c r="K163" s="56"/>
      <c r="L163" s="56"/>
      <c r="M163" s="56"/>
      <c r="N163" s="56"/>
      <c r="O163" s="56"/>
    </row>
    <row r="164" spans="4:15" x14ac:dyDescent="0.2">
      <c r="D164" s="56"/>
      <c r="E164" s="56"/>
      <c r="F164" s="56"/>
      <c r="G164" s="56"/>
      <c r="H164" s="56"/>
      <c r="I164" s="56"/>
      <c r="J164" s="56"/>
      <c r="K164" s="56"/>
      <c r="L164" s="56"/>
      <c r="M164" s="56"/>
      <c r="N164" s="56"/>
      <c r="O164" s="56"/>
    </row>
    <row r="165" spans="4:15" x14ac:dyDescent="0.2">
      <c r="D165" s="56"/>
      <c r="E165" s="56"/>
      <c r="F165" s="56"/>
      <c r="G165" s="56"/>
      <c r="H165" s="56"/>
      <c r="I165" s="56"/>
      <c r="J165" s="56"/>
      <c r="K165" s="56"/>
      <c r="L165" s="56"/>
      <c r="M165" s="56"/>
      <c r="N165" s="56"/>
      <c r="O165" s="56"/>
    </row>
    <row r="166" spans="4:15" x14ac:dyDescent="0.2">
      <c r="D166" s="56"/>
      <c r="E166" s="56"/>
      <c r="F166" s="56"/>
      <c r="G166" s="56"/>
      <c r="H166" s="56"/>
      <c r="I166" s="56"/>
      <c r="J166" s="56"/>
      <c r="K166" s="56"/>
      <c r="L166" s="56"/>
      <c r="M166" s="56"/>
      <c r="N166" s="56"/>
      <c r="O166" s="56"/>
    </row>
    <row r="167" spans="4:15" x14ac:dyDescent="0.2">
      <c r="D167" s="56"/>
      <c r="E167" s="56"/>
      <c r="F167" s="56"/>
      <c r="G167" s="56"/>
      <c r="H167" s="56"/>
      <c r="I167" s="56"/>
      <c r="J167" s="56"/>
      <c r="K167" s="56"/>
      <c r="L167" s="56"/>
      <c r="M167" s="56"/>
      <c r="N167" s="56"/>
      <c r="O167" s="56"/>
    </row>
    <row r="168" spans="4:15" x14ac:dyDescent="0.2">
      <c r="D168" s="56"/>
      <c r="E168" s="56"/>
      <c r="F168" s="56"/>
      <c r="G168" s="56"/>
      <c r="H168" s="56"/>
      <c r="I168" s="56"/>
      <c r="J168" s="56"/>
      <c r="K168" s="56"/>
      <c r="L168" s="56"/>
      <c r="M168" s="56"/>
      <c r="N168" s="56"/>
      <c r="O168" s="56"/>
    </row>
    <row r="169" spans="4:15" x14ac:dyDescent="0.2">
      <c r="D169" s="56"/>
      <c r="E169" s="56"/>
      <c r="F169" s="56"/>
      <c r="G169" s="56"/>
      <c r="H169" s="56"/>
      <c r="I169" s="56"/>
      <c r="J169" s="56"/>
      <c r="K169" s="56"/>
      <c r="L169" s="56"/>
      <c r="M169" s="56"/>
      <c r="N169" s="56"/>
      <c r="O169" s="56"/>
    </row>
    <row r="170" spans="4:15" x14ac:dyDescent="0.2">
      <c r="D170" s="56"/>
      <c r="E170" s="56"/>
      <c r="F170" s="56"/>
      <c r="G170" s="56"/>
      <c r="H170" s="56"/>
      <c r="I170" s="56"/>
      <c r="J170" s="56"/>
      <c r="K170" s="56"/>
      <c r="L170" s="56"/>
      <c r="M170" s="56"/>
      <c r="N170" s="56"/>
      <c r="O170" s="56"/>
    </row>
    <row r="171" spans="4:15" x14ac:dyDescent="0.2">
      <c r="D171" s="56"/>
      <c r="E171" s="56"/>
      <c r="F171" s="56"/>
      <c r="G171" s="56"/>
      <c r="H171" s="56"/>
      <c r="I171" s="56"/>
      <c r="J171" s="56"/>
      <c r="K171" s="56"/>
      <c r="L171" s="56"/>
      <c r="M171" s="56"/>
      <c r="N171" s="56"/>
      <c r="O171" s="56"/>
    </row>
    <row r="172" spans="4:15" x14ac:dyDescent="0.2">
      <c r="D172" s="56"/>
      <c r="E172" s="56"/>
      <c r="F172" s="56"/>
      <c r="G172" s="56"/>
      <c r="H172" s="56"/>
      <c r="I172" s="56"/>
      <c r="J172" s="56"/>
      <c r="K172" s="56"/>
      <c r="L172" s="56"/>
      <c r="M172" s="56"/>
      <c r="N172" s="56"/>
      <c r="O172" s="56"/>
    </row>
    <row r="173" spans="4:15" x14ac:dyDescent="0.2">
      <c r="D173" s="56"/>
      <c r="E173" s="56"/>
      <c r="F173" s="56"/>
      <c r="G173" s="56"/>
      <c r="H173" s="56"/>
      <c r="I173" s="56"/>
      <c r="J173" s="56"/>
      <c r="K173" s="56"/>
      <c r="L173" s="56"/>
      <c r="M173" s="56"/>
      <c r="N173" s="56"/>
      <c r="O173" s="56"/>
    </row>
    <row r="174" spans="4:15" x14ac:dyDescent="0.2">
      <c r="D174" s="56"/>
      <c r="E174" s="56"/>
      <c r="F174" s="56"/>
      <c r="G174" s="56"/>
      <c r="H174" s="56"/>
      <c r="I174" s="56"/>
      <c r="J174" s="56"/>
      <c r="K174" s="56"/>
      <c r="L174" s="56"/>
      <c r="M174" s="56"/>
      <c r="N174" s="56"/>
      <c r="O174" s="56"/>
    </row>
    <row r="175" spans="4:15" x14ac:dyDescent="0.2">
      <c r="D175" s="56"/>
      <c r="E175" s="56"/>
      <c r="F175" s="56"/>
      <c r="G175" s="56"/>
      <c r="H175" s="56"/>
      <c r="I175" s="56"/>
      <c r="J175" s="56"/>
      <c r="K175" s="56"/>
      <c r="L175" s="56"/>
      <c r="M175" s="56"/>
      <c r="N175" s="56"/>
      <c r="O175" s="56"/>
    </row>
    <row r="176" spans="4:15" x14ac:dyDescent="0.2">
      <c r="D176" s="56"/>
      <c r="E176" s="56"/>
      <c r="F176" s="56"/>
      <c r="G176" s="56"/>
      <c r="H176" s="56"/>
      <c r="I176" s="56"/>
      <c r="J176" s="56"/>
      <c r="K176" s="56"/>
      <c r="L176" s="56"/>
      <c r="M176" s="56"/>
      <c r="N176" s="56"/>
      <c r="O176" s="56"/>
    </row>
    <row r="177" spans="4:15" x14ac:dyDescent="0.2">
      <c r="D177" s="56"/>
      <c r="E177" s="56"/>
      <c r="F177" s="56"/>
      <c r="G177" s="56"/>
      <c r="H177" s="56"/>
      <c r="I177" s="56"/>
      <c r="J177" s="56"/>
      <c r="K177" s="56"/>
      <c r="L177" s="56"/>
      <c r="M177" s="56"/>
      <c r="N177" s="56"/>
      <c r="O177" s="56"/>
    </row>
    <row r="178" spans="4:15" x14ac:dyDescent="0.2">
      <c r="D178" s="56"/>
      <c r="E178" s="56"/>
      <c r="F178" s="56"/>
      <c r="G178" s="56"/>
      <c r="H178" s="56"/>
      <c r="I178" s="56"/>
      <c r="J178" s="56"/>
      <c r="K178" s="56"/>
      <c r="L178" s="56"/>
      <c r="M178" s="56"/>
      <c r="N178" s="56"/>
      <c r="O178" s="56"/>
    </row>
    <row r="179" spans="4:15" x14ac:dyDescent="0.2">
      <c r="D179" s="56"/>
      <c r="E179" s="56"/>
      <c r="F179" s="56"/>
      <c r="G179" s="56"/>
      <c r="H179" s="56"/>
      <c r="I179" s="56"/>
      <c r="J179" s="56"/>
      <c r="K179" s="56"/>
      <c r="L179" s="56"/>
      <c r="M179" s="56"/>
      <c r="N179" s="56"/>
      <c r="O179" s="56"/>
    </row>
    <row r="180" spans="4:15" x14ac:dyDescent="0.2">
      <c r="D180" s="56"/>
      <c r="E180" s="56"/>
      <c r="F180" s="56"/>
      <c r="G180" s="56"/>
      <c r="H180" s="56"/>
      <c r="I180" s="56"/>
      <c r="J180" s="56"/>
      <c r="K180" s="56"/>
      <c r="L180" s="56"/>
      <c r="M180" s="56"/>
      <c r="N180" s="56"/>
      <c r="O180" s="56"/>
    </row>
    <row r="181" spans="4:15" x14ac:dyDescent="0.2">
      <c r="D181" s="56"/>
      <c r="E181" s="56"/>
      <c r="F181" s="56"/>
      <c r="G181" s="56"/>
      <c r="H181" s="56"/>
      <c r="I181" s="56"/>
      <c r="J181" s="56"/>
      <c r="K181" s="56"/>
      <c r="L181" s="56"/>
      <c r="M181" s="56"/>
      <c r="N181" s="56"/>
      <c r="O181" s="56"/>
    </row>
    <row r="182" spans="4:15" x14ac:dyDescent="0.2">
      <c r="D182" s="56"/>
      <c r="E182" s="56"/>
      <c r="F182" s="56"/>
      <c r="G182" s="56"/>
      <c r="H182" s="56"/>
      <c r="I182" s="56"/>
      <c r="J182" s="56"/>
      <c r="K182" s="56"/>
      <c r="L182" s="56"/>
      <c r="M182" s="56"/>
      <c r="N182" s="56"/>
      <c r="O182" s="56"/>
    </row>
    <row r="183" spans="4:15" x14ac:dyDescent="0.2">
      <c r="D183" s="56"/>
      <c r="E183" s="56"/>
      <c r="F183" s="56"/>
      <c r="G183" s="56"/>
      <c r="H183" s="56"/>
      <c r="I183" s="56"/>
      <c r="J183" s="56"/>
      <c r="K183" s="56"/>
      <c r="L183" s="56"/>
      <c r="M183" s="56"/>
      <c r="N183" s="56"/>
      <c r="O183" s="56"/>
    </row>
    <row r="184" spans="4:15" x14ac:dyDescent="0.2">
      <c r="D184" s="56"/>
      <c r="E184" s="56"/>
      <c r="F184" s="56"/>
      <c r="G184" s="56"/>
      <c r="H184" s="56"/>
      <c r="I184" s="56"/>
      <c r="J184" s="56"/>
      <c r="K184" s="56"/>
      <c r="L184" s="56"/>
      <c r="M184" s="56"/>
      <c r="N184" s="56"/>
      <c r="O184" s="56"/>
    </row>
    <row r="185" spans="4:15" x14ac:dyDescent="0.2">
      <c r="D185" s="56"/>
      <c r="E185" s="56"/>
      <c r="F185" s="56"/>
      <c r="G185" s="56"/>
      <c r="H185" s="56"/>
      <c r="I185" s="56"/>
      <c r="J185" s="56"/>
      <c r="K185" s="56"/>
      <c r="L185" s="56"/>
      <c r="M185" s="56"/>
      <c r="N185" s="56"/>
      <c r="O185" s="56"/>
    </row>
    <row r="186" spans="4:15" x14ac:dyDescent="0.2">
      <c r="D186" s="56"/>
      <c r="E186" s="56"/>
      <c r="F186" s="56"/>
      <c r="G186" s="56"/>
      <c r="H186" s="56"/>
      <c r="I186" s="56"/>
      <c r="J186" s="56"/>
      <c r="K186" s="56"/>
      <c r="L186" s="56"/>
      <c r="M186" s="56"/>
      <c r="N186" s="56"/>
      <c r="O186" s="56"/>
    </row>
    <row r="187" spans="4:15" x14ac:dyDescent="0.2">
      <c r="D187" s="56"/>
      <c r="E187" s="56"/>
      <c r="F187" s="56"/>
      <c r="G187" s="56"/>
      <c r="H187" s="56"/>
      <c r="I187" s="56"/>
      <c r="J187" s="56"/>
      <c r="K187" s="56"/>
      <c r="L187" s="56"/>
      <c r="M187" s="56"/>
      <c r="N187" s="56"/>
      <c r="O187" s="56"/>
    </row>
    <row r="188" spans="4:15" x14ac:dyDescent="0.2">
      <c r="D188" s="56"/>
      <c r="E188" s="56"/>
      <c r="F188" s="56"/>
      <c r="G188" s="56"/>
      <c r="H188" s="56"/>
      <c r="I188" s="56"/>
      <c r="J188" s="56"/>
      <c r="K188" s="56"/>
      <c r="L188" s="56"/>
      <c r="M188" s="56"/>
      <c r="N188" s="56"/>
      <c r="O188" s="56"/>
    </row>
    <row r="189" spans="4:15" x14ac:dyDescent="0.2">
      <c r="D189" s="56"/>
      <c r="E189" s="56"/>
      <c r="F189" s="56"/>
      <c r="G189" s="56"/>
      <c r="H189" s="56"/>
      <c r="I189" s="56"/>
      <c r="J189" s="56"/>
      <c r="K189" s="56"/>
      <c r="L189" s="56"/>
      <c r="M189" s="56"/>
      <c r="N189" s="56"/>
      <c r="O189" s="56"/>
    </row>
    <row r="190" spans="4:15" x14ac:dyDescent="0.2">
      <c r="D190" s="56"/>
      <c r="E190" s="56"/>
      <c r="F190" s="56"/>
      <c r="G190" s="56"/>
      <c r="H190" s="56"/>
      <c r="I190" s="56"/>
      <c r="J190" s="56"/>
      <c r="K190" s="56"/>
      <c r="L190" s="56"/>
      <c r="M190" s="56"/>
      <c r="N190" s="56"/>
      <c r="O190" s="56"/>
    </row>
    <row r="191" spans="4:15" x14ac:dyDescent="0.2">
      <c r="D191" s="56"/>
      <c r="E191" s="56"/>
      <c r="F191" s="56"/>
      <c r="G191" s="56"/>
      <c r="H191" s="56"/>
      <c r="I191" s="56"/>
      <c r="J191" s="56"/>
      <c r="K191" s="56"/>
      <c r="L191" s="56"/>
      <c r="M191" s="56"/>
      <c r="N191" s="56"/>
      <c r="O191" s="56"/>
    </row>
    <row r="192" spans="4:15" x14ac:dyDescent="0.2">
      <c r="D192" s="56"/>
      <c r="E192" s="56"/>
      <c r="F192" s="56"/>
      <c r="G192" s="56"/>
      <c r="H192" s="56"/>
      <c r="I192" s="56"/>
      <c r="J192" s="56"/>
      <c r="K192" s="56"/>
      <c r="L192" s="56"/>
      <c r="M192" s="56"/>
      <c r="N192" s="56"/>
      <c r="O192" s="56"/>
    </row>
    <row r="193" spans="4:15" x14ac:dyDescent="0.2">
      <c r="D193" s="56"/>
      <c r="E193" s="56"/>
      <c r="F193" s="56"/>
      <c r="G193" s="56"/>
      <c r="H193" s="56"/>
      <c r="I193" s="56"/>
      <c r="J193" s="56"/>
      <c r="K193" s="56"/>
      <c r="L193" s="56"/>
      <c r="M193" s="56"/>
      <c r="N193" s="56"/>
      <c r="O193" s="56"/>
    </row>
    <row r="194" spans="4:15" x14ac:dyDescent="0.2">
      <c r="D194" s="56"/>
      <c r="E194" s="56"/>
      <c r="F194" s="56"/>
      <c r="G194" s="56"/>
      <c r="H194" s="56"/>
      <c r="I194" s="56"/>
      <c r="J194" s="56"/>
      <c r="K194" s="56"/>
      <c r="L194" s="56"/>
      <c r="M194" s="56"/>
      <c r="N194" s="56"/>
      <c r="O194" s="56"/>
    </row>
    <row r="195" spans="4:15" x14ac:dyDescent="0.2">
      <c r="D195" s="56"/>
      <c r="E195" s="56"/>
      <c r="F195" s="56"/>
      <c r="G195" s="56"/>
      <c r="H195" s="56"/>
      <c r="I195" s="56"/>
      <c r="J195" s="56"/>
      <c r="K195" s="56"/>
      <c r="L195" s="56"/>
      <c r="M195" s="56"/>
      <c r="N195" s="56"/>
      <c r="O195" s="56"/>
    </row>
    <row r="196" spans="4:15" x14ac:dyDescent="0.2">
      <c r="D196" s="56"/>
      <c r="E196" s="56"/>
      <c r="F196" s="56"/>
      <c r="G196" s="56"/>
      <c r="H196" s="56"/>
      <c r="I196" s="56"/>
      <c r="J196" s="56"/>
      <c r="K196" s="56"/>
      <c r="L196" s="56"/>
      <c r="M196" s="56"/>
      <c r="N196" s="56"/>
      <c r="O196" s="56"/>
    </row>
    <row r="197" spans="4:15" x14ac:dyDescent="0.2">
      <c r="D197" s="56"/>
      <c r="E197" s="56"/>
      <c r="F197" s="56"/>
      <c r="G197" s="56"/>
      <c r="H197" s="56"/>
      <c r="I197" s="56"/>
      <c r="J197" s="56"/>
      <c r="K197" s="56"/>
      <c r="L197" s="56"/>
      <c r="M197" s="56"/>
      <c r="N197" s="56"/>
      <c r="O197" s="56"/>
    </row>
    <row r="198" spans="4:15" x14ac:dyDescent="0.2">
      <c r="D198" s="56"/>
      <c r="E198" s="56"/>
      <c r="F198" s="56"/>
      <c r="G198" s="56"/>
      <c r="H198" s="56"/>
      <c r="I198" s="56"/>
      <c r="J198" s="56"/>
      <c r="K198" s="56"/>
      <c r="L198" s="56"/>
      <c r="M198" s="56"/>
      <c r="N198" s="56"/>
      <c r="O198" s="56"/>
    </row>
    <row r="199" spans="4:15" x14ac:dyDescent="0.2">
      <c r="D199" s="56"/>
      <c r="E199" s="56"/>
      <c r="F199" s="56"/>
      <c r="G199" s="56"/>
      <c r="H199" s="56"/>
      <c r="I199" s="56"/>
      <c r="J199" s="56"/>
      <c r="K199" s="56"/>
      <c r="L199" s="56"/>
      <c r="M199" s="56"/>
      <c r="N199" s="56"/>
      <c r="O199" s="56"/>
    </row>
    <row r="200" spans="4:15" x14ac:dyDescent="0.2">
      <c r="D200" s="56"/>
      <c r="E200" s="56"/>
      <c r="F200" s="56"/>
      <c r="G200" s="56"/>
      <c r="H200" s="56"/>
      <c r="I200" s="56"/>
      <c r="J200" s="56"/>
      <c r="K200" s="56"/>
      <c r="L200" s="56"/>
      <c r="M200" s="56"/>
      <c r="N200" s="56"/>
      <c r="O200" s="56"/>
    </row>
    <row r="201" spans="4:15" x14ac:dyDescent="0.2">
      <c r="D201" s="56"/>
      <c r="E201" s="56"/>
      <c r="F201" s="56"/>
      <c r="G201" s="56"/>
      <c r="H201" s="56"/>
      <c r="I201" s="56"/>
      <c r="J201" s="56"/>
      <c r="K201" s="56"/>
      <c r="L201" s="56"/>
      <c r="M201" s="56"/>
      <c r="N201" s="56"/>
      <c r="O201" s="56"/>
    </row>
    <row r="202" spans="4:15" x14ac:dyDescent="0.2">
      <c r="D202" s="56"/>
      <c r="E202" s="56"/>
      <c r="F202" s="56"/>
      <c r="G202" s="56"/>
      <c r="H202" s="56"/>
      <c r="I202" s="56"/>
      <c r="J202" s="56"/>
      <c r="K202" s="56"/>
      <c r="L202" s="56"/>
      <c r="M202" s="56"/>
      <c r="N202" s="56"/>
      <c r="O202" s="56"/>
    </row>
    <row r="203" spans="4:15" x14ac:dyDescent="0.2">
      <c r="D203" s="56"/>
      <c r="E203" s="56"/>
      <c r="F203" s="56"/>
      <c r="G203" s="56"/>
      <c r="H203" s="56"/>
      <c r="I203" s="56"/>
      <c r="J203" s="56"/>
      <c r="K203" s="56"/>
      <c r="L203" s="56"/>
      <c r="M203" s="56"/>
      <c r="N203" s="56"/>
      <c r="O203" s="56"/>
    </row>
    <row r="204" spans="4:15" x14ac:dyDescent="0.2">
      <c r="D204" s="56"/>
      <c r="E204" s="56"/>
      <c r="F204" s="56"/>
      <c r="G204" s="56"/>
      <c r="H204" s="56"/>
      <c r="I204" s="56"/>
      <c r="J204" s="56"/>
      <c r="K204" s="56"/>
      <c r="L204" s="56"/>
      <c r="M204" s="56"/>
      <c r="N204" s="56"/>
      <c r="O204" s="56"/>
    </row>
    <row r="205" spans="4:15" x14ac:dyDescent="0.2">
      <c r="D205" s="56"/>
      <c r="E205" s="56"/>
      <c r="F205" s="56"/>
      <c r="G205" s="56"/>
      <c r="H205" s="56"/>
      <c r="I205" s="56"/>
      <c r="J205" s="56"/>
      <c r="K205" s="56"/>
      <c r="L205" s="56"/>
      <c r="M205" s="56"/>
      <c r="N205" s="56"/>
      <c r="O205" s="56"/>
    </row>
    <row r="206" spans="4:15" x14ac:dyDescent="0.2">
      <c r="D206" s="56"/>
      <c r="E206" s="56"/>
      <c r="F206" s="56"/>
      <c r="G206" s="56"/>
      <c r="H206" s="56"/>
      <c r="I206" s="56"/>
      <c r="J206" s="56"/>
      <c r="K206" s="56"/>
      <c r="L206" s="56"/>
      <c r="M206" s="56"/>
      <c r="N206" s="56"/>
      <c r="O206" s="56"/>
    </row>
    <row r="207" spans="4:15" x14ac:dyDescent="0.2">
      <c r="D207" s="56"/>
      <c r="E207" s="56"/>
      <c r="F207" s="56"/>
      <c r="G207" s="56"/>
      <c r="H207" s="56"/>
      <c r="I207" s="56"/>
      <c r="J207" s="56"/>
      <c r="K207" s="56"/>
      <c r="L207" s="56"/>
      <c r="M207" s="56"/>
      <c r="N207" s="56"/>
      <c r="O207" s="56"/>
    </row>
    <row r="208" spans="4:15" x14ac:dyDescent="0.2">
      <c r="D208" s="56"/>
      <c r="E208" s="56"/>
      <c r="F208" s="56"/>
      <c r="G208" s="56"/>
      <c r="H208" s="56"/>
      <c r="I208" s="56"/>
      <c r="J208" s="56"/>
      <c r="K208" s="56"/>
      <c r="L208" s="56"/>
      <c r="M208" s="56"/>
      <c r="N208" s="56"/>
      <c r="O208" s="56"/>
    </row>
    <row r="209" spans="4:15" x14ac:dyDescent="0.2">
      <c r="D209" s="56"/>
      <c r="E209" s="56"/>
      <c r="F209" s="56"/>
      <c r="G209" s="56"/>
      <c r="H209" s="56"/>
      <c r="I209" s="56"/>
      <c r="J209" s="56"/>
      <c r="K209" s="56"/>
      <c r="L209" s="56"/>
      <c r="M209" s="56"/>
      <c r="N209" s="56"/>
      <c r="O209" s="56"/>
    </row>
    <row r="210" spans="4:15" x14ac:dyDescent="0.2">
      <c r="D210" s="56"/>
      <c r="E210" s="56"/>
      <c r="F210" s="56"/>
      <c r="G210" s="56"/>
      <c r="H210" s="56"/>
      <c r="I210" s="56"/>
      <c r="J210" s="56"/>
      <c r="K210" s="56"/>
      <c r="L210" s="56"/>
      <c r="M210" s="56"/>
      <c r="N210" s="56"/>
      <c r="O210" s="56"/>
    </row>
    <row r="211" spans="4:15" x14ac:dyDescent="0.2">
      <c r="D211" s="56"/>
      <c r="E211" s="56"/>
      <c r="F211" s="56"/>
      <c r="G211" s="56"/>
      <c r="H211" s="56"/>
      <c r="I211" s="56"/>
      <c r="J211" s="56"/>
      <c r="K211" s="56"/>
      <c r="L211" s="56"/>
      <c r="M211" s="56"/>
      <c r="N211" s="56"/>
      <c r="O211" s="56"/>
    </row>
    <row r="212" spans="4:15" x14ac:dyDescent="0.2">
      <c r="D212" s="56"/>
      <c r="E212" s="56"/>
      <c r="F212" s="56"/>
      <c r="G212" s="56"/>
      <c r="H212" s="56"/>
      <c r="I212" s="56"/>
      <c r="J212" s="56"/>
      <c r="K212" s="56"/>
      <c r="L212" s="56"/>
      <c r="M212" s="56"/>
      <c r="N212" s="56"/>
      <c r="O212" s="56"/>
    </row>
    <row r="213" spans="4:15" x14ac:dyDescent="0.2">
      <c r="D213" s="56"/>
      <c r="E213" s="56"/>
      <c r="F213" s="56"/>
      <c r="G213" s="56"/>
      <c r="H213" s="56"/>
      <c r="I213" s="56"/>
      <c r="J213" s="56"/>
      <c r="K213" s="56"/>
      <c r="L213" s="56"/>
      <c r="M213" s="56"/>
      <c r="N213" s="56"/>
      <c r="O213" s="56"/>
    </row>
    <row r="214" spans="4:15" x14ac:dyDescent="0.2">
      <c r="D214" s="56"/>
      <c r="E214" s="56"/>
      <c r="F214" s="56"/>
      <c r="G214" s="56"/>
      <c r="H214" s="56"/>
      <c r="I214" s="56"/>
      <c r="J214" s="56"/>
      <c r="K214" s="56"/>
      <c r="L214" s="56"/>
      <c r="M214" s="56"/>
      <c r="N214" s="56"/>
      <c r="O214" s="56"/>
    </row>
    <row r="215" spans="4:15" x14ac:dyDescent="0.2">
      <c r="D215" s="56"/>
      <c r="E215" s="56"/>
      <c r="F215" s="56"/>
      <c r="G215" s="56"/>
      <c r="H215" s="56"/>
      <c r="I215" s="56"/>
      <c r="J215" s="56"/>
      <c r="K215" s="56"/>
      <c r="L215" s="56"/>
      <c r="M215" s="56"/>
      <c r="N215" s="56"/>
      <c r="O215" s="56"/>
    </row>
    <row r="216" spans="4:15" x14ac:dyDescent="0.2">
      <c r="D216" s="56"/>
      <c r="E216" s="56"/>
      <c r="F216" s="56"/>
      <c r="G216" s="56"/>
      <c r="H216" s="56"/>
      <c r="I216" s="56"/>
      <c r="J216" s="56"/>
      <c r="K216" s="56"/>
      <c r="L216" s="56"/>
      <c r="M216" s="56"/>
      <c r="N216" s="56"/>
      <c r="O216" s="56"/>
    </row>
    <row r="217" spans="4:15" x14ac:dyDescent="0.2">
      <c r="D217" s="56"/>
      <c r="E217" s="56"/>
      <c r="F217" s="56"/>
      <c r="G217" s="56"/>
      <c r="H217" s="56"/>
      <c r="I217" s="56"/>
      <c r="J217" s="56"/>
      <c r="K217" s="56"/>
      <c r="L217" s="56"/>
      <c r="M217" s="56"/>
      <c r="N217" s="56"/>
      <c r="O217" s="56"/>
    </row>
    <row r="218" spans="4:15" x14ac:dyDescent="0.2">
      <c r="D218" s="56"/>
      <c r="E218" s="56"/>
      <c r="F218" s="56"/>
      <c r="G218" s="56"/>
      <c r="H218" s="56"/>
      <c r="I218" s="56"/>
      <c r="J218" s="56"/>
      <c r="K218" s="56"/>
      <c r="L218" s="56"/>
      <c r="M218" s="56"/>
      <c r="N218" s="56"/>
      <c r="O218" s="56"/>
    </row>
    <row r="219" spans="4:15" x14ac:dyDescent="0.2">
      <c r="D219" s="56"/>
      <c r="E219" s="56"/>
      <c r="F219" s="56"/>
      <c r="G219" s="56"/>
      <c r="H219" s="56"/>
      <c r="I219" s="56"/>
      <c r="J219" s="56"/>
      <c r="K219" s="56"/>
      <c r="L219" s="56"/>
      <c r="M219" s="56"/>
      <c r="N219" s="56"/>
      <c r="O219" s="56"/>
    </row>
    <row r="220" spans="4:15" x14ac:dyDescent="0.2">
      <c r="D220" s="56"/>
      <c r="E220" s="56"/>
      <c r="F220" s="56"/>
      <c r="G220" s="56"/>
      <c r="H220" s="56"/>
      <c r="I220" s="56"/>
      <c r="J220" s="56"/>
      <c r="K220" s="56"/>
      <c r="L220" s="56"/>
      <c r="M220" s="56"/>
      <c r="N220" s="56"/>
      <c r="O220" s="56"/>
    </row>
    <row r="221" spans="4:15" x14ac:dyDescent="0.2">
      <c r="D221" s="56"/>
      <c r="E221" s="56"/>
      <c r="F221" s="56"/>
      <c r="G221" s="56"/>
      <c r="H221" s="56"/>
      <c r="I221" s="56"/>
      <c r="J221" s="56"/>
      <c r="K221" s="56"/>
      <c r="L221" s="56"/>
      <c r="M221" s="56"/>
      <c r="N221" s="56"/>
      <c r="O221" s="56"/>
    </row>
    <row r="222" spans="4:15" x14ac:dyDescent="0.2">
      <c r="D222" s="56"/>
      <c r="E222" s="56"/>
      <c r="F222" s="56"/>
      <c r="G222" s="56"/>
      <c r="H222" s="56"/>
      <c r="I222" s="56"/>
      <c r="J222" s="56"/>
      <c r="K222" s="56"/>
      <c r="L222" s="56"/>
      <c r="M222" s="56"/>
      <c r="N222" s="56"/>
      <c r="O222" s="56"/>
    </row>
    <row r="223" spans="4:15" x14ac:dyDescent="0.2">
      <c r="D223" s="56"/>
      <c r="E223" s="56"/>
      <c r="F223" s="56"/>
      <c r="G223" s="56"/>
      <c r="H223" s="56"/>
      <c r="I223" s="56"/>
      <c r="J223" s="56"/>
      <c r="K223" s="56"/>
      <c r="L223" s="56"/>
      <c r="M223" s="56"/>
      <c r="N223" s="56"/>
      <c r="O223" s="56"/>
    </row>
    <row r="224" spans="4:15" x14ac:dyDescent="0.2">
      <c r="D224" s="56"/>
      <c r="E224" s="56"/>
      <c r="F224" s="56"/>
      <c r="G224" s="56"/>
      <c r="H224" s="56"/>
      <c r="I224" s="56"/>
      <c r="J224" s="56"/>
      <c r="K224" s="56"/>
      <c r="L224" s="56"/>
      <c r="M224" s="56"/>
      <c r="N224" s="56"/>
      <c r="O224" s="56"/>
    </row>
    <row r="225" spans="4:15" x14ac:dyDescent="0.2">
      <c r="D225" s="56"/>
      <c r="E225" s="56"/>
      <c r="F225" s="56"/>
      <c r="G225" s="56"/>
      <c r="H225" s="56"/>
      <c r="I225" s="56"/>
      <c r="J225" s="56"/>
      <c r="K225" s="56"/>
      <c r="L225" s="56"/>
      <c r="M225" s="56"/>
      <c r="N225" s="56"/>
      <c r="O225" s="56"/>
    </row>
    <row r="226" spans="4:15" x14ac:dyDescent="0.2">
      <c r="D226" s="56"/>
      <c r="E226" s="56"/>
      <c r="F226" s="56"/>
      <c r="G226" s="56"/>
      <c r="H226" s="56"/>
      <c r="I226" s="56"/>
      <c r="J226" s="56"/>
      <c r="K226" s="56"/>
      <c r="L226" s="56"/>
      <c r="M226" s="56"/>
      <c r="N226" s="56"/>
      <c r="O226" s="56"/>
    </row>
    <row r="227" spans="4:15" x14ac:dyDescent="0.2">
      <c r="D227" s="56"/>
      <c r="E227" s="56"/>
      <c r="F227" s="56"/>
      <c r="G227" s="56"/>
      <c r="H227" s="56"/>
      <c r="I227" s="56"/>
      <c r="J227" s="56"/>
      <c r="K227" s="56"/>
      <c r="L227" s="56"/>
      <c r="M227" s="56"/>
      <c r="N227" s="56"/>
      <c r="O227" s="56"/>
    </row>
    <row r="228" spans="4:15" x14ac:dyDescent="0.2">
      <c r="D228" s="56"/>
      <c r="E228" s="56"/>
      <c r="F228" s="56"/>
      <c r="G228" s="56"/>
      <c r="H228" s="56"/>
      <c r="I228" s="56"/>
      <c r="J228" s="56"/>
      <c r="K228" s="56"/>
      <c r="L228" s="56"/>
      <c r="M228" s="56"/>
      <c r="N228" s="56"/>
      <c r="O228" s="56"/>
    </row>
    <row r="229" spans="4:15" x14ac:dyDescent="0.2">
      <c r="D229" s="56"/>
      <c r="E229" s="56"/>
      <c r="F229" s="56"/>
      <c r="G229" s="56"/>
      <c r="H229" s="56"/>
      <c r="I229" s="56"/>
      <c r="J229" s="56"/>
      <c r="K229" s="56"/>
      <c r="L229" s="56"/>
      <c r="M229" s="56"/>
      <c r="N229" s="56"/>
      <c r="O229" s="56"/>
    </row>
    <row r="230" spans="4:15" x14ac:dyDescent="0.2">
      <c r="D230" s="56"/>
      <c r="E230" s="56"/>
      <c r="F230" s="56"/>
      <c r="G230" s="56"/>
      <c r="H230" s="56"/>
      <c r="I230" s="56"/>
      <c r="J230" s="56"/>
      <c r="K230" s="56"/>
      <c r="L230" s="56"/>
      <c r="M230" s="56"/>
      <c r="N230" s="56"/>
      <c r="O230" s="56"/>
    </row>
    <row r="231" spans="4:15" x14ac:dyDescent="0.2">
      <c r="D231" s="56"/>
      <c r="E231" s="56"/>
      <c r="F231" s="56"/>
      <c r="G231" s="56"/>
      <c r="H231" s="56"/>
      <c r="I231" s="56"/>
      <c r="J231" s="56"/>
      <c r="K231" s="56"/>
      <c r="L231" s="56"/>
      <c r="M231" s="56"/>
      <c r="N231" s="56"/>
      <c r="O231" s="56"/>
    </row>
    <row r="232" spans="4:15" x14ac:dyDescent="0.2">
      <c r="D232" s="56"/>
      <c r="E232" s="56"/>
      <c r="F232" s="56"/>
      <c r="G232" s="56"/>
      <c r="H232" s="56"/>
      <c r="I232" s="56"/>
      <c r="J232" s="56"/>
      <c r="K232" s="56"/>
      <c r="L232" s="56"/>
      <c r="M232" s="56"/>
      <c r="N232" s="56"/>
      <c r="O232" s="56"/>
    </row>
    <row r="233" spans="4:15" x14ac:dyDescent="0.2">
      <c r="D233" s="56"/>
      <c r="E233" s="56"/>
      <c r="F233" s="56"/>
      <c r="G233" s="56"/>
      <c r="H233" s="56"/>
      <c r="I233" s="56"/>
      <c r="J233" s="56"/>
      <c r="K233" s="56"/>
      <c r="L233" s="56"/>
      <c r="M233" s="56"/>
      <c r="N233" s="56"/>
      <c r="O233" s="56"/>
    </row>
    <row r="234" spans="4:15" x14ac:dyDescent="0.2">
      <c r="D234" s="56"/>
      <c r="E234" s="56"/>
      <c r="F234" s="56"/>
      <c r="G234" s="56"/>
      <c r="H234" s="56"/>
      <c r="I234" s="56"/>
      <c r="J234" s="56"/>
      <c r="K234" s="56"/>
      <c r="L234" s="56"/>
      <c r="M234" s="56"/>
      <c r="N234" s="56"/>
      <c r="O234" s="56"/>
    </row>
    <row r="235" spans="4:15" x14ac:dyDescent="0.2">
      <c r="D235" s="56"/>
      <c r="E235" s="56"/>
      <c r="F235" s="56"/>
      <c r="G235" s="56"/>
      <c r="H235" s="56"/>
      <c r="I235" s="56"/>
      <c r="J235" s="56"/>
      <c r="K235" s="56"/>
      <c r="L235" s="56"/>
      <c r="M235" s="56"/>
      <c r="N235" s="56"/>
      <c r="O235" s="56"/>
    </row>
    <row r="236" spans="4:15" x14ac:dyDescent="0.2">
      <c r="D236" s="56"/>
      <c r="E236" s="56"/>
      <c r="F236" s="56"/>
      <c r="G236" s="56"/>
      <c r="H236" s="56"/>
      <c r="I236" s="56"/>
      <c r="J236" s="56"/>
      <c r="K236" s="56"/>
      <c r="L236" s="56"/>
      <c r="M236" s="56"/>
      <c r="N236" s="56"/>
      <c r="O236" s="56"/>
    </row>
    <row r="237" spans="4:15" x14ac:dyDescent="0.2">
      <c r="D237" s="56"/>
      <c r="E237" s="56"/>
      <c r="F237" s="56"/>
      <c r="G237" s="56"/>
      <c r="H237" s="56"/>
      <c r="I237" s="56"/>
      <c r="J237" s="56"/>
      <c r="K237" s="56"/>
      <c r="L237" s="56"/>
      <c r="M237" s="56"/>
      <c r="N237" s="56"/>
      <c r="O237" s="56"/>
    </row>
    <row r="238" spans="4:15" x14ac:dyDescent="0.2">
      <c r="D238" s="56"/>
      <c r="E238" s="56"/>
      <c r="F238" s="56"/>
      <c r="G238" s="56"/>
      <c r="H238" s="56"/>
      <c r="I238" s="56"/>
      <c r="J238" s="56"/>
      <c r="K238" s="56"/>
      <c r="L238" s="56"/>
      <c r="M238" s="56"/>
      <c r="N238" s="56"/>
      <c r="O238" s="56"/>
    </row>
    <row r="239" spans="4:15" x14ac:dyDescent="0.2">
      <c r="D239" s="56"/>
      <c r="E239" s="56"/>
      <c r="F239" s="56"/>
      <c r="G239" s="56"/>
      <c r="H239" s="56"/>
      <c r="I239" s="56"/>
      <c r="J239" s="56"/>
      <c r="K239" s="56"/>
      <c r="L239" s="56"/>
      <c r="M239" s="56"/>
      <c r="N239" s="56"/>
      <c r="O239" s="56"/>
    </row>
    <row r="240" spans="4:15" x14ac:dyDescent="0.2">
      <c r="D240" s="56"/>
      <c r="E240" s="56"/>
      <c r="F240" s="56"/>
      <c r="G240" s="56"/>
      <c r="H240" s="56"/>
      <c r="I240" s="56"/>
      <c r="J240" s="56"/>
      <c r="K240" s="56"/>
      <c r="L240" s="56"/>
      <c r="M240" s="56"/>
      <c r="N240" s="56"/>
      <c r="O240" s="56"/>
    </row>
    <row r="241" spans="4:15" x14ac:dyDescent="0.2">
      <c r="D241" s="56"/>
      <c r="E241" s="56"/>
      <c r="F241" s="56"/>
      <c r="G241" s="56"/>
      <c r="H241" s="56"/>
      <c r="I241" s="56"/>
      <c r="J241" s="56"/>
      <c r="K241" s="56"/>
      <c r="L241" s="56"/>
      <c r="M241" s="56"/>
      <c r="N241" s="56"/>
      <c r="O241" s="56"/>
    </row>
    <row r="242" spans="4:15" x14ac:dyDescent="0.2">
      <c r="D242" s="56"/>
      <c r="E242" s="56"/>
      <c r="F242" s="56"/>
      <c r="G242" s="56"/>
      <c r="H242" s="56"/>
      <c r="I242" s="56"/>
      <c r="J242" s="56"/>
      <c r="K242" s="56"/>
      <c r="L242" s="56"/>
      <c r="M242" s="56"/>
      <c r="N242" s="56"/>
      <c r="O242" s="56"/>
    </row>
    <row r="243" spans="4:15" x14ac:dyDescent="0.2">
      <c r="D243" s="56"/>
      <c r="E243" s="56"/>
      <c r="F243" s="56"/>
      <c r="G243" s="56"/>
      <c r="H243" s="56"/>
      <c r="I243" s="56"/>
      <c r="J243" s="56"/>
      <c r="K243" s="56"/>
      <c r="L243" s="56"/>
      <c r="M243" s="56"/>
      <c r="N243" s="56"/>
      <c r="O243" s="56"/>
    </row>
    <row r="244" spans="4:15" x14ac:dyDescent="0.2">
      <c r="D244" s="56"/>
      <c r="E244" s="56"/>
      <c r="F244" s="56"/>
      <c r="G244" s="56"/>
      <c r="H244" s="56"/>
      <c r="I244" s="56"/>
      <c r="J244" s="56"/>
      <c r="K244" s="56"/>
      <c r="L244" s="56"/>
      <c r="M244" s="56"/>
      <c r="N244" s="56"/>
      <c r="O244" s="56"/>
    </row>
    <row r="245" spans="4:15" x14ac:dyDescent="0.2">
      <c r="D245" s="56"/>
      <c r="E245" s="56"/>
      <c r="F245" s="56"/>
      <c r="G245" s="56"/>
      <c r="H245" s="56"/>
      <c r="I245" s="56"/>
      <c r="J245" s="56"/>
      <c r="K245" s="56"/>
      <c r="L245" s="56"/>
      <c r="M245" s="56"/>
      <c r="N245" s="56"/>
      <c r="O245" s="56"/>
    </row>
    <row r="246" spans="4:15" x14ac:dyDescent="0.2">
      <c r="D246" s="56"/>
      <c r="E246" s="56"/>
      <c r="F246" s="56"/>
      <c r="G246" s="56"/>
      <c r="H246" s="56"/>
      <c r="I246" s="56"/>
      <c r="J246" s="56"/>
      <c r="K246" s="56"/>
      <c r="L246" s="56"/>
      <c r="M246" s="56"/>
      <c r="N246" s="56"/>
      <c r="O246" s="56"/>
    </row>
    <row r="247" spans="4:15" x14ac:dyDescent="0.2">
      <c r="D247" s="56"/>
      <c r="E247" s="56"/>
      <c r="F247" s="56"/>
      <c r="G247" s="56"/>
      <c r="H247" s="56"/>
      <c r="I247" s="56"/>
      <c r="J247" s="56"/>
      <c r="K247" s="56"/>
      <c r="L247" s="56"/>
      <c r="M247" s="56"/>
      <c r="N247" s="56"/>
      <c r="O247" s="56"/>
    </row>
    <row r="248" spans="4:15" x14ac:dyDescent="0.2">
      <c r="D248" s="56"/>
      <c r="E248" s="56"/>
      <c r="F248" s="56"/>
      <c r="G248" s="56"/>
      <c r="H248" s="56"/>
      <c r="I248" s="56"/>
      <c r="J248" s="56"/>
      <c r="K248" s="56"/>
      <c r="L248" s="56"/>
      <c r="M248" s="56"/>
      <c r="N248" s="56"/>
      <c r="O248" s="56"/>
    </row>
    <row r="249" spans="4:15" x14ac:dyDescent="0.2">
      <c r="D249" s="56"/>
      <c r="E249" s="56"/>
      <c r="F249" s="56"/>
      <c r="G249" s="56"/>
      <c r="H249" s="56"/>
      <c r="I249" s="56"/>
      <c r="J249" s="56"/>
      <c r="K249" s="56"/>
      <c r="L249" s="56"/>
      <c r="M249" s="56"/>
      <c r="N249" s="56"/>
      <c r="O249" s="56"/>
    </row>
    <row r="250" spans="4:15" x14ac:dyDescent="0.2">
      <c r="D250" s="56"/>
      <c r="E250" s="56"/>
      <c r="F250" s="56"/>
      <c r="G250" s="56"/>
      <c r="H250" s="56"/>
      <c r="I250" s="56"/>
      <c r="J250" s="56"/>
      <c r="K250" s="56"/>
      <c r="L250" s="56"/>
      <c r="M250" s="56"/>
      <c r="N250" s="56"/>
      <c r="O250" s="56"/>
    </row>
    <row r="251" spans="4:15" x14ac:dyDescent="0.2">
      <c r="D251" s="56"/>
      <c r="E251" s="56"/>
      <c r="F251" s="56"/>
      <c r="G251" s="56"/>
      <c r="H251" s="56"/>
      <c r="I251" s="56"/>
      <c r="J251" s="56"/>
      <c r="K251" s="56"/>
      <c r="L251" s="56"/>
      <c r="M251" s="56"/>
      <c r="N251" s="56"/>
      <c r="O251" s="56"/>
    </row>
    <row r="252" spans="4:15" x14ac:dyDescent="0.2">
      <c r="D252" s="56"/>
      <c r="E252" s="56"/>
      <c r="F252" s="56"/>
      <c r="G252" s="56"/>
      <c r="H252" s="56"/>
      <c r="I252" s="56"/>
      <c r="J252" s="56"/>
      <c r="K252" s="56"/>
      <c r="L252" s="56"/>
      <c r="M252" s="56"/>
      <c r="N252" s="56"/>
      <c r="O252" s="56"/>
    </row>
    <row r="253" spans="4:15" x14ac:dyDescent="0.2">
      <c r="D253" s="56"/>
      <c r="E253" s="56"/>
      <c r="F253" s="56"/>
      <c r="G253" s="56"/>
      <c r="H253" s="56"/>
      <c r="I253" s="56"/>
      <c r="J253" s="56"/>
      <c r="K253" s="56"/>
      <c r="L253" s="56"/>
      <c r="M253" s="56"/>
      <c r="N253" s="56"/>
      <c r="O253" s="56"/>
    </row>
    <row r="254" spans="4:15" x14ac:dyDescent="0.2">
      <c r="D254" s="56"/>
      <c r="E254" s="56"/>
      <c r="F254" s="56"/>
      <c r="G254" s="56"/>
      <c r="H254" s="56"/>
      <c r="I254" s="56"/>
      <c r="J254" s="56"/>
      <c r="K254" s="56"/>
      <c r="L254" s="56"/>
      <c r="M254" s="56"/>
      <c r="N254" s="56"/>
      <c r="O254" s="56"/>
    </row>
    <row r="255" spans="4:15" x14ac:dyDescent="0.2">
      <c r="D255" s="56"/>
      <c r="E255" s="56"/>
      <c r="F255" s="56"/>
      <c r="G255" s="56"/>
      <c r="H255" s="56"/>
      <c r="I255" s="56"/>
      <c r="J255" s="56"/>
      <c r="K255" s="56"/>
      <c r="L255" s="56"/>
      <c r="M255" s="56"/>
      <c r="N255" s="56"/>
      <c r="O255" s="56"/>
    </row>
    <row r="256" spans="4:15" x14ac:dyDescent="0.2">
      <c r="D256" s="56"/>
      <c r="E256" s="56"/>
      <c r="F256" s="56"/>
      <c r="G256" s="56"/>
      <c r="H256" s="56"/>
      <c r="I256" s="56"/>
      <c r="J256" s="56"/>
      <c r="K256" s="56"/>
      <c r="L256" s="56"/>
      <c r="M256" s="56"/>
      <c r="N256" s="56"/>
      <c r="O256" s="56"/>
    </row>
    <row r="257" spans="4:15" x14ac:dyDescent="0.2">
      <c r="D257" s="56"/>
      <c r="E257" s="56"/>
      <c r="F257" s="56"/>
      <c r="G257" s="56"/>
      <c r="H257" s="56"/>
      <c r="I257" s="56"/>
      <c r="J257" s="56"/>
      <c r="K257" s="56"/>
      <c r="L257" s="56"/>
      <c r="M257" s="56"/>
      <c r="N257" s="56"/>
      <c r="O257" s="56"/>
    </row>
    <row r="258" spans="4:15" x14ac:dyDescent="0.2">
      <c r="D258" s="56"/>
      <c r="E258" s="56"/>
      <c r="F258" s="56"/>
      <c r="G258" s="56"/>
      <c r="H258" s="56"/>
      <c r="I258" s="56"/>
      <c r="J258" s="56"/>
      <c r="K258" s="56"/>
      <c r="L258" s="56"/>
      <c r="M258" s="56"/>
      <c r="N258" s="56"/>
      <c r="O258" s="56"/>
    </row>
    <row r="259" spans="4:15" x14ac:dyDescent="0.2">
      <c r="D259" s="56"/>
      <c r="E259" s="56"/>
      <c r="F259" s="56"/>
      <c r="G259" s="56"/>
      <c r="H259" s="56"/>
      <c r="I259" s="56"/>
      <c r="J259" s="56"/>
      <c r="K259" s="56"/>
      <c r="L259" s="56"/>
      <c r="M259" s="56"/>
      <c r="N259" s="56"/>
      <c r="O259" s="56"/>
    </row>
    <row r="260" spans="4:15" x14ac:dyDescent="0.2">
      <c r="D260" s="56"/>
      <c r="E260" s="56"/>
      <c r="F260" s="56"/>
      <c r="G260" s="56"/>
      <c r="H260" s="56"/>
      <c r="I260" s="56"/>
      <c r="J260" s="56"/>
      <c r="K260" s="56"/>
      <c r="L260" s="56"/>
      <c r="M260" s="56"/>
      <c r="N260" s="56"/>
      <c r="O260" s="56"/>
    </row>
    <row r="261" spans="4:15" x14ac:dyDescent="0.2">
      <c r="D261" s="56"/>
      <c r="E261" s="56"/>
      <c r="F261" s="56"/>
      <c r="G261" s="56"/>
      <c r="H261" s="56"/>
      <c r="I261" s="56"/>
      <c r="J261" s="56"/>
      <c r="K261" s="56"/>
      <c r="L261" s="56"/>
      <c r="M261" s="56"/>
      <c r="N261" s="56"/>
      <c r="O261" s="56"/>
    </row>
    <row r="262" spans="4:15" x14ac:dyDescent="0.2">
      <c r="D262" s="56"/>
      <c r="E262" s="56"/>
      <c r="F262" s="56"/>
      <c r="G262" s="56"/>
      <c r="H262" s="56"/>
      <c r="I262" s="56"/>
      <c r="J262" s="56"/>
      <c r="K262" s="56"/>
      <c r="L262" s="56"/>
      <c r="M262" s="56"/>
      <c r="N262" s="56"/>
      <c r="O262" s="56"/>
    </row>
    <row r="263" spans="4:15" x14ac:dyDescent="0.2">
      <c r="D263" s="56"/>
      <c r="E263" s="56"/>
      <c r="F263" s="56"/>
      <c r="G263" s="56"/>
      <c r="H263" s="56"/>
      <c r="I263" s="56"/>
      <c r="J263" s="56"/>
      <c r="K263" s="56"/>
      <c r="L263" s="56"/>
      <c r="M263" s="56"/>
      <c r="N263" s="56"/>
      <c r="O263" s="56"/>
    </row>
    <row r="264" spans="4:15" x14ac:dyDescent="0.2">
      <c r="D264" s="56"/>
      <c r="E264" s="56"/>
      <c r="F264" s="56"/>
      <c r="G264" s="56"/>
      <c r="H264" s="56"/>
      <c r="I264" s="56"/>
      <c r="J264" s="56"/>
      <c r="K264" s="56"/>
      <c r="L264" s="56"/>
      <c r="M264" s="56"/>
      <c r="N264" s="56"/>
      <c r="O264" s="56"/>
    </row>
    <row r="265" spans="4:15" x14ac:dyDescent="0.2">
      <c r="D265" s="56"/>
      <c r="E265" s="56"/>
      <c r="F265" s="56"/>
      <c r="G265" s="56"/>
      <c r="H265" s="56"/>
      <c r="I265" s="56"/>
      <c r="J265" s="56"/>
      <c r="K265" s="56"/>
      <c r="L265" s="56"/>
      <c r="M265" s="56"/>
      <c r="N265" s="56"/>
      <c r="O265" s="56"/>
    </row>
    <row r="266" spans="4:15" x14ac:dyDescent="0.2">
      <c r="D266" s="56"/>
      <c r="E266" s="56"/>
      <c r="F266" s="56"/>
      <c r="G266" s="56"/>
      <c r="H266" s="56"/>
      <c r="I266" s="56"/>
      <c r="J266" s="56"/>
      <c r="K266" s="56"/>
      <c r="L266" s="56"/>
      <c r="M266" s="56"/>
      <c r="N266" s="56"/>
      <c r="O266" s="56"/>
    </row>
    <row r="267" spans="4:15" x14ac:dyDescent="0.2">
      <c r="D267" s="56"/>
      <c r="E267" s="56"/>
      <c r="F267" s="56"/>
      <c r="G267" s="56"/>
      <c r="H267" s="56"/>
      <c r="I267" s="56"/>
      <c r="J267" s="56"/>
      <c r="K267" s="56"/>
      <c r="L267" s="56"/>
      <c r="M267" s="56"/>
      <c r="N267" s="56"/>
      <c r="O267" s="56"/>
    </row>
    <row r="268" spans="4:15" x14ac:dyDescent="0.2">
      <c r="D268" s="56"/>
      <c r="E268" s="56"/>
      <c r="F268" s="56"/>
      <c r="G268" s="56"/>
      <c r="H268" s="56"/>
      <c r="I268" s="56"/>
      <c r="J268" s="56"/>
      <c r="K268" s="56"/>
      <c r="L268" s="56"/>
      <c r="M268" s="56"/>
      <c r="N268" s="56"/>
      <c r="O268" s="56"/>
    </row>
    <row r="269" spans="4:15" x14ac:dyDescent="0.2">
      <c r="D269" s="56"/>
      <c r="E269" s="56"/>
      <c r="F269" s="56"/>
      <c r="G269" s="56"/>
      <c r="H269" s="56"/>
      <c r="I269" s="56"/>
      <c r="J269" s="56"/>
      <c r="K269" s="56"/>
      <c r="L269" s="56"/>
      <c r="M269" s="56"/>
      <c r="N269" s="56"/>
      <c r="O269" s="56"/>
    </row>
    <row r="270" spans="4:15" x14ac:dyDescent="0.2">
      <c r="D270" s="56"/>
      <c r="E270" s="56"/>
      <c r="F270" s="56"/>
      <c r="G270" s="56"/>
      <c r="H270" s="56"/>
      <c r="I270" s="56"/>
      <c r="J270" s="56"/>
      <c r="K270" s="56"/>
      <c r="L270" s="56"/>
      <c r="M270" s="56"/>
      <c r="N270" s="56"/>
      <c r="O270" s="56"/>
    </row>
    <row r="271" spans="4:15" x14ac:dyDescent="0.2">
      <c r="D271" s="56"/>
      <c r="E271" s="56"/>
      <c r="F271" s="56"/>
      <c r="G271" s="56"/>
      <c r="H271" s="56"/>
      <c r="I271" s="56"/>
      <c r="J271" s="56"/>
      <c r="K271" s="56"/>
      <c r="L271" s="56"/>
      <c r="M271" s="56"/>
      <c r="N271" s="56"/>
      <c r="O271" s="56"/>
    </row>
    <row r="272" spans="4:15" x14ac:dyDescent="0.2">
      <c r="D272" s="56"/>
      <c r="E272" s="56"/>
      <c r="F272" s="56"/>
      <c r="G272" s="56"/>
      <c r="H272" s="56"/>
      <c r="I272" s="56"/>
      <c r="J272" s="56"/>
      <c r="K272" s="56"/>
      <c r="L272" s="56"/>
      <c r="M272" s="56"/>
      <c r="N272" s="56"/>
      <c r="O272" s="56"/>
    </row>
    <row r="273" spans="4:15" x14ac:dyDescent="0.2">
      <c r="D273" s="56"/>
      <c r="E273" s="56"/>
      <c r="F273" s="56"/>
      <c r="G273" s="56"/>
      <c r="H273" s="56"/>
      <c r="I273" s="56"/>
      <c r="J273" s="56"/>
      <c r="K273" s="56"/>
      <c r="L273" s="56"/>
      <c r="M273" s="56"/>
      <c r="N273" s="56"/>
      <c r="O273" s="56"/>
    </row>
    <row r="274" spans="4:15" x14ac:dyDescent="0.2">
      <c r="D274" s="56"/>
      <c r="E274" s="56"/>
      <c r="F274" s="56"/>
      <c r="G274" s="56"/>
      <c r="H274" s="56"/>
      <c r="I274" s="56"/>
      <c r="J274" s="56"/>
      <c r="K274" s="56"/>
      <c r="L274" s="56"/>
      <c r="M274" s="56"/>
      <c r="N274" s="56"/>
      <c r="O274" s="56"/>
    </row>
    <row r="275" spans="4:15" x14ac:dyDescent="0.2">
      <c r="D275" s="56"/>
      <c r="E275" s="56"/>
      <c r="F275" s="56"/>
      <c r="G275" s="56"/>
      <c r="H275" s="56"/>
      <c r="I275" s="56"/>
      <c r="J275" s="56"/>
      <c r="K275" s="56"/>
      <c r="L275" s="56"/>
      <c r="M275" s="56"/>
      <c r="N275" s="56"/>
      <c r="O275" s="56"/>
    </row>
    <row r="276" spans="4:15" x14ac:dyDescent="0.2">
      <c r="D276" s="56"/>
      <c r="E276" s="56"/>
      <c r="F276" s="56"/>
      <c r="G276" s="56"/>
      <c r="H276" s="56"/>
      <c r="I276" s="56"/>
      <c r="J276" s="56"/>
      <c r="K276" s="56"/>
      <c r="L276" s="56"/>
      <c r="M276" s="56"/>
      <c r="N276" s="56"/>
      <c r="O276" s="56"/>
    </row>
    <row r="277" spans="4:15" x14ac:dyDescent="0.2">
      <c r="D277" s="56"/>
      <c r="E277" s="56"/>
      <c r="F277" s="56"/>
      <c r="G277" s="56"/>
      <c r="H277" s="56"/>
      <c r="I277" s="56"/>
      <c r="J277" s="56"/>
      <c r="K277" s="56"/>
      <c r="L277" s="56"/>
      <c r="M277" s="56"/>
      <c r="N277" s="56"/>
      <c r="O277" s="56"/>
    </row>
    <row r="278" spans="4:15" x14ac:dyDescent="0.2">
      <c r="D278" s="56"/>
      <c r="E278" s="56"/>
      <c r="F278" s="56"/>
      <c r="G278" s="56"/>
      <c r="H278" s="56"/>
      <c r="I278" s="56"/>
      <c r="J278" s="56"/>
      <c r="K278" s="56"/>
      <c r="L278" s="56"/>
      <c r="M278" s="56"/>
      <c r="N278" s="56"/>
      <c r="O278" s="56"/>
    </row>
    <row r="279" spans="4:15" x14ac:dyDescent="0.2">
      <c r="D279" s="56"/>
      <c r="E279" s="56"/>
      <c r="F279" s="56"/>
      <c r="G279" s="56"/>
      <c r="H279" s="56"/>
      <c r="I279" s="56"/>
      <c r="J279" s="56"/>
      <c r="K279" s="56"/>
      <c r="L279" s="56"/>
      <c r="M279" s="56"/>
      <c r="N279" s="56"/>
      <c r="O279" s="56"/>
    </row>
    <row r="280" spans="4:15" x14ac:dyDescent="0.2">
      <c r="D280" s="56"/>
      <c r="E280" s="56"/>
      <c r="F280" s="56"/>
      <c r="G280" s="56"/>
      <c r="H280" s="56"/>
      <c r="I280" s="56"/>
      <c r="J280" s="56"/>
      <c r="K280" s="56"/>
      <c r="L280" s="56"/>
      <c r="M280" s="56"/>
      <c r="N280" s="56"/>
      <c r="O280" s="56"/>
    </row>
    <row r="281" spans="4:15" x14ac:dyDescent="0.2">
      <c r="D281" s="56"/>
      <c r="E281" s="56"/>
      <c r="F281" s="56"/>
      <c r="G281" s="56"/>
      <c r="H281" s="56"/>
      <c r="I281" s="56"/>
      <c r="J281" s="56"/>
      <c r="K281" s="56"/>
      <c r="L281" s="56"/>
      <c r="M281" s="56"/>
      <c r="N281" s="56"/>
      <c r="O281" s="56"/>
    </row>
    <row r="282" spans="4:15" x14ac:dyDescent="0.2">
      <c r="D282" s="56"/>
      <c r="E282" s="56"/>
      <c r="F282" s="56"/>
      <c r="G282" s="56"/>
      <c r="H282" s="56"/>
      <c r="I282" s="56"/>
      <c r="J282" s="56"/>
      <c r="K282" s="56"/>
      <c r="L282" s="56"/>
      <c r="M282" s="56"/>
      <c r="N282" s="56"/>
      <c r="O282" s="56"/>
    </row>
    <row r="283" spans="4:15" x14ac:dyDescent="0.2">
      <c r="D283" s="56"/>
      <c r="E283" s="56"/>
      <c r="F283" s="56"/>
      <c r="G283" s="56"/>
      <c r="H283" s="56"/>
      <c r="I283" s="56"/>
      <c r="J283" s="56"/>
      <c r="K283" s="56"/>
      <c r="L283" s="56"/>
      <c r="M283" s="56"/>
      <c r="N283" s="56"/>
      <c r="O283" s="56"/>
    </row>
    <row r="284" spans="4:15" x14ac:dyDescent="0.2">
      <c r="D284" s="56"/>
      <c r="E284" s="56"/>
      <c r="F284" s="56"/>
      <c r="G284" s="56"/>
      <c r="H284" s="56"/>
      <c r="I284" s="56"/>
      <c r="J284" s="56"/>
      <c r="K284" s="56"/>
      <c r="L284" s="56"/>
      <c r="M284" s="56"/>
      <c r="N284" s="56"/>
      <c r="O284" s="56"/>
    </row>
    <row r="285" spans="4:15" x14ac:dyDescent="0.2">
      <c r="D285" s="56"/>
      <c r="E285" s="56"/>
      <c r="F285" s="56"/>
      <c r="G285" s="56"/>
      <c r="H285" s="56"/>
      <c r="I285" s="56"/>
      <c r="J285" s="56"/>
      <c r="K285" s="56"/>
      <c r="L285" s="56"/>
      <c r="M285" s="56"/>
      <c r="N285" s="56"/>
      <c r="O285" s="56"/>
    </row>
    <row r="286" spans="4:15" x14ac:dyDescent="0.2">
      <c r="D286" s="56"/>
      <c r="E286" s="56"/>
      <c r="F286" s="56"/>
      <c r="G286" s="56"/>
      <c r="H286" s="56"/>
      <c r="I286" s="56"/>
      <c r="J286" s="56"/>
      <c r="K286" s="56"/>
      <c r="L286" s="56"/>
      <c r="M286" s="56"/>
      <c r="N286" s="56"/>
      <c r="O286" s="56"/>
    </row>
    <row r="287" spans="4:15" x14ac:dyDescent="0.2">
      <c r="D287" s="56"/>
      <c r="E287" s="56"/>
      <c r="F287" s="56"/>
      <c r="G287" s="56"/>
      <c r="H287" s="56"/>
      <c r="I287" s="56"/>
      <c r="J287" s="56"/>
      <c r="K287" s="56"/>
      <c r="L287" s="56"/>
      <c r="M287" s="56"/>
      <c r="N287" s="56"/>
      <c r="O287" s="56"/>
    </row>
    <row r="288" spans="4:15" x14ac:dyDescent="0.2">
      <c r="D288" s="56"/>
      <c r="E288" s="56"/>
      <c r="F288" s="56"/>
      <c r="G288" s="56"/>
      <c r="H288" s="56"/>
      <c r="I288" s="56"/>
      <c r="J288" s="56"/>
      <c r="K288" s="56"/>
      <c r="L288" s="56"/>
      <c r="M288" s="56"/>
      <c r="N288" s="56"/>
      <c r="O288" s="56"/>
    </row>
    <row r="289" spans="4:15" x14ac:dyDescent="0.2">
      <c r="D289" s="56"/>
      <c r="E289" s="56"/>
      <c r="F289" s="56"/>
      <c r="G289" s="56"/>
      <c r="H289" s="56"/>
      <c r="I289" s="56"/>
      <c r="J289" s="56"/>
      <c r="K289" s="56"/>
      <c r="L289" s="56"/>
      <c r="M289" s="56"/>
      <c r="N289" s="56"/>
      <c r="O289" s="56"/>
    </row>
    <row r="290" spans="4:15" x14ac:dyDescent="0.2">
      <c r="D290" s="56"/>
      <c r="E290" s="56"/>
      <c r="F290" s="56"/>
      <c r="G290" s="56"/>
      <c r="H290" s="56"/>
      <c r="I290" s="56"/>
      <c r="J290" s="56"/>
      <c r="K290" s="56"/>
      <c r="L290" s="56"/>
      <c r="M290" s="56"/>
      <c r="N290" s="56"/>
      <c r="O290" s="56"/>
    </row>
    <row r="291" spans="4:15" x14ac:dyDescent="0.2">
      <c r="D291" s="56"/>
      <c r="E291" s="56"/>
      <c r="F291" s="56"/>
      <c r="G291" s="56"/>
      <c r="H291" s="56"/>
      <c r="I291" s="56"/>
      <c r="J291" s="56"/>
      <c r="K291" s="56"/>
      <c r="L291" s="56"/>
      <c r="M291" s="56"/>
      <c r="N291" s="56"/>
      <c r="O291" s="56"/>
    </row>
    <row r="292" spans="4:15" x14ac:dyDescent="0.2">
      <c r="D292" s="56"/>
      <c r="E292" s="56"/>
      <c r="F292" s="56"/>
      <c r="G292" s="56"/>
      <c r="H292" s="56"/>
      <c r="I292" s="56"/>
      <c r="J292" s="56"/>
      <c r="K292" s="56"/>
      <c r="L292" s="56"/>
      <c r="M292" s="56"/>
      <c r="N292" s="56"/>
      <c r="O292" s="56"/>
    </row>
    <row r="293" spans="4:15" x14ac:dyDescent="0.2">
      <c r="D293" s="56"/>
      <c r="E293" s="56"/>
      <c r="F293" s="56"/>
      <c r="G293" s="56"/>
      <c r="H293" s="56"/>
      <c r="I293" s="56"/>
      <c r="J293" s="56"/>
      <c r="K293" s="56"/>
      <c r="L293" s="56"/>
      <c r="M293" s="56"/>
      <c r="N293" s="56"/>
      <c r="O293" s="56"/>
    </row>
    <row r="294" spans="4:15" x14ac:dyDescent="0.2">
      <c r="D294" s="56"/>
      <c r="E294" s="56"/>
      <c r="F294" s="56"/>
      <c r="G294" s="56"/>
      <c r="H294" s="56"/>
      <c r="I294" s="56"/>
      <c r="J294" s="56"/>
      <c r="K294" s="56"/>
      <c r="L294" s="56"/>
      <c r="M294" s="56"/>
      <c r="N294" s="56"/>
      <c r="O294" s="56"/>
    </row>
    <row r="295" spans="4:15" x14ac:dyDescent="0.2">
      <c r="D295" s="56"/>
      <c r="E295" s="56"/>
      <c r="F295" s="56"/>
      <c r="G295" s="56"/>
      <c r="H295" s="56"/>
      <c r="I295" s="56"/>
      <c r="J295" s="56"/>
      <c r="K295" s="56"/>
      <c r="L295" s="56"/>
      <c r="M295" s="56"/>
      <c r="N295" s="56"/>
      <c r="O295" s="56"/>
    </row>
    <row r="296" spans="4:15" x14ac:dyDescent="0.2">
      <c r="D296" s="56"/>
      <c r="E296" s="56"/>
      <c r="F296" s="56"/>
      <c r="G296" s="56"/>
      <c r="H296" s="56"/>
      <c r="I296" s="56"/>
      <c r="J296" s="56"/>
      <c r="K296" s="56"/>
      <c r="L296" s="56"/>
      <c r="M296" s="56"/>
      <c r="N296" s="56"/>
      <c r="O296" s="56"/>
    </row>
    <row r="297" spans="4:15" x14ac:dyDescent="0.2">
      <c r="D297" s="56"/>
      <c r="E297" s="56"/>
      <c r="F297" s="56"/>
      <c r="G297" s="56"/>
      <c r="H297" s="56"/>
      <c r="I297" s="56"/>
      <c r="J297" s="56"/>
      <c r="K297" s="56"/>
      <c r="L297" s="56"/>
      <c r="M297" s="56"/>
      <c r="N297" s="56"/>
      <c r="O297" s="56"/>
    </row>
    <row r="298" spans="4:15" x14ac:dyDescent="0.2">
      <c r="D298" s="56"/>
      <c r="E298" s="56"/>
      <c r="F298" s="56"/>
      <c r="G298" s="56"/>
      <c r="H298" s="56"/>
      <c r="I298" s="56"/>
      <c r="J298" s="56"/>
      <c r="K298" s="56"/>
      <c r="L298" s="56"/>
      <c r="M298" s="56"/>
      <c r="N298" s="56"/>
      <c r="O298" s="56"/>
    </row>
    <row r="299" spans="4:15" x14ac:dyDescent="0.2">
      <c r="D299" s="56"/>
      <c r="E299" s="56"/>
      <c r="F299" s="56"/>
      <c r="G299" s="56"/>
      <c r="H299" s="56"/>
      <c r="I299" s="56"/>
      <c r="J299" s="56"/>
      <c r="K299" s="56"/>
      <c r="L299" s="56"/>
      <c r="M299" s="56"/>
      <c r="N299" s="56"/>
      <c r="O299" s="56"/>
    </row>
    <row r="300" spans="4:15" x14ac:dyDescent="0.2">
      <c r="D300" s="56"/>
      <c r="E300" s="56"/>
      <c r="F300" s="56"/>
      <c r="G300" s="56"/>
      <c r="H300" s="56"/>
      <c r="I300" s="56"/>
      <c r="J300" s="56"/>
      <c r="K300" s="56"/>
      <c r="L300" s="56"/>
      <c r="M300" s="56"/>
      <c r="N300" s="56"/>
      <c r="O300" s="56"/>
    </row>
    <row r="301" spans="4:15" x14ac:dyDescent="0.2">
      <c r="D301" s="56"/>
      <c r="E301" s="56"/>
      <c r="F301" s="56"/>
      <c r="G301" s="56"/>
      <c r="H301" s="56"/>
      <c r="I301" s="56"/>
      <c r="J301" s="56"/>
      <c r="K301" s="56"/>
      <c r="L301" s="56"/>
      <c r="M301" s="56"/>
      <c r="N301" s="56"/>
      <c r="O301" s="56"/>
    </row>
    <row r="302" spans="4:15" x14ac:dyDescent="0.2">
      <c r="D302" s="56"/>
      <c r="E302" s="56"/>
      <c r="F302" s="56"/>
      <c r="G302" s="56"/>
      <c r="H302" s="56"/>
      <c r="I302" s="56"/>
      <c r="J302" s="56"/>
      <c r="K302" s="56"/>
      <c r="L302" s="56"/>
      <c r="M302" s="56"/>
      <c r="N302" s="56"/>
      <c r="O302" s="56"/>
    </row>
    <row r="303" spans="4:15" x14ac:dyDescent="0.2">
      <c r="D303" s="56"/>
      <c r="E303" s="56"/>
      <c r="F303" s="56"/>
      <c r="G303" s="56"/>
      <c r="H303" s="56"/>
      <c r="I303" s="56"/>
      <c r="J303" s="56"/>
      <c r="K303" s="56"/>
      <c r="L303" s="56"/>
      <c r="M303" s="56"/>
      <c r="N303" s="56"/>
      <c r="O303" s="56"/>
    </row>
    <row r="304" spans="4:15" x14ac:dyDescent="0.2">
      <c r="D304" s="56"/>
      <c r="E304" s="56"/>
      <c r="F304" s="56"/>
      <c r="G304" s="56"/>
      <c r="H304" s="56"/>
      <c r="I304" s="56"/>
      <c r="J304" s="56"/>
      <c r="K304" s="56"/>
      <c r="L304" s="56"/>
      <c r="M304" s="56"/>
      <c r="N304" s="56"/>
      <c r="O304" s="56"/>
    </row>
    <row r="305" spans="4:15" x14ac:dyDescent="0.2">
      <c r="D305" s="56"/>
      <c r="E305" s="56"/>
      <c r="F305" s="56"/>
      <c r="G305" s="56"/>
      <c r="H305" s="56"/>
      <c r="I305" s="56"/>
      <c r="J305" s="56"/>
      <c r="K305" s="56"/>
      <c r="L305" s="56"/>
      <c r="M305" s="56"/>
      <c r="N305" s="56"/>
      <c r="O305" s="56"/>
    </row>
    <row r="306" spans="4:15" x14ac:dyDescent="0.2">
      <c r="D306" s="56"/>
      <c r="E306" s="56"/>
      <c r="F306" s="56"/>
      <c r="G306" s="56"/>
      <c r="H306" s="56"/>
      <c r="I306" s="56"/>
      <c r="J306" s="56"/>
      <c r="K306" s="56"/>
      <c r="L306" s="56"/>
      <c r="M306" s="56"/>
      <c r="N306" s="56"/>
      <c r="O306" s="56"/>
    </row>
    <row r="307" spans="4:15" x14ac:dyDescent="0.2">
      <c r="D307" s="56"/>
      <c r="E307" s="56"/>
      <c r="F307" s="56"/>
      <c r="G307" s="56"/>
      <c r="H307" s="56"/>
      <c r="I307" s="56"/>
      <c r="J307" s="56"/>
      <c r="K307" s="56"/>
      <c r="L307" s="56"/>
      <c r="M307" s="56"/>
      <c r="N307" s="56"/>
      <c r="O307" s="56"/>
    </row>
    <row r="308" spans="4:15" x14ac:dyDescent="0.2">
      <c r="D308" s="56"/>
      <c r="E308" s="56"/>
      <c r="F308" s="56"/>
      <c r="G308" s="56"/>
      <c r="H308" s="56"/>
      <c r="I308" s="56"/>
      <c r="J308" s="56"/>
      <c r="K308" s="56"/>
      <c r="L308" s="56"/>
      <c r="M308" s="56"/>
      <c r="N308" s="56"/>
      <c r="O308" s="56"/>
    </row>
    <row r="309" spans="4:15" x14ac:dyDescent="0.2">
      <c r="D309" s="56"/>
      <c r="E309" s="56"/>
      <c r="F309" s="56"/>
      <c r="G309" s="56"/>
      <c r="H309" s="56"/>
      <c r="I309" s="56"/>
      <c r="J309" s="56"/>
      <c r="K309" s="56"/>
      <c r="L309" s="56"/>
      <c r="M309" s="56"/>
      <c r="N309" s="56"/>
      <c r="O309" s="56"/>
    </row>
    <row r="310" spans="4:15" x14ac:dyDescent="0.2">
      <c r="D310" s="56"/>
      <c r="E310" s="56"/>
      <c r="F310" s="56"/>
      <c r="G310" s="56"/>
      <c r="H310" s="56"/>
      <c r="I310" s="56"/>
      <c r="J310" s="56"/>
      <c r="K310" s="56"/>
      <c r="L310" s="56"/>
      <c r="M310" s="56"/>
      <c r="N310" s="56"/>
      <c r="O310" s="56"/>
    </row>
    <row r="311" spans="4:15" x14ac:dyDescent="0.2">
      <c r="D311" s="56"/>
      <c r="E311" s="56"/>
      <c r="F311" s="56"/>
      <c r="G311" s="56"/>
      <c r="H311" s="56"/>
      <c r="I311" s="56"/>
      <c r="J311" s="56"/>
      <c r="K311" s="56"/>
      <c r="L311" s="56"/>
      <c r="M311" s="56"/>
      <c r="N311" s="56"/>
      <c r="O311" s="56"/>
    </row>
    <row r="312" spans="4:15" x14ac:dyDescent="0.2">
      <c r="D312" s="56"/>
      <c r="E312" s="56"/>
      <c r="F312" s="56"/>
      <c r="G312" s="56"/>
      <c r="H312" s="56"/>
      <c r="I312" s="56"/>
      <c r="J312" s="56"/>
      <c r="K312" s="56"/>
      <c r="L312" s="56"/>
      <c r="M312" s="56"/>
      <c r="N312" s="56"/>
      <c r="O312" s="56"/>
    </row>
    <row r="313" spans="4:15" x14ac:dyDescent="0.2">
      <c r="D313" s="56"/>
      <c r="E313" s="56"/>
      <c r="F313" s="56"/>
      <c r="G313" s="56"/>
      <c r="H313" s="56"/>
      <c r="I313" s="56"/>
      <c r="J313" s="56"/>
      <c r="K313" s="56"/>
      <c r="L313" s="56"/>
      <c r="M313" s="56"/>
      <c r="N313" s="56"/>
      <c r="O313" s="56"/>
    </row>
    <row r="314" spans="4:15" x14ac:dyDescent="0.2">
      <c r="D314" s="56"/>
      <c r="E314" s="56"/>
      <c r="F314" s="56"/>
      <c r="G314" s="56"/>
      <c r="H314" s="56"/>
      <c r="I314" s="56"/>
      <c r="J314" s="56"/>
      <c r="K314" s="56"/>
      <c r="L314" s="56"/>
      <c r="M314" s="56"/>
      <c r="N314" s="56"/>
      <c r="O314" s="56"/>
    </row>
    <row r="315" spans="4:15" x14ac:dyDescent="0.2">
      <c r="D315" s="56"/>
      <c r="E315" s="56"/>
      <c r="F315" s="56"/>
      <c r="G315" s="56"/>
      <c r="H315" s="56"/>
      <c r="I315" s="56"/>
      <c r="J315" s="56"/>
      <c r="K315" s="56"/>
      <c r="L315" s="56"/>
      <c r="M315" s="56"/>
      <c r="N315" s="56"/>
      <c r="O315" s="56"/>
    </row>
    <row r="316" spans="4:15" x14ac:dyDescent="0.2">
      <c r="D316" s="56"/>
      <c r="E316" s="56"/>
      <c r="F316" s="56"/>
      <c r="G316" s="56"/>
      <c r="H316" s="56"/>
      <c r="I316" s="56"/>
      <c r="J316" s="56"/>
      <c r="K316" s="56"/>
      <c r="L316" s="56"/>
      <c r="M316" s="56"/>
      <c r="N316" s="56"/>
      <c r="O316" s="56"/>
    </row>
    <row r="317" spans="4:15" x14ac:dyDescent="0.2">
      <c r="D317" s="56"/>
      <c r="E317" s="56"/>
      <c r="F317" s="56"/>
      <c r="G317" s="56"/>
      <c r="H317" s="56"/>
      <c r="I317" s="56"/>
      <c r="J317" s="56"/>
      <c r="K317" s="56"/>
      <c r="L317" s="56"/>
      <c r="M317" s="56"/>
      <c r="N317" s="56"/>
      <c r="O317" s="56"/>
    </row>
    <row r="318" spans="4:15" x14ac:dyDescent="0.2">
      <c r="D318" s="56"/>
      <c r="E318" s="56"/>
      <c r="F318" s="56"/>
      <c r="G318" s="56"/>
      <c r="H318" s="56"/>
      <c r="I318" s="56"/>
      <c r="J318" s="56"/>
      <c r="K318" s="56"/>
      <c r="L318" s="56"/>
      <c r="M318" s="56"/>
      <c r="N318" s="56"/>
      <c r="O318" s="56"/>
    </row>
    <row r="319" spans="4:15" x14ac:dyDescent="0.2">
      <c r="D319" s="56"/>
      <c r="E319" s="56"/>
      <c r="F319" s="56"/>
      <c r="G319" s="56"/>
      <c r="H319" s="56"/>
      <c r="I319" s="56"/>
      <c r="J319" s="56"/>
      <c r="K319" s="56"/>
      <c r="L319" s="56"/>
      <c r="M319" s="56"/>
      <c r="N319" s="56"/>
      <c r="O319" s="56"/>
    </row>
    <row r="320" spans="4:15" x14ac:dyDescent="0.2">
      <c r="D320" s="56"/>
      <c r="E320" s="56"/>
      <c r="F320" s="56"/>
      <c r="G320" s="56"/>
      <c r="H320" s="56"/>
      <c r="I320" s="56"/>
      <c r="J320" s="56"/>
      <c r="K320" s="56"/>
      <c r="L320" s="56"/>
      <c r="M320" s="56"/>
      <c r="N320" s="56"/>
      <c r="O320" s="56"/>
    </row>
    <row r="321" spans="4:15" x14ac:dyDescent="0.2">
      <c r="D321" s="56"/>
      <c r="E321" s="56"/>
      <c r="F321" s="56"/>
      <c r="G321" s="56"/>
      <c r="H321" s="56"/>
      <c r="I321" s="56"/>
      <c r="J321" s="56"/>
      <c r="K321" s="56"/>
      <c r="L321" s="56"/>
      <c r="M321" s="56"/>
      <c r="N321" s="56"/>
      <c r="O321" s="56"/>
    </row>
    <row r="322" spans="4:15" x14ac:dyDescent="0.2">
      <c r="D322" s="56"/>
      <c r="E322" s="56"/>
      <c r="F322" s="56"/>
      <c r="G322" s="56"/>
      <c r="H322" s="56"/>
      <c r="I322" s="56"/>
      <c r="J322" s="56"/>
      <c r="K322" s="56"/>
      <c r="L322" s="56"/>
      <c r="M322" s="56"/>
      <c r="N322" s="56"/>
      <c r="O322" s="56"/>
    </row>
    <row r="323" spans="4:15" x14ac:dyDescent="0.2">
      <c r="D323" s="56"/>
      <c r="E323" s="56"/>
      <c r="F323" s="56"/>
      <c r="G323" s="56"/>
      <c r="H323" s="56"/>
      <c r="I323" s="56"/>
      <c r="J323" s="56"/>
      <c r="K323" s="56"/>
      <c r="L323" s="56"/>
      <c r="M323" s="56"/>
      <c r="N323" s="56"/>
      <c r="O323" s="56"/>
    </row>
    <row r="324" spans="4:15" x14ac:dyDescent="0.2">
      <c r="D324" s="56"/>
      <c r="E324" s="56"/>
      <c r="F324" s="56"/>
      <c r="G324" s="56"/>
      <c r="H324" s="56"/>
      <c r="I324" s="56"/>
      <c r="J324" s="56"/>
      <c r="K324" s="56"/>
      <c r="L324" s="56"/>
      <c r="M324" s="56"/>
      <c r="N324" s="56"/>
      <c r="O324" s="56"/>
    </row>
    <row r="325" spans="4:15" x14ac:dyDescent="0.2">
      <c r="D325" s="56"/>
      <c r="E325" s="56"/>
      <c r="F325" s="56"/>
      <c r="G325" s="56"/>
      <c r="H325" s="56"/>
      <c r="I325" s="56"/>
      <c r="J325" s="56"/>
      <c r="K325" s="56"/>
      <c r="L325" s="56"/>
      <c r="M325" s="56"/>
      <c r="N325" s="56"/>
      <c r="O325" s="56"/>
    </row>
    <row r="326" spans="4:15" x14ac:dyDescent="0.2">
      <c r="D326" s="56"/>
      <c r="E326" s="56"/>
      <c r="F326" s="56"/>
      <c r="G326" s="56"/>
      <c r="H326" s="56"/>
      <c r="I326" s="56"/>
      <c r="J326" s="56"/>
      <c r="K326" s="56"/>
      <c r="L326" s="56"/>
      <c r="M326" s="56"/>
      <c r="N326" s="56"/>
      <c r="O326" s="56"/>
    </row>
    <row r="327" spans="4:15" x14ac:dyDescent="0.2">
      <c r="D327" s="56"/>
      <c r="E327" s="56"/>
      <c r="F327" s="56"/>
      <c r="G327" s="56"/>
      <c r="H327" s="56"/>
      <c r="I327" s="56"/>
      <c r="J327" s="56"/>
      <c r="K327" s="56"/>
      <c r="L327" s="56"/>
      <c r="M327" s="56"/>
      <c r="N327" s="56"/>
      <c r="O327" s="56"/>
    </row>
    <row r="328" spans="4:15" x14ac:dyDescent="0.2">
      <c r="D328" s="56"/>
      <c r="E328" s="56"/>
      <c r="F328" s="56"/>
      <c r="G328" s="56"/>
      <c r="H328" s="56"/>
      <c r="I328" s="56"/>
      <c r="J328" s="56"/>
      <c r="K328" s="56"/>
      <c r="L328" s="56"/>
      <c r="M328" s="56"/>
      <c r="N328" s="56"/>
      <c r="O328" s="56"/>
    </row>
    <row r="329" spans="4:15" x14ac:dyDescent="0.2">
      <c r="D329" s="56"/>
      <c r="E329" s="56"/>
      <c r="F329" s="56"/>
      <c r="G329" s="56"/>
      <c r="H329" s="56"/>
      <c r="I329" s="56"/>
      <c r="J329" s="56"/>
      <c r="K329" s="56"/>
      <c r="L329" s="56"/>
      <c r="M329" s="56"/>
      <c r="N329" s="56"/>
      <c r="O329" s="56"/>
    </row>
    <row r="330" spans="4:15" x14ac:dyDescent="0.2">
      <c r="D330" s="56"/>
      <c r="E330" s="56"/>
      <c r="F330" s="56"/>
      <c r="G330" s="56"/>
      <c r="H330" s="56"/>
      <c r="I330" s="56"/>
      <c r="J330" s="56"/>
      <c r="K330" s="56"/>
      <c r="L330" s="56"/>
      <c r="M330" s="56"/>
      <c r="N330" s="56"/>
      <c r="O330" s="56"/>
    </row>
    <row r="331" spans="4:15" x14ac:dyDescent="0.2">
      <c r="D331" s="56"/>
      <c r="E331" s="56"/>
      <c r="F331" s="56"/>
      <c r="G331" s="56"/>
      <c r="H331" s="56"/>
      <c r="I331" s="56"/>
      <c r="J331" s="56"/>
      <c r="K331" s="56"/>
      <c r="L331" s="56"/>
      <c r="M331" s="56"/>
      <c r="N331" s="56"/>
      <c r="O331" s="56"/>
    </row>
    <row r="332" spans="4:15" x14ac:dyDescent="0.2">
      <c r="D332" s="56"/>
      <c r="E332" s="56"/>
      <c r="F332" s="56"/>
      <c r="G332" s="56"/>
      <c r="H332" s="56"/>
      <c r="I332" s="56"/>
      <c r="J332" s="56"/>
      <c r="K332" s="56"/>
      <c r="L332" s="56"/>
      <c r="M332" s="56"/>
      <c r="N332" s="56"/>
      <c r="O332" s="56"/>
    </row>
    <row r="333" spans="4:15" x14ac:dyDescent="0.2">
      <c r="D333" s="56"/>
      <c r="E333" s="56"/>
      <c r="F333" s="56"/>
      <c r="G333" s="56"/>
      <c r="H333" s="56"/>
      <c r="I333" s="56"/>
      <c r="J333" s="56"/>
      <c r="K333" s="56"/>
      <c r="L333" s="56"/>
      <c r="M333" s="56"/>
      <c r="N333" s="56"/>
      <c r="O333" s="56"/>
    </row>
    <row r="334" spans="4:15" x14ac:dyDescent="0.2">
      <c r="D334" s="56"/>
      <c r="E334" s="56"/>
      <c r="F334" s="56"/>
      <c r="G334" s="56"/>
      <c r="H334" s="56"/>
      <c r="I334" s="56"/>
      <c r="J334" s="56"/>
      <c r="K334" s="56"/>
      <c r="L334" s="56"/>
      <c r="M334" s="56"/>
      <c r="N334" s="56"/>
      <c r="O334" s="56"/>
    </row>
    <row r="335" spans="4:15" x14ac:dyDescent="0.2">
      <c r="D335" s="56"/>
      <c r="E335" s="56"/>
      <c r="F335" s="56"/>
      <c r="G335" s="56"/>
      <c r="H335" s="56"/>
      <c r="I335" s="56"/>
      <c r="J335" s="56"/>
      <c r="K335" s="56"/>
      <c r="L335" s="56"/>
      <c r="M335" s="56"/>
      <c r="N335" s="56"/>
      <c r="O335" s="56"/>
    </row>
    <row r="336" spans="4:15" x14ac:dyDescent="0.2">
      <c r="D336" s="56"/>
      <c r="E336" s="56"/>
      <c r="F336" s="56"/>
      <c r="G336" s="56"/>
      <c r="H336" s="56"/>
      <c r="I336" s="56"/>
      <c r="J336" s="56"/>
      <c r="K336" s="56"/>
      <c r="L336" s="56"/>
      <c r="M336" s="56"/>
      <c r="N336" s="56"/>
      <c r="O336" s="56"/>
    </row>
    <row r="337" spans="4:15" x14ac:dyDescent="0.2">
      <c r="D337" s="56"/>
      <c r="E337" s="56"/>
      <c r="F337" s="56"/>
      <c r="G337" s="56"/>
      <c r="H337" s="56"/>
      <c r="I337" s="56"/>
      <c r="J337" s="56"/>
      <c r="K337" s="56"/>
      <c r="L337" s="56"/>
      <c r="M337" s="56"/>
      <c r="N337" s="56"/>
      <c r="O337" s="56"/>
    </row>
    <row r="338" spans="4:15" x14ac:dyDescent="0.2">
      <c r="D338" s="56"/>
      <c r="E338" s="56"/>
      <c r="F338" s="56"/>
      <c r="G338" s="56"/>
      <c r="H338" s="56"/>
      <c r="I338" s="56"/>
      <c r="J338" s="56"/>
      <c r="K338" s="56"/>
      <c r="L338" s="56"/>
      <c r="M338" s="56"/>
      <c r="N338" s="56"/>
      <c r="O338" s="56"/>
    </row>
    <row r="339" spans="4:15" x14ac:dyDescent="0.2">
      <c r="D339" s="56"/>
      <c r="E339" s="56"/>
      <c r="F339" s="56"/>
      <c r="G339" s="56"/>
      <c r="H339" s="56"/>
      <c r="I339" s="56"/>
      <c r="J339" s="56"/>
      <c r="K339" s="56"/>
      <c r="L339" s="56"/>
      <c r="M339" s="56"/>
      <c r="N339" s="56"/>
      <c r="O339" s="56"/>
    </row>
    <row r="340" spans="4:15" x14ac:dyDescent="0.2">
      <c r="D340" s="56"/>
      <c r="E340" s="56"/>
      <c r="F340" s="56"/>
      <c r="G340" s="56"/>
      <c r="H340" s="56"/>
      <c r="I340" s="56"/>
      <c r="J340" s="56"/>
      <c r="K340" s="56"/>
      <c r="L340" s="56"/>
      <c r="M340" s="56"/>
      <c r="N340" s="56"/>
      <c r="O340" s="56"/>
    </row>
    <row r="341" spans="4:15" x14ac:dyDescent="0.2">
      <c r="D341" s="56"/>
      <c r="E341" s="56"/>
      <c r="F341" s="56"/>
      <c r="G341" s="56"/>
      <c r="H341" s="56"/>
      <c r="I341" s="56"/>
      <c r="J341" s="56"/>
      <c r="K341" s="56"/>
      <c r="L341" s="56"/>
      <c r="M341" s="56"/>
      <c r="N341" s="56"/>
      <c r="O341" s="56"/>
    </row>
    <row r="342" spans="4:15" x14ac:dyDescent="0.2">
      <c r="D342" s="56"/>
      <c r="E342" s="56"/>
      <c r="F342" s="56"/>
      <c r="G342" s="56"/>
      <c r="H342" s="56"/>
      <c r="I342" s="56"/>
      <c r="J342" s="56"/>
      <c r="K342" s="56"/>
      <c r="L342" s="56"/>
      <c r="M342" s="56"/>
      <c r="N342" s="56"/>
      <c r="O342" s="56"/>
    </row>
    <row r="343" spans="4:15" x14ac:dyDescent="0.2">
      <c r="D343" s="56"/>
      <c r="E343" s="56"/>
      <c r="F343" s="56"/>
      <c r="G343" s="56"/>
      <c r="H343" s="56"/>
      <c r="I343" s="56"/>
      <c r="J343" s="56"/>
      <c r="K343" s="56"/>
      <c r="L343" s="56"/>
      <c r="M343" s="56"/>
      <c r="N343" s="56"/>
      <c r="O343" s="56"/>
    </row>
    <row r="344" spans="4:15" x14ac:dyDescent="0.2">
      <c r="D344" s="56"/>
      <c r="E344" s="56"/>
      <c r="F344" s="56"/>
      <c r="G344" s="56"/>
      <c r="H344" s="56"/>
      <c r="I344" s="56"/>
      <c r="J344" s="56"/>
      <c r="K344" s="56"/>
      <c r="L344" s="56"/>
      <c r="M344" s="56"/>
      <c r="N344" s="56"/>
      <c r="O344" s="56"/>
    </row>
    <row r="345" spans="4:15" x14ac:dyDescent="0.2">
      <c r="D345" s="56"/>
      <c r="E345" s="56"/>
      <c r="F345" s="56"/>
      <c r="G345" s="56"/>
      <c r="H345" s="56"/>
      <c r="I345" s="56"/>
      <c r="J345" s="56"/>
      <c r="K345" s="56"/>
      <c r="L345" s="56"/>
      <c r="M345" s="56"/>
      <c r="N345" s="56"/>
      <c r="O345" s="56"/>
    </row>
    <row r="346" spans="4:15" x14ac:dyDescent="0.2">
      <c r="D346" s="56"/>
      <c r="E346" s="56"/>
      <c r="F346" s="56"/>
      <c r="G346" s="56"/>
      <c r="H346" s="56"/>
      <c r="I346" s="56"/>
      <c r="J346" s="56"/>
      <c r="K346" s="56"/>
      <c r="L346" s="56"/>
      <c r="M346" s="56"/>
      <c r="N346" s="56"/>
      <c r="O346" s="56"/>
    </row>
    <row r="347" spans="4:15" x14ac:dyDescent="0.2">
      <c r="D347" s="56"/>
      <c r="E347" s="56"/>
      <c r="F347" s="56"/>
      <c r="G347" s="56"/>
      <c r="H347" s="56"/>
      <c r="I347" s="56"/>
      <c r="J347" s="56"/>
      <c r="K347" s="56"/>
      <c r="L347" s="56"/>
      <c r="M347" s="56"/>
      <c r="N347" s="56"/>
      <c r="O347" s="56"/>
    </row>
    <row r="348" spans="4:15" x14ac:dyDescent="0.2">
      <c r="D348" s="56"/>
      <c r="E348" s="56"/>
      <c r="F348" s="56"/>
      <c r="G348" s="56"/>
      <c r="H348" s="56"/>
      <c r="I348" s="56"/>
      <c r="J348" s="56"/>
      <c r="K348" s="56"/>
      <c r="L348" s="56"/>
      <c r="M348" s="56"/>
      <c r="N348" s="56"/>
      <c r="O348" s="56"/>
    </row>
    <row r="349" spans="4:15" x14ac:dyDescent="0.2">
      <c r="D349" s="56"/>
      <c r="E349" s="56"/>
      <c r="F349" s="56"/>
      <c r="G349" s="56"/>
      <c r="H349" s="56"/>
      <c r="I349" s="56"/>
      <c r="J349" s="56"/>
      <c r="K349" s="56"/>
      <c r="L349" s="56"/>
      <c r="M349" s="56"/>
      <c r="N349" s="56"/>
      <c r="O349" s="56"/>
    </row>
    <row r="350" spans="4:15" x14ac:dyDescent="0.2">
      <c r="D350" s="56"/>
      <c r="E350" s="56"/>
      <c r="F350" s="56"/>
      <c r="G350" s="56"/>
      <c r="H350" s="56"/>
      <c r="I350" s="56"/>
      <c r="J350" s="56"/>
      <c r="K350" s="56"/>
      <c r="L350" s="56"/>
      <c r="M350" s="56"/>
      <c r="N350" s="56"/>
      <c r="O350" s="56"/>
    </row>
    <row r="351" spans="4:15" x14ac:dyDescent="0.2">
      <c r="D351" s="56"/>
      <c r="E351" s="56"/>
      <c r="F351" s="56"/>
      <c r="G351" s="56"/>
      <c r="H351" s="56"/>
      <c r="I351" s="56"/>
      <c r="J351" s="56"/>
      <c r="K351" s="56"/>
      <c r="L351" s="56"/>
      <c r="M351" s="56"/>
      <c r="N351" s="56"/>
      <c r="O351" s="56"/>
    </row>
    <row r="352" spans="4:15" x14ac:dyDescent="0.2">
      <c r="D352" s="56"/>
      <c r="E352" s="56"/>
      <c r="F352" s="56"/>
      <c r="G352" s="56"/>
      <c r="H352" s="56"/>
      <c r="I352" s="56"/>
      <c r="J352" s="56"/>
      <c r="K352" s="56"/>
      <c r="L352" s="56"/>
      <c r="M352" s="56"/>
      <c r="N352" s="56"/>
      <c r="O352" s="56"/>
    </row>
    <row r="353" spans="4:15" x14ac:dyDescent="0.2">
      <c r="D353" s="56"/>
      <c r="E353" s="56"/>
      <c r="F353" s="56"/>
      <c r="G353" s="56"/>
      <c r="H353" s="56"/>
      <c r="I353" s="56"/>
      <c r="J353" s="56"/>
      <c r="K353" s="56"/>
      <c r="L353" s="56"/>
      <c r="M353" s="56"/>
      <c r="N353" s="56"/>
      <c r="O353" s="56"/>
    </row>
    <row r="354" spans="4:15" x14ac:dyDescent="0.2">
      <c r="D354" s="56"/>
      <c r="E354" s="56"/>
      <c r="F354" s="56"/>
      <c r="G354" s="56"/>
      <c r="H354" s="56"/>
      <c r="I354" s="56"/>
      <c r="J354" s="56"/>
      <c r="K354" s="56"/>
      <c r="L354" s="56"/>
      <c r="M354" s="56"/>
      <c r="N354" s="56"/>
      <c r="O354" s="56"/>
    </row>
    <row r="355" spans="4:15" x14ac:dyDescent="0.2">
      <c r="D355" s="56"/>
      <c r="E355" s="56"/>
      <c r="F355" s="56"/>
      <c r="G355" s="56"/>
      <c r="H355" s="56"/>
      <c r="I355" s="56"/>
      <c r="J355" s="56"/>
      <c r="K355" s="56"/>
      <c r="L355" s="56"/>
      <c r="M355" s="56"/>
      <c r="N355" s="56"/>
      <c r="O355" s="56"/>
    </row>
    <row r="356" spans="4:15" x14ac:dyDescent="0.2">
      <c r="D356" s="56"/>
      <c r="E356" s="56"/>
      <c r="F356" s="56"/>
      <c r="G356" s="56"/>
      <c r="H356" s="56"/>
      <c r="I356" s="56"/>
      <c r="J356" s="56"/>
      <c r="K356" s="56"/>
      <c r="L356" s="56"/>
      <c r="M356" s="56"/>
      <c r="N356" s="56"/>
      <c r="O356" s="56"/>
    </row>
    <row r="357" spans="4:15" x14ac:dyDescent="0.2">
      <c r="D357" s="56"/>
      <c r="E357" s="56"/>
      <c r="F357" s="56"/>
      <c r="G357" s="56"/>
      <c r="H357" s="56"/>
      <c r="I357" s="56"/>
      <c r="J357" s="56"/>
      <c r="K357" s="56"/>
      <c r="L357" s="56"/>
      <c r="M357" s="56"/>
      <c r="N357" s="56"/>
      <c r="O357" s="56"/>
    </row>
    <row r="358" spans="4:15" x14ac:dyDescent="0.2">
      <c r="D358" s="56"/>
      <c r="E358" s="56"/>
      <c r="F358" s="56"/>
      <c r="G358" s="56"/>
      <c r="H358" s="56"/>
      <c r="I358" s="56"/>
      <c r="J358" s="56"/>
      <c r="K358" s="56"/>
      <c r="L358" s="56"/>
      <c r="M358" s="56"/>
      <c r="N358" s="56"/>
      <c r="O358" s="56"/>
    </row>
    <row r="359" spans="4:15" x14ac:dyDescent="0.2">
      <c r="D359" s="56"/>
      <c r="E359" s="56"/>
      <c r="F359" s="56"/>
      <c r="G359" s="56"/>
      <c r="H359" s="56"/>
      <c r="I359" s="56"/>
      <c r="J359" s="56"/>
      <c r="K359" s="56"/>
      <c r="L359" s="56"/>
      <c r="M359" s="56"/>
      <c r="N359" s="56"/>
      <c r="O359" s="56"/>
    </row>
    <row r="360" spans="4:15" x14ac:dyDescent="0.2">
      <c r="D360" s="56"/>
      <c r="E360" s="56"/>
      <c r="F360" s="56"/>
      <c r="G360" s="56"/>
      <c r="H360" s="56"/>
      <c r="I360" s="56"/>
      <c r="J360" s="56"/>
      <c r="K360" s="56"/>
      <c r="L360" s="56"/>
      <c r="M360" s="56"/>
      <c r="N360" s="56"/>
      <c r="O360" s="56"/>
    </row>
    <row r="361" spans="4:15" x14ac:dyDescent="0.2">
      <c r="D361" s="56"/>
      <c r="E361" s="56"/>
      <c r="F361" s="56"/>
      <c r="G361" s="56"/>
      <c r="H361" s="56"/>
      <c r="I361" s="56"/>
      <c r="J361" s="56"/>
      <c r="K361" s="56"/>
      <c r="L361" s="56"/>
      <c r="M361" s="56"/>
      <c r="N361" s="56"/>
      <c r="O361" s="56"/>
    </row>
    <row r="362" spans="4:15" x14ac:dyDescent="0.2">
      <c r="D362" s="56"/>
      <c r="E362" s="56"/>
      <c r="F362" s="56"/>
      <c r="G362" s="56"/>
      <c r="H362" s="56"/>
      <c r="I362" s="56"/>
      <c r="J362" s="56"/>
      <c r="K362" s="56"/>
      <c r="L362" s="56"/>
      <c r="M362" s="56"/>
      <c r="N362" s="56"/>
      <c r="O362" s="56"/>
    </row>
    <row r="363" spans="4:15" x14ac:dyDescent="0.2">
      <c r="D363" s="56"/>
      <c r="E363" s="56"/>
      <c r="F363" s="56"/>
      <c r="G363" s="56"/>
      <c r="H363" s="56"/>
      <c r="I363" s="56"/>
      <c r="J363" s="56"/>
      <c r="K363" s="56"/>
      <c r="L363" s="56"/>
      <c r="M363" s="56"/>
      <c r="N363" s="56"/>
      <c r="O363" s="56"/>
    </row>
    <row r="364" spans="4:15" x14ac:dyDescent="0.2">
      <c r="D364" s="56"/>
      <c r="E364" s="56"/>
      <c r="F364" s="56"/>
      <c r="G364" s="56"/>
      <c r="H364" s="56"/>
      <c r="I364" s="56"/>
      <c r="J364" s="56"/>
      <c r="K364" s="56"/>
      <c r="L364" s="56"/>
      <c r="M364" s="56"/>
      <c r="N364" s="56"/>
      <c r="O364" s="56"/>
    </row>
    <row r="365" spans="4:15" x14ac:dyDescent="0.2">
      <c r="D365" s="56"/>
      <c r="E365" s="56"/>
      <c r="F365" s="56"/>
      <c r="G365" s="56"/>
      <c r="H365" s="56"/>
      <c r="I365" s="56"/>
      <c r="J365" s="56"/>
      <c r="K365" s="56"/>
      <c r="L365" s="56"/>
      <c r="M365" s="56"/>
      <c r="N365" s="56"/>
      <c r="O365" s="56"/>
    </row>
    <row r="366" spans="4:15" x14ac:dyDescent="0.2">
      <c r="D366" s="56"/>
      <c r="E366" s="56"/>
      <c r="F366" s="56"/>
      <c r="G366" s="56"/>
      <c r="H366" s="56"/>
      <c r="I366" s="56"/>
      <c r="J366" s="56"/>
      <c r="K366" s="56"/>
      <c r="L366" s="56"/>
      <c r="M366" s="56"/>
      <c r="N366" s="56"/>
      <c r="O366" s="56"/>
    </row>
    <row r="367" spans="4:15" x14ac:dyDescent="0.2">
      <c r="D367" s="56"/>
      <c r="E367" s="56"/>
      <c r="F367" s="56"/>
      <c r="G367" s="56"/>
      <c r="H367" s="56"/>
      <c r="I367" s="56"/>
      <c r="J367" s="56"/>
      <c r="K367" s="56"/>
      <c r="L367" s="56"/>
      <c r="M367" s="56"/>
      <c r="N367" s="56"/>
      <c r="O367" s="56"/>
    </row>
    <row r="368" spans="4:15" x14ac:dyDescent="0.2">
      <c r="D368" s="56"/>
      <c r="E368" s="56"/>
      <c r="F368" s="56"/>
      <c r="G368" s="56"/>
      <c r="H368" s="56"/>
      <c r="I368" s="56"/>
      <c r="J368" s="56"/>
      <c r="K368" s="56"/>
      <c r="L368" s="56"/>
      <c r="M368" s="56"/>
      <c r="N368" s="56"/>
      <c r="O368" s="56"/>
    </row>
    <row r="369" spans="4:15" x14ac:dyDescent="0.2">
      <c r="D369" s="56"/>
      <c r="E369" s="56"/>
      <c r="F369" s="56"/>
      <c r="G369" s="56"/>
      <c r="H369" s="56"/>
      <c r="I369" s="56"/>
      <c r="J369" s="56"/>
      <c r="K369" s="56"/>
      <c r="L369" s="56"/>
      <c r="M369" s="56"/>
      <c r="N369" s="56"/>
      <c r="O369" s="56"/>
    </row>
    <row r="370" spans="4:15" x14ac:dyDescent="0.2">
      <c r="D370" s="56"/>
      <c r="E370" s="56"/>
      <c r="F370" s="56"/>
      <c r="G370" s="56"/>
      <c r="H370" s="56"/>
      <c r="I370" s="56"/>
      <c r="J370" s="56"/>
      <c r="K370" s="56"/>
      <c r="L370" s="56"/>
      <c r="M370" s="56"/>
      <c r="N370" s="56"/>
      <c r="O370" s="56"/>
    </row>
    <row r="371" spans="4:15" x14ac:dyDescent="0.2">
      <c r="D371" s="56"/>
      <c r="E371" s="56"/>
      <c r="F371" s="56"/>
      <c r="G371" s="56"/>
      <c r="H371" s="56"/>
      <c r="I371" s="56"/>
      <c r="J371" s="56"/>
      <c r="K371" s="56"/>
      <c r="L371" s="56"/>
      <c r="M371" s="56"/>
      <c r="N371" s="56"/>
      <c r="O371" s="56"/>
    </row>
    <row r="372" spans="4:15" x14ac:dyDescent="0.2">
      <c r="D372" s="56"/>
      <c r="E372" s="56"/>
      <c r="F372" s="56"/>
      <c r="G372" s="56"/>
      <c r="H372" s="56"/>
      <c r="I372" s="56"/>
      <c r="J372" s="56"/>
      <c r="K372" s="56"/>
      <c r="L372" s="56"/>
      <c r="M372" s="56"/>
      <c r="N372" s="56"/>
      <c r="O372" s="56"/>
    </row>
    <row r="373" spans="4:15" x14ac:dyDescent="0.2">
      <c r="D373" s="56"/>
      <c r="E373" s="56"/>
      <c r="F373" s="56"/>
      <c r="G373" s="56"/>
      <c r="H373" s="56"/>
      <c r="I373" s="56"/>
      <c r="J373" s="56"/>
      <c r="K373" s="56"/>
      <c r="L373" s="56"/>
      <c r="M373" s="56"/>
      <c r="N373" s="56"/>
      <c r="O373" s="56"/>
    </row>
    <row r="374" spans="4:15" x14ac:dyDescent="0.2">
      <c r="D374" s="56"/>
      <c r="E374" s="56"/>
      <c r="F374" s="56"/>
      <c r="G374" s="56"/>
      <c r="H374" s="56"/>
      <c r="I374" s="56"/>
      <c r="J374" s="56"/>
      <c r="K374" s="56"/>
      <c r="L374" s="56"/>
      <c r="M374" s="56"/>
      <c r="N374" s="56"/>
      <c r="O374" s="56"/>
    </row>
    <row r="375" spans="4:15" x14ac:dyDescent="0.2">
      <c r="D375" s="56"/>
      <c r="E375" s="56"/>
      <c r="F375" s="56"/>
      <c r="G375" s="56"/>
      <c r="H375" s="56"/>
      <c r="I375" s="56"/>
      <c r="J375" s="56"/>
      <c r="K375" s="56"/>
      <c r="L375" s="56"/>
      <c r="M375" s="56"/>
      <c r="N375" s="56"/>
      <c r="O375" s="56"/>
    </row>
    <row r="376" spans="4:15" x14ac:dyDescent="0.2">
      <c r="D376" s="56"/>
      <c r="E376" s="56"/>
      <c r="F376" s="56"/>
      <c r="G376" s="56"/>
      <c r="H376" s="56"/>
      <c r="I376" s="56"/>
      <c r="J376" s="56"/>
      <c r="K376" s="56"/>
      <c r="L376" s="56"/>
      <c r="M376" s="56"/>
      <c r="N376" s="56"/>
      <c r="O376" s="56"/>
    </row>
    <row r="377" spans="4:15" x14ac:dyDescent="0.2">
      <c r="D377" s="56"/>
      <c r="E377" s="56"/>
      <c r="F377" s="56"/>
      <c r="G377" s="56"/>
      <c r="H377" s="56"/>
      <c r="I377" s="56"/>
      <c r="J377" s="56"/>
      <c r="K377" s="56"/>
      <c r="L377" s="56"/>
      <c r="M377" s="56"/>
      <c r="N377" s="56"/>
      <c r="O377" s="56"/>
    </row>
    <row r="378" spans="4:15" x14ac:dyDescent="0.2">
      <c r="D378" s="56"/>
      <c r="E378" s="56"/>
      <c r="F378" s="56"/>
      <c r="G378" s="56"/>
      <c r="H378" s="56"/>
      <c r="I378" s="56"/>
      <c r="J378" s="56"/>
      <c r="K378" s="56"/>
      <c r="L378" s="56"/>
      <c r="M378" s="56"/>
      <c r="N378" s="56"/>
      <c r="O378" s="56"/>
    </row>
    <row r="379" spans="4:15" x14ac:dyDescent="0.2">
      <c r="D379" s="56"/>
      <c r="E379" s="56"/>
      <c r="F379" s="56"/>
      <c r="G379" s="56"/>
      <c r="H379" s="56"/>
      <c r="I379" s="56"/>
      <c r="J379" s="56"/>
      <c r="K379" s="56"/>
      <c r="L379" s="56"/>
      <c r="M379" s="56"/>
      <c r="N379" s="56"/>
      <c r="O379" s="56"/>
    </row>
    <row r="380" spans="4:15" x14ac:dyDescent="0.2">
      <c r="D380" s="56"/>
      <c r="E380" s="56"/>
      <c r="F380" s="56"/>
      <c r="G380" s="56"/>
      <c r="H380" s="56"/>
      <c r="I380" s="56"/>
      <c r="J380" s="56"/>
      <c r="K380" s="56"/>
      <c r="L380" s="56"/>
      <c r="M380" s="56"/>
      <c r="N380" s="56"/>
      <c r="O380" s="56"/>
    </row>
    <row r="381" spans="4:15" x14ac:dyDescent="0.2">
      <c r="D381" s="56"/>
      <c r="E381" s="56"/>
      <c r="F381" s="56"/>
      <c r="G381" s="56"/>
      <c r="H381" s="56"/>
      <c r="I381" s="56"/>
      <c r="J381" s="56"/>
      <c r="K381" s="56"/>
      <c r="L381" s="56"/>
      <c r="M381" s="56"/>
      <c r="N381" s="56"/>
      <c r="O381" s="56"/>
    </row>
    <row r="382" spans="4:15" x14ac:dyDescent="0.2">
      <c r="D382" s="56"/>
      <c r="E382" s="56"/>
      <c r="F382" s="56"/>
      <c r="G382" s="56"/>
      <c r="H382" s="56"/>
      <c r="I382" s="56"/>
      <c r="J382" s="56"/>
      <c r="K382" s="56"/>
      <c r="L382" s="56"/>
      <c r="M382" s="56"/>
      <c r="N382" s="56"/>
      <c r="O382" s="56"/>
    </row>
  </sheetData>
  <sheetProtection password="CC8A" sheet="1" objects="1" scenarios="1"/>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showGridLines="0" workbookViewId="0">
      <selection activeCell="D24" sqref="D24"/>
    </sheetView>
  </sheetViews>
  <sheetFormatPr defaultRowHeight="15" x14ac:dyDescent="0.25"/>
  <cols>
    <col min="2" max="7" width="16" customWidth="1"/>
    <col min="8" max="12" width="18" customWidth="1"/>
  </cols>
  <sheetData>
    <row r="2" spans="2:12" ht="39" x14ac:dyDescent="0.25">
      <c r="B2" s="75" t="s">
        <v>307</v>
      </c>
      <c r="C2" s="76" t="s">
        <v>308</v>
      </c>
      <c r="D2" s="76" t="s">
        <v>309</v>
      </c>
      <c r="E2" s="76" t="s">
        <v>310</v>
      </c>
      <c r="F2" s="76" t="s">
        <v>311</v>
      </c>
      <c r="G2" s="76" t="s">
        <v>312</v>
      </c>
    </row>
    <row r="3" spans="2:12" x14ac:dyDescent="0.25">
      <c r="B3" s="75" t="s">
        <v>268</v>
      </c>
      <c r="C3" s="77">
        <v>27.301171879067144</v>
      </c>
      <c r="D3" s="77">
        <v>24.730157166456749</v>
      </c>
      <c r="E3" s="77">
        <v>19.61932650831756</v>
      </c>
      <c r="F3" s="77">
        <v>16.988517861549941</v>
      </c>
      <c r="G3" s="77">
        <v>11.360826584608615</v>
      </c>
    </row>
    <row r="4" spans="2:12" x14ac:dyDescent="0.25">
      <c r="B4" s="75" t="s">
        <v>269</v>
      </c>
      <c r="C4" s="77">
        <v>20.518588311834566</v>
      </c>
      <c r="D4" s="77">
        <v>20.877746535082615</v>
      </c>
      <c r="E4" s="77">
        <v>22.41288512248823</v>
      </c>
      <c r="F4" s="77">
        <v>20.778848366726351</v>
      </c>
      <c r="G4" s="77">
        <v>15.411931663868245</v>
      </c>
    </row>
    <row r="5" spans="2:12" x14ac:dyDescent="0.25">
      <c r="B5" s="75" t="s">
        <v>270</v>
      </c>
      <c r="C5" s="77">
        <v>14.136327217287404</v>
      </c>
      <c r="D5" s="77">
        <v>14.733467271917453</v>
      </c>
      <c r="E5" s="77">
        <v>17.873173060656907</v>
      </c>
      <c r="F5" s="77">
        <v>21.904007991750269</v>
      </c>
      <c r="G5" s="77">
        <v>31.353024458387967</v>
      </c>
    </row>
    <row r="6" spans="2:12" x14ac:dyDescent="0.25">
      <c r="B6" s="75" t="s">
        <v>313</v>
      </c>
      <c r="C6" s="77">
        <v>22.092060005990973</v>
      </c>
      <c r="D6" s="77">
        <v>23.216465236628149</v>
      </c>
      <c r="E6" s="77">
        <v>20.188281622737222</v>
      </c>
      <c r="F6" s="77">
        <v>18.708590669108769</v>
      </c>
      <c r="G6" s="77">
        <v>15.794602465534888</v>
      </c>
    </row>
    <row r="7" spans="2:12" x14ac:dyDescent="0.25">
      <c r="B7" s="75" t="s">
        <v>272</v>
      </c>
      <c r="C7" s="77">
        <v>28.228431200340655</v>
      </c>
      <c r="D7" s="77">
        <v>24.630430606077226</v>
      </c>
      <c r="E7" s="77">
        <v>24.233549433838515</v>
      </c>
      <c r="F7" s="77">
        <v>14.917657327639786</v>
      </c>
      <c r="G7" s="77">
        <v>7.9899314321038277</v>
      </c>
    </row>
    <row r="8" spans="2:12" x14ac:dyDescent="0.25">
      <c r="B8" s="75" t="s">
        <v>273</v>
      </c>
      <c r="C8" s="77">
        <v>23.129395109492208</v>
      </c>
      <c r="D8" s="77">
        <v>24.124217369963127</v>
      </c>
      <c r="E8" s="77">
        <v>21.500980856791184</v>
      </c>
      <c r="F8" s="77">
        <v>17.702457189294847</v>
      </c>
      <c r="G8" s="77">
        <v>13.542949474458629</v>
      </c>
    </row>
    <row r="9" spans="2:12" x14ac:dyDescent="0.25">
      <c r="B9" s="75" t="s">
        <v>274</v>
      </c>
      <c r="C9" s="77">
        <v>21.514262875152284</v>
      </c>
      <c r="D9" s="77">
        <v>19.264855208237872</v>
      </c>
      <c r="E9" s="77">
        <v>20.734002776411351</v>
      </c>
      <c r="F9" s="77">
        <v>21.374831405624185</v>
      </c>
      <c r="G9" s="77">
        <v>17.112047734574308</v>
      </c>
    </row>
    <row r="10" spans="2:12" x14ac:dyDescent="0.25">
      <c r="B10" s="75" t="s">
        <v>275</v>
      </c>
      <c r="C10" s="77">
        <v>25.601253907831133</v>
      </c>
      <c r="D10" s="77">
        <v>22.293041201413324</v>
      </c>
      <c r="E10" s="77">
        <v>20.762358715586089</v>
      </c>
      <c r="F10" s="77">
        <v>17.614812399312818</v>
      </c>
      <c r="G10" s="77">
        <v>13.728533775856636</v>
      </c>
    </row>
    <row r="11" spans="2:12" x14ac:dyDescent="0.25">
      <c r="B11" s="75" t="s">
        <v>276</v>
      </c>
      <c r="C11" s="77">
        <v>8.6109781514176689</v>
      </c>
      <c r="D11" s="77">
        <v>13.252542497718691</v>
      </c>
      <c r="E11" s="77">
        <v>18.447014987265984</v>
      </c>
      <c r="F11" s="77">
        <v>27.951161359687955</v>
      </c>
      <c r="G11" s="77">
        <v>31.738303003909714</v>
      </c>
    </row>
    <row r="12" spans="2:12" x14ac:dyDescent="0.25">
      <c r="B12" s="75" t="s">
        <v>314</v>
      </c>
      <c r="C12" s="77">
        <v>19.997571866174667</v>
      </c>
      <c r="D12" s="77">
        <v>20.002153671132671</v>
      </c>
      <c r="E12" s="77">
        <v>19.998427775152521</v>
      </c>
      <c r="F12" s="77">
        <v>19.999579474366055</v>
      </c>
      <c r="G12" s="77">
        <v>20.002267213174093</v>
      </c>
    </row>
    <row r="14" spans="2:12" x14ac:dyDescent="0.25">
      <c r="C14" s="75" t="s">
        <v>268</v>
      </c>
      <c r="D14" s="75" t="s">
        <v>269</v>
      </c>
      <c r="E14" s="75" t="s">
        <v>270</v>
      </c>
      <c r="F14" s="75" t="s">
        <v>313</v>
      </c>
      <c r="G14" s="75" t="s">
        <v>272</v>
      </c>
      <c r="H14" s="75" t="s">
        <v>273</v>
      </c>
      <c r="I14" s="75" t="s">
        <v>274</v>
      </c>
      <c r="J14" s="75" t="s">
        <v>275</v>
      </c>
      <c r="K14" s="75" t="s">
        <v>276</v>
      </c>
      <c r="L14" s="75" t="s">
        <v>314</v>
      </c>
    </row>
    <row r="15" spans="2:12" x14ac:dyDescent="0.25">
      <c r="B15" s="76" t="s">
        <v>308</v>
      </c>
      <c r="C15" s="77">
        <v>27.301171879067144</v>
      </c>
      <c r="D15" s="77">
        <v>20.518588311834566</v>
      </c>
      <c r="E15" s="77">
        <v>14.136327217287404</v>
      </c>
      <c r="F15" s="77">
        <v>22.092060005990973</v>
      </c>
      <c r="G15" s="77">
        <v>28.228431200340655</v>
      </c>
      <c r="H15" s="77">
        <v>23.129395109492208</v>
      </c>
      <c r="I15" s="77">
        <v>21.514262875152284</v>
      </c>
      <c r="J15" s="77">
        <v>25.601253907831133</v>
      </c>
      <c r="K15" s="77">
        <v>8.6109781514176689</v>
      </c>
      <c r="L15" s="77">
        <v>19.997571866174667</v>
      </c>
    </row>
    <row r="16" spans="2:12" x14ac:dyDescent="0.25">
      <c r="B16" s="76" t="s">
        <v>309</v>
      </c>
      <c r="C16" s="77">
        <v>24.730157166456749</v>
      </c>
      <c r="D16" s="77">
        <v>20.877746535082615</v>
      </c>
      <c r="E16" s="77">
        <v>14.733467271917453</v>
      </c>
      <c r="F16" s="77">
        <v>23.216465236628149</v>
      </c>
      <c r="G16" s="77">
        <v>24.630430606077226</v>
      </c>
      <c r="H16" s="77">
        <v>24.124217369963127</v>
      </c>
      <c r="I16" s="77">
        <v>19.264855208237872</v>
      </c>
      <c r="J16" s="77">
        <v>22.293041201413324</v>
      </c>
      <c r="K16" s="77">
        <v>13.252542497718691</v>
      </c>
      <c r="L16" s="77">
        <v>20.002153671132671</v>
      </c>
    </row>
    <row r="17" spans="2:12" x14ac:dyDescent="0.25">
      <c r="B17" s="76" t="s">
        <v>310</v>
      </c>
      <c r="C17" s="77">
        <v>19.61932650831756</v>
      </c>
      <c r="D17" s="77">
        <v>22.41288512248823</v>
      </c>
      <c r="E17" s="77">
        <v>17.873173060656907</v>
      </c>
      <c r="F17" s="77">
        <v>20.188281622737222</v>
      </c>
      <c r="G17" s="77">
        <v>24.233549433838515</v>
      </c>
      <c r="H17" s="77">
        <v>21.500980856791184</v>
      </c>
      <c r="I17" s="77">
        <v>20.734002776411351</v>
      </c>
      <c r="J17" s="77">
        <v>20.762358715586089</v>
      </c>
      <c r="K17" s="77">
        <v>18.447014987265984</v>
      </c>
      <c r="L17" s="77">
        <v>19.998427775152521</v>
      </c>
    </row>
    <row r="18" spans="2:12" x14ac:dyDescent="0.25">
      <c r="B18" s="76" t="s">
        <v>311</v>
      </c>
      <c r="C18" s="77">
        <v>16.988517861549941</v>
      </c>
      <c r="D18" s="77">
        <v>20.778848366726351</v>
      </c>
      <c r="E18" s="77">
        <v>21.904007991750269</v>
      </c>
      <c r="F18" s="77">
        <v>18.708590669108769</v>
      </c>
      <c r="G18" s="77">
        <v>14.917657327639786</v>
      </c>
      <c r="H18" s="77">
        <v>17.702457189294847</v>
      </c>
      <c r="I18" s="77">
        <v>21.374831405624185</v>
      </c>
      <c r="J18" s="77">
        <v>17.614812399312818</v>
      </c>
      <c r="K18" s="77">
        <v>27.951161359687955</v>
      </c>
      <c r="L18" s="77">
        <v>19.999579474366055</v>
      </c>
    </row>
    <row r="19" spans="2:12" x14ac:dyDescent="0.25">
      <c r="B19" s="76" t="s">
        <v>312</v>
      </c>
      <c r="C19" s="77">
        <v>11.360826584608615</v>
      </c>
      <c r="D19" s="77">
        <v>15.411931663868245</v>
      </c>
      <c r="E19" s="77">
        <v>31.353024458387967</v>
      </c>
      <c r="F19" s="77">
        <v>15.794602465534888</v>
      </c>
      <c r="G19" s="77">
        <v>7.9899314321038277</v>
      </c>
      <c r="H19" s="77">
        <v>13.542949474458629</v>
      </c>
      <c r="I19" s="77">
        <v>17.112047734574308</v>
      </c>
      <c r="J19" s="77">
        <v>13.728533775856636</v>
      </c>
      <c r="K19" s="77">
        <v>31.738303003909714</v>
      </c>
      <c r="L19" s="77">
        <v>20.002267213174093</v>
      </c>
    </row>
  </sheetData>
  <sheetProtection password="CC8A" sheet="1" objects="1" scenarios="1"/>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34"/>
  <sheetViews>
    <sheetView topLeftCell="A10" workbookViewId="0">
      <selection activeCell="C3" sqref="C3:D34"/>
    </sheetView>
  </sheetViews>
  <sheetFormatPr defaultRowHeight="15" x14ac:dyDescent="0.25"/>
  <cols>
    <col min="3" max="3" width="76.85546875" bestFit="1" customWidth="1"/>
  </cols>
  <sheetData>
    <row r="3" spans="3:4" x14ac:dyDescent="0.25">
      <c r="C3" t="s">
        <v>217</v>
      </c>
    </row>
    <row r="4" spans="3:4" x14ac:dyDescent="0.25">
      <c r="C4" t="s">
        <v>218</v>
      </c>
      <c r="D4" s="11">
        <v>1.76</v>
      </c>
    </row>
    <row r="5" spans="3:4" x14ac:dyDescent="0.25">
      <c r="C5" t="s">
        <v>214</v>
      </c>
      <c r="D5">
        <v>2.87</v>
      </c>
    </row>
    <row r="6" spans="3:4" x14ac:dyDescent="0.25">
      <c r="C6" t="s">
        <v>225</v>
      </c>
      <c r="D6" s="29">
        <f>SUM(D4:D5)</f>
        <v>4.63</v>
      </c>
    </row>
    <row r="7" spans="3:4" x14ac:dyDescent="0.25">
      <c r="C7" t="s">
        <v>219</v>
      </c>
    </row>
    <row r="8" spans="3:4" x14ac:dyDescent="0.25">
      <c r="C8" t="s">
        <v>214</v>
      </c>
      <c r="D8">
        <v>2.87</v>
      </c>
    </row>
    <row r="9" spans="3:4" x14ac:dyDescent="0.25">
      <c r="C9" t="s">
        <v>215</v>
      </c>
      <c r="D9">
        <v>78.33</v>
      </c>
    </row>
    <row r="10" spans="3:4" x14ac:dyDescent="0.25">
      <c r="C10" t="s">
        <v>213</v>
      </c>
      <c r="D10">
        <v>135.26</v>
      </c>
    </row>
    <row r="11" spans="3:4" x14ac:dyDescent="0.25">
      <c r="C11" t="s">
        <v>212</v>
      </c>
      <c r="D11">
        <v>5.36</v>
      </c>
    </row>
    <row r="12" spans="3:4" x14ac:dyDescent="0.25">
      <c r="C12" t="s">
        <v>210</v>
      </c>
      <c r="D12">
        <v>268.52999999999997</v>
      </c>
    </row>
    <row r="13" spans="3:4" x14ac:dyDescent="0.25">
      <c r="C13" t="s">
        <v>226</v>
      </c>
      <c r="D13" s="29">
        <f>SUM(D8:D12)</f>
        <v>490.34999999999997</v>
      </c>
    </row>
    <row r="14" spans="3:4" x14ac:dyDescent="0.25">
      <c r="C14" t="s">
        <v>220</v>
      </c>
    </row>
    <row r="15" spans="3:4" x14ac:dyDescent="0.25">
      <c r="C15" t="s">
        <v>213</v>
      </c>
      <c r="D15">
        <v>135.26</v>
      </c>
    </row>
    <row r="16" spans="3:4" x14ac:dyDescent="0.25">
      <c r="C16" t="s">
        <v>212</v>
      </c>
      <c r="D16">
        <v>5.36</v>
      </c>
    </row>
    <row r="17" spans="3:4" x14ac:dyDescent="0.25">
      <c r="C17" t="s">
        <v>227</v>
      </c>
      <c r="D17" s="29">
        <f>SUM(D15:D16)</f>
        <v>140.62</v>
      </c>
    </row>
    <row r="18" spans="3:4" x14ac:dyDescent="0.25">
      <c r="C18" t="s">
        <v>221</v>
      </c>
    </row>
    <row r="19" spans="3:4" x14ac:dyDescent="0.25">
      <c r="C19" t="s">
        <v>215</v>
      </c>
      <c r="D19">
        <v>78.33</v>
      </c>
    </row>
    <row r="20" spans="3:4" x14ac:dyDescent="0.25">
      <c r="C20" t="s">
        <v>213</v>
      </c>
      <c r="D20">
        <v>135.26</v>
      </c>
    </row>
    <row r="21" spans="3:4" x14ac:dyDescent="0.25">
      <c r="C21" t="s">
        <v>212</v>
      </c>
      <c r="D21">
        <v>5.36</v>
      </c>
    </row>
    <row r="22" spans="3:4" x14ac:dyDescent="0.25">
      <c r="C22" t="s">
        <v>210</v>
      </c>
      <c r="D22">
        <v>268.52999999999997</v>
      </c>
    </row>
    <row r="23" spans="3:4" x14ac:dyDescent="0.25">
      <c r="C23" t="s">
        <v>228</v>
      </c>
      <c r="D23" s="29">
        <f>SUM(D19:D22)</f>
        <v>487.47999999999996</v>
      </c>
    </row>
    <row r="24" spans="3:4" x14ac:dyDescent="0.25">
      <c r="C24" t="s">
        <v>222</v>
      </c>
    </row>
    <row r="25" spans="3:4" x14ac:dyDescent="0.25">
      <c r="C25" t="s">
        <v>216</v>
      </c>
      <c r="D25">
        <v>6.53</v>
      </c>
    </row>
    <row r="26" spans="3:4" x14ac:dyDescent="0.25">
      <c r="C26" t="s">
        <v>210</v>
      </c>
      <c r="D26">
        <v>268.52999999999997</v>
      </c>
    </row>
    <row r="27" spans="3:4" x14ac:dyDescent="0.25">
      <c r="C27" t="s">
        <v>229</v>
      </c>
      <c r="D27" s="29">
        <f>SUM(D25:D26)</f>
        <v>275.05999999999995</v>
      </c>
    </row>
    <row r="28" spans="3:4" x14ac:dyDescent="0.25">
      <c r="C28" t="s">
        <v>223</v>
      </c>
    </row>
    <row r="29" spans="3:4" x14ac:dyDescent="0.25">
      <c r="C29" t="s">
        <v>213</v>
      </c>
      <c r="D29">
        <v>135.26</v>
      </c>
    </row>
    <row r="30" spans="3:4" x14ac:dyDescent="0.25">
      <c r="C30" t="s">
        <v>216</v>
      </c>
      <c r="D30">
        <v>6.53</v>
      </c>
    </row>
    <row r="31" spans="3:4" x14ac:dyDescent="0.25">
      <c r="C31" t="s">
        <v>230</v>
      </c>
      <c r="D31" s="11">
        <f>SUM(D29:D30)</f>
        <v>141.79</v>
      </c>
    </row>
    <row r="32" spans="3:4" x14ac:dyDescent="0.25">
      <c r="C32" t="s">
        <v>224</v>
      </c>
    </row>
    <row r="33" spans="3:4" x14ac:dyDescent="0.25">
      <c r="C33" t="s">
        <v>211</v>
      </c>
      <c r="D33">
        <v>9.23</v>
      </c>
    </row>
    <row r="34" spans="3:4" x14ac:dyDescent="0.25">
      <c r="C34" t="s">
        <v>231</v>
      </c>
      <c r="D34" s="11">
        <v>9.23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6"/>
  <sheetViews>
    <sheetView topLeftCell="B1" workbookViewId="0">
      <selection activeCell="D12" sqref="D12"/>
    </sheetView>
  </sheetViews>
  <sheetFormatPr defaultRowHeight="15" x14ac:dyDescent="0.25"/>
  <cols>
    <col min="4" max="4" width="19.140625" customWidth="1"/>
    <col min="6" max="6" width="40.5703125" bestFit="1" customWidth="1"/>
    <col min="7" max="7" width="11.28515625" customWidth="1"/>
  </cols>
  <sheetData>
    <row r="3" spans="1:7" x14ac:dyDescent="0.25">
      <c r="C3">
        <v>2006</v>
      </c>
      <c r="D3" s="25">
        <v>1077415</v>
      </c>
      <c r="F3" s="25">
        <v>1070532</v>
      </c>
    </row>
    <row r="4" spans="1:7" x14ac:dyDescent="0.25">
      <c r="C4">
        <v>2007</v>
      </c>
      <c r="D4" s="26">
        <v>1058336</v>
      </c>
      <c r="E4">
        <f>D3*D11</f>
        <v>1052238.5561299617</v>
      </c>
    </row>
    <row r="5" spans="1:7" x14ac:dyDescent="0.25">
      <c r="A5" s="23"/>
      <c r="C5">
        <v>2008</v>
      </c>
      <c r="D5" s="26">
        <v>1076543</v>
      </c>
      <c r="E5">
        <f>E4*D11</f>
        <v>1027650.4216169874</v>
      </c>
    </row>
    <row r="6" spans="1:7" x14ac:dyDescent="0.25">
      <c r="A6" s="24"/>
      <c r="C6">
        <v>2009</v>
      </c>
      <c r="D6" s="25">
        <v>1019758</v>
      </c>
      <c r="E6">
        <f>E5*D11</f>
        <v>1003636.8491701018</v>
      </c>
    </row>
    <row r="7" spans="1:7" x14ac:dyDescent="0.25">
      <c r="A7" s="24"/>
      <c r="C7">
        <v>2010</v>
      </c>
      <c r="D7" s="25">
        <v>981062</v>
      </c>
      <c r="E7">
        <f>E6*D11</f>
        <v>980184.41273749853</v>
      </c>
    </row>
    <row r="8" spans="1:7" x14ac:dyDescent="0.25">
      <c r="A8" s="24"/>
      <c r="C8">
        <v>2011</v>
      </c>
      <c r="D8" s="25">
        <v>957280</v>
      </c>
      <c r="E8">
        <f>E7*D11</f>
        <v>957279.99999999988</v>
      </c>
      <c r="F8" s="25">
        <v>911353</v>
      </c>
    </row>
    <row r="9" spans="1:7" x14ac:dyDescent="0.25">
      <c r="A9" s="24"/>
      <c r="C9">
        <v>2012</v>
      </c>
      <c r="D9">
        <v>934910.80503992387</v>
      </c>
      <c r="E9">
        <f>E8*D11</f>
        <v>934910.80503992387</v>
      </c>
      <c r="G9">
        <f>F8*F11</f>
        <v>882478.27430321451</v>
      </c>
    </row>
    <row r="10" spans="1:7" x14ac:dyDescent="0.25">
      <c r="A10" s="24"/>
      <c r="C10">
        <v>2013</v>
      </c>
      <c r="D10">
        <v>913064.32118126214</v>
      </c>
      <c r="E10">
        <f>E9*D11</f>
        <v>913064.32118126214</v>
      </c>
      <c r="F10" s="14">
        <f>(D3-D8)/D8^-5</f>
        <v>9.6574947384924197E+34</v>
      </c>
      <c r="G10" s="25">
        <f>G9*F11</f>
        <v>854518.39695176238</v>
      </c>
    </row>
    <row r="11" spans="1:7" x14ac:dyDescent="0.25">
      <c r="A11" s="24"/>
      <c r="D11" s="22">
        <f>SUM((D8/D3)^(1/5))</f>
        <v>0.97663254746774608</v>
      </c>
      <c r="E11" s="22" t="e">
        <f t="shared" ref="E11" si="0">SUM((E8/E3)^(1/5))</f>
        <v>#DIV/0!</v>
      </c>
      <c r="F11" s="22">
        <f>SUM((F8/F3)^(1/5))</f>
        <v>0.96831663943961832</v>
      </c>
    </row>
    <row r="12" spans="1:7" x14ac:dyDescent="0.25">
      <c r="A12" s="24"/>
      <c r="D12">
        <f>D11*D3</f>
        <v>1052238.5561299617</v>
      </c>
    </row>
    <row r="13" spans="1:7" x14ac:dyDescent="0.25">
      <c r="A13" s="24"/>
    </row>
    <row r="14" spans="1:7" x14ac:dyDescent="0.25">
      <c r="D14" s="24"/>
    </row>
    <row r="15" spans="1:7" x14ac:dyDescent="0.25">
      <c r="D15" s="24"/>
    </row>
    <row r="16" spans="1:7" x14ac:dyDescent="0.25">
      <c r="D16" s="23"/>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223"/>
  <sheetViews>
    <sheetView workbookViewId="0">
      <selection activeCell="A207" sqref="A207"/>
    </sheetView>
  </sheetViews>
  <sheetFormatPr defaultRowHeight="15" x14ac:dyDescent="0.25"/>
  <cols>
    <col min="1" max="1" width="4.140625" customWidth="1"/>
    <col min="2" max="2" width="69.42578125" bestFit="1" customWidth="1"/>
    <col min="3" max="3" width="29.42578125" bestFit="1" customWidth="1"/>
    <col min="4" max="4" width="22.5703125" customWidth="1"/>
    <col min="5" max="5" width="25.140625" customWidth="1"/>
    <col min="6" max="6" width="12.28515625" customWidth="1"/>
    <col min="7" max="7" width="19.42578125" customWidth="1"/>
  </cols>
  <sheetData>
    <row r="2" spans="1:5" x14ac:dyDescent="0.25">
      <c r="A2" s="2" t="s">
        <v>19</v>
      </c>
    </row>
    <row r="3" spans="1:5" x14ac:dyDescent="0.25">
      <c r="A3" s="2"/>
    </row>
    <row r="4" spans="1:5" ht="15.75" thickBot="1" x14ac:dyDescent="0.3">
      <c r="B4" s="1" t="s">
        <v>22</v>
      </c>
    </row>
    <row r="5" spans="1:5" ht="61.5" customHeight="1" thickBot="1" x14ac:dyDescent="0.3">
      <c r="B5" s="5" t="s">
        <v>2</v>
      </c>
      <c r="C5" s="6" t="s">
        <v>3</v>
      </c>
      <c r="D5" s="6" t="s">
        <v>4</v>
      </c>
      <c r="E5" s="6" t="s">
        <v>5</v>
      </c>
    </row>
    <row r="6" spans="1:5" ht="15.75" thickBot="1" x14ac:dyDescent="0.3">
      <c r="B6" s="7" t="s">
        <v>6</v>
      </c>
      <c r="C6" s="8" t="s">
        <v>7</v>
      </c>
      <c r="D6" s="9">
        <v>0.1</v>
      </c>
      <c r="E6" s="8">
        <v>10</v>
      </c>
    </row>
    <row r="7" spans="1:5" ht="15.75" thickBot="1" x14ac:dyDescent="0.3">
      <c r="B7" s="7" t="s">
        <v>8</v>
      </c>
      <c r="C7" s="8" t="s">
        <v>9</v>
      </c>
      <c r="D7" s="9">
        <v>0.2</v>
      </c>
      <c r="E7" s="8">
        <v>15</v>
      </c>
    </row>
    <row r="8" spans="1:5" ht="15.75" thickBot="1" x14ac:dyDescent="0.3">
      <c r="B8" s="7" t="s">
        <v>10</v>
      </c>
      <c r="C8" s="8" t="s">
        <v>11</v>
      </c>
      <c r="D8" s="9">
        <v>0.8</v>
      </c>
      <c r="E8" s="8">
        <v>60</v>
      </c>
    </row>
    <row r="9" spans="1:5" ht="15.75" thickBot="1" x14ac:dyDescent="0.3">
      <c r="B9" s="7" t="s">
        <v>12</v>
      </c>
      <c r="C9" s="8" t="s">
        <v>13</v>
      </c>
      <c r="D9" s="9">
        <v>0.1</v>
      </c>
      <c r="E9" s="8">
        <v>60</v>
      </c>
    </row>
    <row r="10" spans="1:5" ht="15.75" thickBot="1" x14ac:dyDescent="0.3">
      <c r="B10" s="7" t="s">
        <v>14</v>
      </c>
      <c r="C10" s="8" t="s">
        <v>15</v>
      </c>
      <c r="D10" s="9">
        <v>0.05</v>
      </c>
      <c r="E10" s="8">
        <v>40</v>
      </c>
    </row>
    <row r="12" spans="1:5" x14ac:dyDescent="0.25">
      <c r="B12" s="2" t="s">
        <v>0</v>
      </c>
    </row>
    <row r="13" spans="1:5" x14ac:dyDescent="0.25">
      <c r="B13" s="10" t="s">
        <v>16</v>
      </c>
      <c r="C13">
        <v>25</v>
      </c>
    </row>
    <row r="14" spans="1:5" x14ac:dyDescent="0.25">
      <c r="B14" s="10" t="s">
        <v>17</v>
      </c>
      <c r="C14">
        <v>5</v>
      </c>
    </row>
    <row r="15" spans="1:5" x14ac:dyDescent="0.25">
      <c r="B15" s="10" t="s">
        <v>18</v>
      </c>
      <c r="C15" s="11">
        <v>800</v>
      </c>
    </row>
    <row r="17" spans="1:5" x14ac:dyDescent="0.25">
      <c r="B17" s="2" t="s">
        <v>1</v>
      </c>
    </row>
    <row r="18" spans="1:5" x14ac:dyDescent="0.25">
      <c r="B18" s="10" t="s">
        <v>20</v>
      </c>
      <c r="C18">
        <v>25</v>
      </c>
    </row>
    <row r="19" spans="1:5" x14ac:dyDescent="0.25">
      <c r="B19" s="10" t="s">
        <v>21</v>
      </c>
      <c r="C19">
        <v>10</v>
      </c>
    </row>
    <row r="20" spans="1:5" x14ac:dyDescent="0.25">
      <c r="B20" s="10" t="s">
        <v>17</v>
      </c>
      <c r="C20">
        <v>5</v>
      </c>
    </row>
    <row r="22" spans="1:5" x14ac:dyDescent="0.25">
      <c r="B22" s="10" t="s">
        <v>23</v>
      </c>
      <c r="C22">
        <v>3</v>
      </c>
    </row>
    <row r="23" spans="1:5" x14ac:dyDescent="0.25">
      <c r="B23" s="10" t="s">
        <v>24</v>
      </c>
      <c r="C23">
        <v>200</v>
      </c>
    </row>
    <row r="24" spans="1:5" x14ac:dyDescent="0.25">
      <c r="B24" s="10" t="s">
        <v>25</v>
      </c>
      <c r="C24" s="11">
        <v>1800</v>
      </c>
    </row>
    <row r="27" spans="1:5" x14ac:dyDescent="0.25">
      <c r="A27" s="2" t="s">
        <v>26</v>
      </c>
    </row>
    <row r="28" spans="1:5" ht="15.75" thickBot="1" x14ac:dyDescent="0.3">
      <c r="B28" t="s">
        <v>22</v>
      </c>
    </row>
    <row r="29" spans="1:5" ht="39" thickBot="1" x14ac:dyDescent="0.3">
      <c r="B29" s="5" t="s">
        <v>2</v>
      </c>
      <c r="C29" s="6" t="s">
        <v>3</v>
      </c>
      <c r="D29" s="6" t="s">
        <v>4</v>
      </c>
      <c r="E29" s="6" t="s">
        <v>5</v>
      </c>
    </row>
    <row r="30" spans="1:5" ht="15.75" thickBot="1" x14ac:dyDescent="0.3">
      <c r="B30" s="7" t="s">
        <v>6</v>
      </c>
      <c r="C30" s="8" t="s">
        <v>7</v>
      </c>
      <c r="D30" s="9">
        <v>0.1</v>
      </c>
      <c r="E30" s="8">
        <v>10</v>
      </c>
    </row>
    <row r="31" spans="1:5" ht="15.75" thickBot="1" x14ac:dyDescent="0.3">
      <c r="B31" s="7" t="s">
        <v>8</v>
      </c>
      <c r="C31" s="8" t="s">
        <v>9</v>
      </c>
      <c r="D31" s="9">
        <v>0.2</v>
      </c>
      <c r="E31" s="8">
        <v>15</v>
      </c>
    </row>
    <row r="32" spans="1:5" ht="15.75" thickBot="1" x14ac:dyDescent="0.3">
      <c r="B32" s="7" t="s">
        <v>10</v>
      </c>
      <c r="C32" s="8" t="s">
        <v>11</v>
      </c>
      <c r="D32" s="9">
        <v>0.8</v>
      </c>
      <c r="E32" s="8">
        <v>60</v>
      </c>
    </row>
    <row r="33" spans="1:5" ht="15.75" thickBot="1" x14ac:dyDescent="0.3">
      <c r="B33" s="7" t="s">
        <v>27</v>
      </c>
      <c r="C33" s="8" t="s">
        <v>28</v>
      </c>
      <c r="D33" s="9">
        <v>0.01</v>
      </c>
      <c r="E33" s="8">
        <v>40</v>
      </c>
    </row>
    <row r="35" spans="1:5" x14ac:dyDescent="0.25">
      <c r="B35" s="10" t="s">
        <v>20</v>
      </c>
      <c r="C35">
        <v>25</v>
      </c>
    </row>
    <row r="36" spans="1:5" x14ac:dyDescent="0.25">
      <c r="B36" s="10" t="s">
        <v>21</v>
      </c>
      <c r="C36">
        <v>10</v>
      </c>
    </row>
    <row r="37" spans="1:5" x14ac:dyDescent="0.25">
      <c r="B37" s="10" t="s">
        <v>17</v>
      </c>
      <c r="C37">
        <v>5</v>
      </c>
    </row>
    <row r="39" spans="1:5" x14ac:dyDescent="0.25">
      <c r="B39" s="10" t="s">
        <v>23</v>
      </c>
      <c r="C39">
        <v>3</v>
      </c>
    </row>
    <row r="40" spans="1:5" x14ac:dyDescent="0.25">
      <c r="B40" s="10" t="s">
        <v>24</v>
      </c>
      <c r="C40">
        <v>200</v>
      </c>
    </row>
    <row r="41" spans="1:5" x14ac:dyDescent="0.25">
      <c r="B41" s="10" t="s">
        <v>25</v>
      </c>
      <c r="C41" s="11">
        <v>1800</v>
      </c>
    </row>
    <row r="43" spans="1:5" x14ac:dyDescent="0.25">
      <c r="A43" s="2" t="s">
        <v>29</v>
      </c>
    </row>
    <row r="45" spans="1:5" x14ac:dyDescent="0.25">
      <c r="B45" s="1" t="s">
        <v>30</v>
      </c>
    </row>
    <row r="46" spans="1:5" ht="15.75" thickBot="1" x14ac:dyDescent="0.3">
      <c r="B46" t="s">
        <v>22</v>
      </c>
    </row>
    <row r="47" spans="1:5" ht="26.25" thickBot="1" x14ac:dyDescent="0.3">
      <c r="B47" s="5" t="s">
        <v>2</v>
      </c>
      <c r="C47" s="6" t="s">
        <v>3</v>
      </c>
      <c r="D47" s="6" t="s">
        <v>31</v>
      </c>
      <c r="E47" s="6" t="s">
        <v>32</v>
      </c>
    </row>
    <row r="48" spans="1:5" ht="39" thickBot="1" x14ac:dyDescent="0.3">
      <c r="B48" s="7" t="s">
        <v>10</v>
      </c>
      <c r="C48" s="8" t="s">
        <v>11</v>
      </c>
      <c r="D48" s="9">
        <v>0.8</v>
      </c>
      <c r="E48" s="8" t="s">
        <v>33</v>
      </c>
    </row>
    <row r="50" spans="2:3" x14ac:dyDescent="0.25">
      <c r="B50" t="s">
        <v>34</v>
      </c>
      <c r="C50">
        <v>15</v>
      </c>
    </row>
    <row r="51" spans="2:3" x14ac:dyDescent="0.25">
      <c r="B51" t="s">
        <v>35</v>
      </c>
      <c r="C51">
        <v>264</v>
      </c>
    </row>
    <row r="53" spans="2:3" x14ac:dyDescent="0.25">
      <c r="B53" s="2" t="s">
        <v>36</v>
      </c>
    </row>
    <row r="55" spans="2:3" x14ac:dyDescent="0.25">
      <c r="B55" t="s">
        <v>37</v>
      </c>
      <c r="C55">
        <v>90</v>
      </c>
    </row>
    <row r="56" spans="2:3" x14ac:dyDescent="0.25">
      <c r="B56" t="s">
        <v>38</v>
      </c>
      <c r="C56">
        <v>10</v>
      </c>
    </row>
    <row r="57" spans="2:3" x14ac:dyDescent="0.25">
      <c r="B57" t="s">
        <v>39</v>
      </c>
      <c r="C57">
        <v>10</v>
      </c>
    </row>
    <row r="58" spans="2:3" x14ac:dyDescent="0.25">
      <c r="B58" t="s">
        <v>40</v>
      </c>
      <c r="C58">
        <v>10</v>
      </c>
    </row>
    <row r="60" spans="2:3" x14ac:dyDescent="0.25">
      <c r="B60" t="s">
        <v>41</v>
      </c>
      <c r="C60">
        <v>3</v>
      </c>
    </row>
    <row r="61" spans="2:3" x14ac:dyDescent="0.25">
      <c r="B61" t="s">
        <v>42</v>
      </c>
      <c r="C61">
        <v>600</v>
      </c>
    </row>
    <row r="62" spans="2:3" x14ac:dyDescent="0.25">
      <c r="B62" t="s">
        <v>43</v>
      </c>
      <c r="C62" s="11">
        <v>800</v>
      </c>
    </row>
    <row r="64" spans="2:3" x14ac:dyDescent="0.25">
      <c r="B64" s="2" t="s">
        <v>44</v>
      </c>
    </row>
    <row r="66" spans="1:3" x14ac:dyDescent="0.25">
      <c r="B66" t="s">
        <v>45</v>
      </c>
      <c r="C66">
        <v>90</v>
      </c>
    </row>
    <row r="67" spans="1:3" x14ac:dyDescent="0.25">
      <c r="B67" t="s">
        <v>46</v>
      </c>
      <c r="C67">
        <v>10</v>
      </c>
    </row>
    <row r="68" spans="1:3" x14ac:dyDescent="0.25">
      <c r="B68" t="s">
        <v>47</v>
      </c>
      <c r="C68">
        <v>95</v>
      </c>
    </row>
    <row r="70" spans="1:3" x14ac:dyDescent="0.25">
      <c r="B70" t="s">
        <v>41</v>
      </c>
      <c r="C70">
        <v>3</v>
      </c>
    </row>
    <row r="71" spans="1:3" x14ac:dyDescent="0.25">
      <c r="B71" t="s">
        <v>42</v>
      </c>
      <c r="C71">
        <v>600</v>
      </c>
    </row>
    <row r="72" spans="1:3" x14ac:dyDescent="0.25">
      <c r="B72" t="s">
        <v>48</v>
      </c>
      <c r="C72" s="11">
        <v>800</v>
      </c>
    </row>
    <row r="73" spans="1:3" x14ac:dyDescent="0.25">
      <c r="B73" t="s">
        <v>49</v>
      </c>
      <c r="C73" s="11">
        <v>800</v>
      </c>
    </row>
    <row r="74" spans="1:3" x14ac:dyDescent="0.25">
      <c r="B74" s="2"/>
    </row>
    <row r="76" spans="1:3" ht="15.75" x14ac:dyDescent="0.3">
      <c r="A76" s="12" t="s">
        <v>50</v>
      </c>
    </row>
    <row r="77" spans="1:3" ht="15.75" x14ac:dyDescent="0.3">
      <c r="A77" s="12"/>
    </row>
    <row r="78" spans="1:3" x14ac:dyDescent="0.25">
      <c r="B78" s="2" t="s">
        <v>55</v>
      </c>
    </row>
    <row r="79" spans="1:3" x14ac:dyDescent="0.25">
      <c r="B79" t="s">
        <v>51</v>
      </c>
      <c r="C79">
        <v>1</v>
      </c>
    </row>
    <row r="80" spans="1:3" x14ac:dyDescent="0.25">
      <c r="B80" t="s">
        <v>52</v>
      </c>
      <c r="C80">
        <v>2</v>
      </c>
    </row>
    <row r="81" spans="2:3" x14ac:dyDescent="0.25">
      <c r="B81" t="s">
        <v>53</v>
      </c>
      <c r="C81">
        <v>1800</v>
      </c>
    </row>
    <row r="82" spans="2:3" x14ac:dyDescent="0.25">
      <c r="B82" t="s">
        <v>18</v>
      </c>
      <c r="C82" s="11">
        <v>1500</v>
      </c>
    </row>
    <row r="84" spans="2:3" x14ac:dyDescent="0.25">
      <c r="B84" s="4" t="s">
        <v>54</v>
      </c>
    </row>
    <row r="86" spans="2:3" x14ac:dyDescent="0.25">
      <c r="B86" t="s">
        <v>56</v>
      </c>
      <c r="C86">
        <v>25</v>
      </c>
    </row>
    <row r="87" spans="2:3" x14ac:dyDescent="0.25">
      <c r="B87" t="s">
        <v>57</v>
      </c>
    </row>
    <row r="88" spans="2:3" x14ac:dyDescent="0.25">
      <c r="B88" s="13" t="s">
        <v>58</v>
      </c>
      <c r="C88">
        <v>3</v>
      </c>
    </row>
    <row r="89" spans="2:3" x14ac:dyDescent="0.25">
      <c r="B89" s="13" t="s">
        <v>59</v>
      </c>
      <c r="C89">
        <v>50</v>
      </c>
    </row>
    <row r="90" spans="2:3" x14ac:dyDescent="0.25">
      <c r="B90" s="13" t="s">
        <v>61</v>
      </c>
      <c r="C90" s="11">
        <v>50</v>
      </c>
    </row>
    <row r="91" spans="2:3" x14ac:dyDescent="0.25">
      <c r="B91" t="s">
        <v>60</v>
      </c>
    </row>
    <row r="92" spans="2:3" x14ac:dyDescent="0.25">
      <c r="B92" s="13" t="s">
        <v>58</v>
      </c>
      <c r="C92">
        <v>1</v>
      </c>
    </row>
    <row r="93" spans="2:3" x14ac:dyDescent="0.25">
      <c r="B93" s="13" t="s">
        <v>62</v>
      </c>
      <c r="C93">
        <v>180</v>
      </c>
    </row>
    <row r="94" spans="2:3" x14ac:dyDescent="0.25">
      <c r="B94" s="13" t="s">
        <v>63</v>
      </c>
      <c r="C94" s="11">
        <v>1500</v>
      </c>
    </row>
    <row r="96" spans="2:3" x14ac:dyDescent="0.25">
      <c r="B96" s="4" t="s">
        <v>64</v>
      </c>
    </row>
    <row r="97" spans="2:3" x14ac:dyDescent="0.25">
      <c r="B97" s="3" t="s">
        <v>65</v>
      </c>
    </row>
    <row r="98" spans="2:3" x14ac:dyDescent="0.25">
      <c r="B98" s="13" t="s">
        <v>66</v>
      </c>
      <c r="C98">
        <v>1</v>
      </c>
    </row>
    <row r="99" spans="2:3" x14ac:dyDescent="0.25">
      <c r="B99" s="13" t="s">
        <v>67</v>
      </c>
      <c r="C99">
        <v>1</v>
      </c>
    </row>
    <row r="100" spans="2:3" x14ac:dyDescent="0.25">
      <c r="B100" s="13" t="s">
        <v>68</v>
      </c>
      <c r="C100">
        <v>1</v>
      </c>
    </row>
    <row r="101" spans="2:3" x14ac:dyDescent="0.25">
      <c r="B101" s="13" t="s">
        <v>70</v>
      </c>
    </row>
    <row r="102" spans="2:3" x14ac:dyDescent="0.25">
      <c r="B102" s="3" t="s">
        <v>69</v>
      </c>
      <c r="C102">
        <v>50</v>
      </c>
    </row>
    <row r="103" spans="2:3" x14ac:dyDescent="0.25">
      <c r="B103" s="3" t="s">
        <v>71</v>
      </c>
      <c r="C103">
        <v>180</v>
      </c>
    </row>
    <row r="104" spans="2:3" x14ac:dyDescent="0.25">
      <c r="B104" s="3" t="s">
        <v>72</v>
      </c>
      <c r="C104" s="11">
        <v>3000</v>
      </c>
    </row>
    <row r="106" spans="2:3" x14ac:dyDescent="0.25">
      <c r="B106" s="2" t="s">
        <v>73</v>
      </c>
    </row>
    <row r="108" spans="2:3" x14ac:dyDescent="0.25">
      <c r="B108" t="s">
        <v>74</v>
      </c>
      <c r="C108">
        <v>2</v>
      </c>
    </row>
    <row r="109" spans="2:3" x14ac:dyDescent="0.25">
      <c r="B109" t="s">
        <v>75</v>
      </c>
    </row>
    <row r="110" spans="2:3" x14ac:dyDescent="0.25">
      <c r="B110" s="13" t="s">
        <v>76</v>
      </c>
      <c r="C110">
        <v>50</v>
      </c>
    </row>
    <row r="111" spans="2:3" x14ac:dyDescent="0.25">
      <c r="B111" s="13" t="s">
        <v>77</v>
      </c>
      <c r="C111">
        <v>30</v>
      </c>
    </row>
    <row r="112" spans="2:3" x14ac:dyDescent="0.25">
      <c r="B112" s="13" t="s">
        <v>78</v>
      </c>
      <c r="C112">
        <v>20</v>
      </c>
    </row>
    <row r="113" spans="1:3" x14ac:dyDescent="0.25">
      <c r="B113" t="s">
        <v>79</v>
      </c>
    </row>
    <row r="114" spans="1:3" x14ac:dyDescent="0.25">
      <c r="B114" s="13" t="s">
        <v>80</v>
      </c>
      <c r="C114">
        <v>180</v>
      </c>
    </row>
    <row r="115" spans="1:3" x14ac:dyDescent="0.25">
      <c r="B115" s="13" t="s">
        <v>81</v>
      </c>
      <c r="C115" s="11">
        <v>1500</v>
      </c>
    </row>
    <row r="116" spans="1:3" x14ac:dyDescent="0.25">
      <c r="B116" t="s">
        <v>82</v>
      </c>
    </row>
    <row r="117" spans="1:3" x14ac:dyDescent="0.25">
      <c r="B117" s="13" t="s">
        <v>80</v>
      </c>
      <c r="C117">
        <v>150</v>
      </c>
    </row>
    <row r="118" spans="1:3" x14ac:dyDescent="0.25">
      <c r="B118" s="13" t="s">
        <v>81</v>
      </c>
      <c r="C118" s="11">
        <v>1000</v>
      </c>
    </row>
    <row r="119" spans="1:3" x14ac:dyDescent="0.25">
      <c r="B119" t="s">
        <v>83</v>
      </c>
    </row>
    <row r="120" spans="1:3" x14ac:dyDescent="0.25">
      <c r="B120" s="13" t="s">
        <v>80</v>
      </c>
      <c r="C120">
        <v>100</v>
      </c>
    </row>
    <row r="121" spans="1:3" x14ac:dyDescent="0.25">
      <c r="B121" s="13" t="s">
        <v>81</v>
      </c>
      <c r="C121" s="11">
        <v>3000</v>
      </c>
    </row>
    <row r="122" spans="1:3" x14ac:dyDescent="0.25">
      <c r="B122" t="s">
        <v>84</v>
      </c>
    </row>
    <row r="123" spans="1:3" x14ac:dyDescent="0.25">
      <c r="B123" s="13" t="s">
        <v>80</v>
      </c>
      <c r="C123">
        <v>40</v>
      </c>
    </row>
    <row r="124" spans="1:3" x14ac:dyDescent="0.25">
      <c r="B124" s="13" t="s">
        <v>81</v>
      </c>
      <c r="C124" s="11">
        <v>10000</v>
      </c>
    </row>
    <row r="127" spans="1:3" ht="15.75" x14ac:dyDescent="0.3">
      <c r="A127" s="12" t="s">
        <v>85</v>
      </c>
    </row>
    <row r="129" spans="2:7" x14ac:dyDescent="0.25">
      <c r="B129" s="13"/>
    </row>
    <row r="130" spans="2:7" x14ac:dyDescent="0.25">
      <c r="B130" t="s">
        <v>102</v>
      </c>
    </row>
    <row r="131" spans="2:7" x14ac:dyDescent="0.25">
      <c r="B131" s="13" t="s">
        <v>3</v>
      </c>
      <c r="C131" s="13" t="s">
        <v>11</v>
      </c>
      <c r="D131" s="17"/>
      <c r="E131" s="18"/>
      <c r="F131" s="16"/>
      <c r="G131" s="16"/>
    </row>
    <row r="132" spans="2:7" x14ac:dyDescent="0.25">
      <c r="B132" s="13" t="s">
        <v>31</v>
      </c>
      <c r="C132" s="13">
        <v>0.8</v>
      </c>
      <c r="D132" s="17"/>
      <c r="E132" s="18"/>
      <c r="F132" s="16"/>
      <c r="G132" s="16"/>
    </row>
    <row r="133" spans="2:7" x14ac:dyDescent="0.25">
      <c r="B133" s="13" t="s">
        <v>103</v>
      </c>
      <c r="C133" s="13">
        <v>2</v>
      </c>
      <c r="D133" s="17"/>
      <c r="E133" s="18"/>
      <c r="F133" s="16"/>
      <c r="G133" s="16"/>
    </row>
    <row r="134" spans="2:7" x14ac:dyDescent="0.25">
      <c r="B134" s="13" t="s">
        <v>87</v>
      </c>
      <c r="C134" s="13">
        <v>40</v>
      </c>
    </row>
    <row r="135" spans="2:7" x14ac:dyDescent="0.25">
      <c r="B135" s="13" t="s">
        <v>88</v>
      </c>
      <c r="C135" s="13" t="s">
        <v>89</v>
      </c>
    </row>
    <row r="136" spans="2:7" x14ac:dyDescent="0.25">
      <c r="B136" s="13"/>
    </row>
    <row r="137" spans="2:7" x14ac:dyDescent="0.25">
      <c r="B137" t="s">
        <v>90</v>
      </c>
      <c r="C137">
        <v>10</v>
      </c>
    </row>
    <row r="139" spans="2:7" x14ac:dyDescent="0.25">
      <c r="B139" s="2" t="s">
        <v>86</v>
      </c>
    </row>
    <row r="140" spans="2:7" x14ac:dyDescent="0.25">
      <c r="B140" t="s">
        <v>91</v>
      </c>
      <c r="C140" s="11">
        <v>80000</v>
      </c>
    </row>
    <row r="142" spans="2:7" x14ac:dyDescent="0.25">
      <c r="B142" s="2" t="s">
        <v>92</v>
      </c>
    </row>
    <row r="144" spans="2:7" ht="15.75" customHeight="1" x14ac:dyDescent="0.25">
      <c r="B144" t="s">
        <v>93</v>
      </c>
      <c r="C144">
        <v>12250</v>
      </c>
    </row>
    <row r="145" spans="1:3" ht="22.5" customHeight="1" x14ac:dyDescent="0.25">
      <c r="B145" t="s">
        <v>99</v>
      </c>
    </row>
    <row r="146" spans="1:3" x14ac:dyDescent="0.25">
      <c r="B146" s="13" t="s">
        <v>94</v>
      </c>
      <c r="C146" s="14">
        <v>0.5</v>
      </c>
    </row>
    <row r="147" spans="1:3" x14ac:dyDescent="0.25">
      <c r="B147" s="13" t="s">
        <v>95</v>
      </c>
      <c r="C147" s="14">
        <v>0.2</v>
      </c>
    </row>
    <row r="148" spans="1:3" x14ac:dyDescent="0.25">
      <c r="B148" s="13" t="s">
        <v>96</v>
      </c>
      <c r="C148" s="14">
        <v>0.4</v>
      </c>
    </row>
    <row r="149" spans="1:3" x14ac:dyDescent="0.25">
      <c r="B149" s="13" t="s">
        <v>97</v>
      </c>
      <c r="C149" s="14">
        <v>0.3</v>
      </c>
    </row>
    <row r="150" spans="1:3" x14ac:dyDescent="0.25">
      <c r="B150" s="13" t="s">
        <v>98</v>
      </c>
      <c r="C150" s="14">
        <v>0.1</v>
      </c>
    </row>
    <row r="152" spans="1:3" x14ac:dyDescent="0.25">
      <c r="B152" s="15" t="s">
        <v>100</v>
      </c>
      <c r="C152" s="11">
        <v>150000</v>
      </c>
    </row>
    <row r="153" spans="1:3" x14ac:dyDescent="0.25">
      <c r="B153" s="15" t="s">
        <v>101</v>
      </c>
    </row>
    <row r="154" spans="1:3" x14ac:dyDescent="0.25">
      <c r="B154" s="13" t="s">
        <v>96</v>
      </c>
      <c r="C154" s="14">
        <v>0.25</v>
      </c>
    </row>
    <row r="155" spans="1:3" x14ac:dyDescent="0.25">
      <c r="B155" s="13" t="s">
        <v>97</v>
      </c>
      <c r="C155" s="14">
        <v>0.5</v>
      </c>
    </row>
    <row r="156" spans="1:3" x14ac:dyDescent="0.25">
      <c r="B156" s="13" t="s">
        <v>98</v>
      </c>
      <c r="C156" s="14">
        <v>0.75</v>
      </c>
    </row>
    <row r="158" spans="1:3" ht="15.75" x14ac:dyDescent="0.3">
      <c r="A158" s="12" t="s">
        <v>104</v>
      </c>
    </row>
    <row r="160" spans="1:3" x14ac:dyDescent="0.25">
      <c r="B160" s="15" t="s">
        <v>93</v>
      </c>
      <c r="C160">
        <v>12250</v>
      </c>
    </row>
    <row r="161" spans="1:3" x14ac:dyDescent="0.25">
      <c r="B161" s="15" t="s">
        <v>105</v>
      </c>
    </row>
    <row r="162" spans="1:3" x14ac:dyDescent="0.25">
      <c r="B162" s="13" t="s">
        <v>106</v>
      </c>
      <c r="C162" s="14">
        <v>0.3</v>
      </c>
    </row>
    <row r="163" spans="1:3" x14ac:dyDescent="0.25">
      <c r="B163" s="13" t="s">
        <v>107</v>
      </c>
      <c r="C163" s="14">
        <v>0.5</v>
      </c>
    </row>
    <row r="164" spans="1:3" x14ac:dyDescent="0.25">
      <c r="B164" s="13" t="s">
        <v>108</v>
      </c>
      <c r="C164" s="14">
        <v>0.6</v>
      </c>
    </row>
    <row r="166" spans="1:3" x14ac:dyDescent="0.25">
      <c r="B166" s="15" t="s">
        <v>109</v>
      </c>
    </row>
    <row r="167" spans="1:3" x14ac:dyDescent="0.25">
      <c r="B167" s="19" t="s">
        <v>110</v>
      </c>
      <c r="C167" s="11">
        <v>50000</v>
      </c>
    </row>
    <row r="168" spans="1:3" x14ac:dyDescent="0.25">
      <c r="B168" s="19" t="s">
        <v>107</v>
      </c>
      <c r="C168" s="11">
        <v>30000</v>
      </c>
    </row>
    <row r="169" spans="1:3" x14ac:dyDescent="0.25">
      <c r="B169" s="19" t="s">
        <v>111</v>
      </c>
      <c r="C169" s="11">
        <v>150000</v>
      </c>
    </row>
    <row r="171" spans="1:3" ht="15.75" x14ac:dyDescent="0.3">
      <c r="A171" s="12" t="s">
        <v>112</v>
      </c>
    </row>
    <row r="172" spans="1:3" x14ac:dyDescent="0.25">
      <c r="B172" s="19" t="s">
        <v>115</v>
      </c>
      <c r="C172">
        <v>6</v>
      </c>
    </row>
    <row r="173" spans="1:3" x14ac:dyDescent="0.25">
      <c r="B173" t="s">
        <v>113</v>
      </c>
      <c r="C173">
        <v>1</v>
      </c>
    </row>
    <row r="174" spans="1:3" x14ac:dyDescent="0.25">
      <c r="B174" t="s">
        <v>114</v>
      </c>
      <c r="C174">
        <v>20</v>
      </c>
    </row>
    <row r="175" spans="1:3" x14ac:dyDescent="0.25">
      <c r="B175" t="s">
        <v>116</v>
      </c>
      <c r="C175">
        <v>40</v>
      </c>
    </row>
    <row r="176" spans="1:3" x14ac:dyDescent="0.25">
      <c r="B176" t="s">
        <v>117</v>
      </c>
      <c r="C176" s="11">
        <v>120000</v>
      </c>
    </row>
    <row r="177" spans="1:3" x14ac:dyDescent="0.25">
      <c r="B177" t="s">
        <v>118</v>
      </c>
      <c r="C177" s="11">
        <v>30000</v>
      </c>
    </row>
    <row r="179" spans="1:3" ht="15.75" x14ac:dyDescent="0.3">
      <c r="A179" s="12" t="s">
        <v>119</v>
      </c>
    </row>
    <row r="181" spans="1:3" x14ac:dyDescent="0.25">
      <c r="B181" t="s">
        <v>120</v>
      </c>
      <c r="C181">
        <v>20</v>
      </c>
    </row>
    <row r="182" spans="1:3" x14ac:dyDescent="0.25">
      <c r="B182" t="s">
        <v>121</v>
      </c>
      <c r="C182">
        <v>10</v>
      </c>
    </row>
    <row r="183" spans="1:3" x14ac:dyDescent="0.25">
      <c r="B183" t="s">
        <v>122</v>
      </c>
      <c r="C183">
        <v>20</v>
      </c>
    </row>
    <row r="185" spans="1:3" x14ac:dyDescent="0.25">
      <c r="B185" t="s">
        <v>123</v>
      </c>
      <c r="C185">
        <v>200</v>
      </c>
    </row>
    <row r="186" spans="1:3" x14ac:dyDescent="0.25">
      <c r="B186" t="s">
        <v>124</v>
      </c>
      <c r="C186">
        <v>2</v>
      </c>
    </row>
    <row r="187" spans="1:3" x14ac:dyDescent="0.25">
      <c r="B187" t="s">
        <v>125</v>
      </c>
      <c r="C187">
        <v>80</v>
      </c>
    </row>
    <row r="189" spans="1:3" x14ac:dyDescent="0.25">
      <c r="B189" t="s">
        <v>126</v>
      </c>
      <c r="C189" s="11">
        <v>800000</v>
      </c>
    </row>
    <row r="190" spans="1:3" x14ac:dyDescent="0.25">
      <c r="B190" t="s">
        <v>127</v>
      </c>
      <c r="C190" s="11">
        <v>25000</v>
      </c>
    </row>
    <row r="191" spans="1:3" x14ac:dyDescent="0.25">
      <c r="B191" t="s">
        <v>128</v>
      </c>
      <c r="C191" s="11">
        <v>40000</v>
      </c>
    </row>
    <row r="192" spans="1:3" x14ac:dyDescent="0.25">
      <c r="B192" t="s">
        <v>129</v>
      </c>
      <c r="C192" s="11">
        <v>450000</v>
      </c>
    </row>
    <row r="194" spans="1:3" ht="15.75" x14ac:dyDescent="0.3">
      <c r="A194" s="12" t="s">
        <v>130</v>
      </c>
    </row>
    <row r="196" spans="1:3" x14ac:dyDescent="0.25">
      <c r="B196" t="s">
        <v>123</v>
      </c>
      <c r="C196">
        <v>200</v>
      </c>
    </row>
    <row r="197" spans="1:3" x14ac:dyDescent="0.25">
      <c r="B197" t="s">
        <v>124</v>
      </c>
      <c r="C197">
        <v>5</v>
      </c>
    </row>
    <row r="198" spans="1:3" x14ac:dyDescent="0.25">
      <c r="B198" t="s">
        <v>131</v>
      </c>
      <c r="C198">
        <v>200</v>
      </c>
    </row>
    <row r="199" spans="1:3" x14ac:dyDescent="0.25">
      <c r="B199" t="s">
        <v>132</v>
      </c>
      <c r="C199">
        <v>180000</v>
      </c>
    </row>
    <row r="200" spans="1:3" x14ac:dyDescent="0.25">
      <c r="B200" t="s">
        <v>133</v>
      </c>
      <c r="C200">
        <v>60000</v>
      </c>
    </row>
    <row r="201" spans="1:3" x14ac:dyDescent="0.25">
      <c r="B201" t="s">
        <v>134</v>
      </c>
      <c r="C201">
        <v>30000</v>
      </c>
    </row>
    <row r="202" spans="1:3" x14ac:dyDescent="0.25">
      <c r="B202" t="s">
        <v>135</v>
      </c>
    </row>
    <row r="203" spans="1:3" x14ac:dyDescent="0.25">
      <c r="B203" s="13" t="s">
        <v>136</v>
      </c>
      <c r="C203">
        <v>220000</v>
      </c>
    </row>
    <row r="204" spans="1:3" x14ac:dyDescent="0.25">
      <c r="B204" s="13" t="s">
        <v>137</v>
      </c>
      <c r="C204">
        <v>80000</v>
      </c>
    </row>
    <row r="207" spans="1:3" s="12" customFormat="1" x14ac:dyDescent="0.3">
      <c r="A207" s="12" t="s">
        <v>138</v>
      </c>
    </row>
    <row r="208" spans="1:3" x14ac:dyDescent="0.25">
      <c r="B208" t="s">
        <v>139</v>
      </c>
    </row>
    <row r="209" spans="2:3" x14ac:dyDescent="0.25">
      <c r="B209" s="13" t="s">
        <v>140</v>
      </c>
      <c r="C209">
        <v>1</v>
      </c>
    </row>
    <row r="210" spans="2:3" x14ac:dyDescent="0.25">
      <c r="B210" s="13" t="s">
        <v>141</v>
      </c>
      <c r="C210">
        <v>1</v>
      </c>
    </row>
    <row r="211" spans="2:3" x14ac:dyDescent="0.25">
      <c r="B211" s="13" t="s">
        <v>142</v>
      </c>
      <c r="C211">
        <v>1</v>
      </c>
    </row>
    <row r="212" spans="2:3" x14ac:dyDescent="0.25">
      <c r="B212" s="15" t="s">
        <v>143</v>
      </c>
      <c r="C212">
        <v>1</v>
      </c>
    </row>
    <row r="213" spans="2:3" x14ac:dyDescent="0.25">
      <c r="B213" s="15" t="s">
        <v>153</v>
      </c>
      <c r="C213">
        <v>1</v>
      </c>
    </row>
    <row r="215" spans="2:3" x14ac:dyDescent="0.25">
      <c r="B215" s="20" t="s">
        <v>144</v>
      </c>
      <c r="C215" s="11">
        <v>80000</v>
      </c>
    </row>
    <row r="216" spans="2:3" x14ac:dyDescent="0.25">
      <c r="B216" s="20" t="s">
        <v>145</v>
      </c>
      <c r="C216" s="11">
        <v>20000</v>
      </c>
    </row>
    <row r="217" spans="2:3" x14ac:dyDescent="0.25">
      <c r="B217" s="20" t="s">
        <v>146</v>
      </c>
      <c r="C217" s="21">
        <v>5000</v>
      </c>
    </row>
    <row r="218" spans="2:3" x14ac:dyDescent="0.25">
      <c r="B218" s="20" t="s">
        <v>147</v>
      </c>
      <c r="C218" s="11">
        <v>15000</v>
      </c>
    </row>
    <row r="219" spans="2:3" x14ac:dyDescent="0.25">
      <c r="B219" s="20" t="s">
        <v>148</v>
      </c>
      <c r="C219" s="11">
        <v>30000</v>
      </c>
    </row>
    <row r="220" spans="2:3" x14ac:dyDescent="0.25">
      <c r="B220" s="20" t="s">
        <v>149</v>
      </c>
      <c r="C220" s="11">
        <v>100000</v>
      </c>
    </row>
    <row r="221" spans="2:3" x14ac:dyDescent="0.25">
      <c r="B221" s="20" t="s">
        <v>150</v>
      </c>
      <c r="C221" s="11">
        <v>80000</v>
      </c>
    </row>
    <row r="222" spans="2:3" x14ac:dyDescent="0.25">
      <c r="B222" s="3" t="s">
        <v>151</v>
      </c>
      <c r="C222" s="11">
        <v>250000</v>
      </c>
    </row>
    <row r="223" spans="2:3" x14ac:dyDescent="0.25">
      <c r="B223" s="3" t="s">
        <v>152</v>
      </c>
      <c r="C223" s="14">
        <v>0.03</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9"/>
  <sheetViews>
    <sheetView showGridLines="0" workbookViewId="0">
      <selection activeCell="B1" sqref="B1:B1048576"/>
    </sheetView>
  </sheetViews>
  <sheetFormatPr defaultRowHeight="12.75" x14ac:dyDescent="0.2"/>
  <cols>
    <col min="1" max="1" width="6.28515625" style="432" customWidth="1"/>
    <col min="2" max="2" width="9.5703125" style="30" customWidth="1"/>
    <col min="3" max="3" width="80.42578125" style="30" customWidth="1"/>
    <col min="4" max="16384" width="9.140625" style="30"/>
  </cols>
  <sheetData>
    <row r="1" spans="2:3" ht="25.5" customHeight="1" x14ac:dyDescent="0.3">
      <c r="B1" s="294" t="s">
        <v>723</v>
      </c>
      <c r="C1" s="142"/>
    </row>
    <row r="2" spans="2:3" x14ac:dyDescent="0.2">
      <c r="B2" s="142" t="s">
        <v>724</v>
      </c>
      <c r="C2" s="142" t="s">
        <v>248</v>
      </c>
    </row>
    <row r="3" spans="2:3" x14ac:dyDescent="0.2">
      <c r="B3" s="141" t="s">
        <v>258</v>
      </c>
      <c r="C3" s="143"/>
    </row>
    <row r="4" spans="2:3" ht="15" x14ac:dyDescent="0.25">
      <c r="B4" s="33" t="s">
        <v>247</v>
      </c>
      <c r="C4" s="430" t="s">
        <v>19</v>
      </c>
    </row>
    <row r="5" spans="2:3" x14ac:dyDescent="0.2">
      <c r="B5" s="33"/>
      <c r="C5" s="32" t="s">
        <v>0</v>
      </c>
    </row>
    <row r="6" spans="2:3" x14ac:dyDescent="0.2">
      <c r="B6" s="33"/>
      <c r="C6" s="32" t="s">
        <v>1</v>
      </c>
    </row>
    <row r="7" spans="2:3" ht="15" x14ac:dyDescent="0.25">
      <c r="B7" s="33" t="s">
        <v>249</v>
      </c>
      <c r="C7" s="430" t="s">
        <v>26</v>
      </c>
    </row>
    <row r="8" spans="2:3" ht="15" x14ac:dyDescent="0.25">
      <c r="B8" s="33" t="s">
        <v>250</v>
      </c>
      <c r="C8" s="430" t="s">
        <v>29</v>
      </c>
    </row>
    <row r="9" spans="2:3" x14ac:dyDescent="0.2">
      <c r="B9" s="33"/>
      <c r="C9" s="32" t="s">
        <v>30</v>
      </c>
    </row>
    <row r="10" spans="2:3" x14ac:dyDescent="0.2">
      <c r="B10" s="33"/>
      <c r="C10" s="32" t="s">
        <v>36</v>
      </c>
    </row>
    <row r="11" spans="2:3" x14ac:dyDescent="0.2">
      <c r="B11" s="33"/>
      <c r="C11" s="32" t="s">
        <v>44</v>
      </c>
    </row>
    <row r="12" spans="2:3" ht="15" x14ac:dyDescent="0.25">
      <c r="B12" s="33" t="s">
        <v>251</v>
      </c>
      <c r="C12" s="430" t="s">
        <v>50</v>
      </c>
    </row>
    <row r="13" spans="2:3" x14ac:dyDescent="0.2">
      <c r="B13" s="33"/>
      <c r="C13" s="32" t="s">
        <v>55</v>
      </c>
    </row>
    <row r="14" spans="2:3" x14ac:dyDescent="0.2">
      <c r="B14" s="33"/>
      <c r="C14" s="32" t="s">
        <v>54</v>
      </c>
    </row>
    <row r="15" spans="2:3" x14ac:dyDescent="0.2">
      <c r="B15" s="33"/>
      <c r="C15" s="32" t="s">
        <v>64</v>
      </c>
    </row>
    <row r="16" spans="2:3" x14ac:dyDescent="0.2">
      <c r="B16" s="33"/>
      <c r="C16" s="32" t="s">
        <v>73</v>
      </c>
    </row>
    <row r="17" spans="2:3" ht="15" x14ac:dyDescent="0.25">
      <c r="B17" s="33" t="s">
        <v>252</v>
      </c>
      <c r="C17" s="430" t="s">
        <v>85</v>
      </c>
    </row>
    <row r="18" spans="2:3" x14ac:dyDescent="0.2">
      <c r="B18" s="33"/>
      <c r="C18" s="32" t="s">
        <v>86</v>
      </c>
    </row>
    <row r="19" spans="2:3" x14ac:dyDescent="0.2">
      <c r="B19" s="33"/>
      <c r="C19" s="32" t="s">
        <v>92</v>
      </c>
    </row>
    <row r="20" spans="2:3" ht="15" x14ac:dyDescent="0.25">
      <c r="B20" s="33" t="s">
        <v>253</v>
      </c>
      <c r="C20" s="430" t="s">
        <v>104</v>
      </c>
    </row>
    <row r="21" spans="2:3" ht="15" x14ac:dyDescent="0.25">
      <c r="B21" s="33" t="s">
        <v>254</v>
      </c>
      <c r="C21" s="430" t="s">
        <v>112</v>
      </c>
    </row>
    <row r="22" spans="2:3" ht="15" x14ac:dyDescent="0.25">
      <c r="B22" s="33" t="s">
        <v>255</v>
      </c>
      <c r="C22" s="430" t="s">
        <v>119</v>
      </c>
    </row>
    <row r="23" spans="2:3" ht="15" x14ac:dyDescent="0.25">
      <c r="B23" s="33" t="s">
        <v>256</v>
      </c>
      <c r="C23" s="430" t="s">
        <v>130</v>
      </c>
    </row>
    <row r="24" spans="2:3" ht="15" x14ac:dyDescent="0.25">
      <c r="B24" s="33" t="s">
        <v>257</v>
      </c>
      <c r="C24" s="430" t="s">
        <v>138</v>
      </c>
    </row>
    <row r="25" spans="2:3" x14ac:dyDescent="0.2">
      <c r="B25" s="141" t="s">
        <v>259</v>
      </c>
      <c r="C25" s="143"/>
    </row>
    <row r="26" spans="2:3" ht="15" x14ac:dyDescent="0.25">
      <c r="B26" s="34" t="s">
        <v>260</v>
      </c>
      <c r="C26" s="430" t="s">
        <v>154</v>
      </c>
    </row>
    <row r="27" spans="2:3" ht="15" x14ac:dyDescent="0.25">
      <c r="B27" s="34" t="s">
        <v>261</v>
      </c>
      <c r="C27" s="430" t="s">
        <v>158</v>
      </c>
    </row>
    <row r="28" spans="2:3" ht="15" x14ac:dyDescent="0.25">
      <c r="B28" s="34" t="s">
        <v>262</v>
      </c>
      <c r="C28" s="430" t="s">
        <v>161</v>
      </c>
    </row>
    <row r="29" spans="2:3" x14ac:dyDescent="0.2">
      <c r="B29" s="34"/>
      <c r="C29" s="32" t="s">
        <v>162</v>
      </c>
    </row>
    <row r="30" spans="2:3" x14ac:dyDescent="0.2">
      <c r="B30" s="34"/>
      <c r="C30" s="32" t="s">
        <v>168</v>
      </c>
    </row>
    <row r="31" spans="2:3" x14ac:dyDescent="0.2">
      <c r="B31" s="34"/>
      <c r="C31" s="32" t="s">
        <v>171</v>
      </c>
    </row>
    <row r="32" spans="2:3" x14ac:dyDescent="0.2">
      <c r="B32" s="34"/>
      <c r="C32" s="32" t="s">
        <v>179</v>
      </c>
    </row>
    <row r="33" spans="1:3" x14ac:dyDescent="0.2">
      <c r="B33" s="141" t="s">
        <v>263</v>
      </c>
      <c r="C33" s="141"/>
    </row>
    <row r="34" spans="1:3" ht="15" x14ac:dyDescent="0.25">
      <c r="B34" s="35" t="s">
        <v>264</v>
      </c>
      <c r="C34" s="430" t="s">
        <v>184</v>
      </c>
    </row>
    <row r="35" spans="1:3" ht="15" x14ac:dyDescent="0.25">
      <c r="B35" s="35" t="s">
        <v>265</v>
      </c>
      <c r="C35" s="430" t="s">
        <v>186</v>
      </c>
    </row>
    <row r="36" spans="1:3" x14ac:dyDescent="0.2">
      <c r="B36" s="35"/>
      <c r="C36" s="32" t="s">
        <v>187</v>
      </c>
    </row>
    <row r="37" spans="1:3" x14ac:dyDescent="0.2">
      <c r="B37" s="35"/>
      <c r="C37" s="32" t="s">
        <v>193</v>
      </c>
    </row>
    <row r="38" spans="1:3" x14ac:dyDescent="0.2">
      <c r="B38" s="35"/>
      <c r="C38" s="32" t="s">
        <v>200</v>
      </c>
    </row>
    <row r="39" spans="1:3" x14ac:dyDescent="0.2">
      <c r="B39" s="35"/>
      <c r="C39" s="32" t="s">
        <v>203</v>
      </c>
    </row>
    <row r="40" spans="1:3" ht="15" x14ac:dyDescent="0.25">
      <c r="B40" s="35" t="s">
        <v>266</v>
      </c>
      <c r="C40" s="430" t="s">
        <v>208</v>
      </c>
    </row>
    <row r="41" spans="1:3" ht="15" x14ac:dyDescent="0.25">
      <c r="B41" s="35" t="s">
        <v>267</v>
      </c>
      <c r="C41" s="430" t="s">
        <v>209</v>
      </c>
    </row>
    <row r="42" spans="1:3" x14ac:dyDescent="0.2">
      <c r="B42" s="35"/>
      <c r="C42" s="32" t="s">
        <v>242</v>
      </c>
    </row>
    <row r="43" spans="1:3" x14ac:dyDescent="0.2">
      <c r="B43" s="35"/>
      <c r="C43" s="32" t="s">
        <v>241</v>
      </c>
    </row>
    <row r="45" spans="1:3" x14ac:dyDescent="0.2">
      <c r="A45" s="433"/>
      <c r="B45" s="427"/>
      <c r="C45" s="427"/>
    </row>
    <row r="46" spans="1:3" ht="26.25" x14ac:dyDescent="0.4">
      <c r="A46" s="434"/>
      <c r="B46" s="429" t="s">
        <v>722</v>
      </c>
      <c r="C46" s="388"/>
    </row>
    <row r="47" spans="1:3" x14ac:dyDescent="0.2">
      <c r="A47" s="433"/>
      <c r="B47" s="427"/>
      <c r="C47" s="427"/>
    </row>
    <row r="48" spans="1:3" x14ac:dyDescent="0.2">
      <c r="B48" s="428">
        <v>4.0999999999999996</v>
      </c>
      <c r="C48" s="428" t="s">
        <v>258</v>
      </c>
    </row>
    <row r="49" spans="1:4" s="421" customFormat="1" ht="15" x14ac:dyDescent="0.25">
      <c r="A49" s="439" t="s">
        <v>727</v>
      </c>
      <c r="B49" s="438" t="s">
        <v>247</v>
      </c>
      <c r="C49" s="425" t="s">
        <v>19</v>
      </c>
      <c r="D49" s="431" t="s">
        <v>725</v>
      </c>
    </row>
    <row r="50" spans="1:4" s="423" customFormat="1" ht="40.5" customHeight="1" x14ac:dyDescent="0.25">
      <c r="A50" s="436"/>
      <c r="B50" s="577" t="s">
        <v>650</v>
      </c>
      <c r="C50" s="577"/>
    </row>
    <row r="51" spans="1:4" s="423" customFormat="1" ht="28.5" customHeight="1" x14ac:dyDescent="0.25">
      <c r="A51" s="436"/>
      <c r="B51" s="577" t="s">
        <v>651</v>
      </c>
      <c r="C51" s="577"/>
    </row>
    <row r="52" spans="1:4" s="423" customFormat="1" x14ac:dyDescent="0.25">
      <c r="A52" s="436"/>
      <c r="B52" s="579" t="s">
        <v>652</v>
      </c>
      <c r="C52" s="579"/>
    </row>
    <row r="53" spans="1:4" s="423" customFormat="1" x14ac:dyDescent="0.25">
      <c r="A53" s="436"/>
      <c r="B53" s="424" t="s">
        <v>653</v>
      </c>
      <c r="C53" s="424" t="s">
        <v>654</v>
      </c>
    </row>
    <row r="54" spans="1:4" s="423" customFormat="1" x14ac:dyDescent="0.25">
      <c r="A54" s="436"/>
      <c r="B54" s="424" t="s">
        <v>655</v>
      </c>
      <c r="C54" s="424" t="s">
        <v>1</v>
      </c>
    </row>
    <row r="55" spans="1:4" s="423" customFormat="1" x14ac:dyDescent="0.25">
      <c r="A55" s="436"/>
      <c r="B55" s="424"/>
      <c r="C55" s="424"/>
    </row>
    <row r="56" spans="1:4" s="423" customFormat="1" x14ac:dyDescent="0.25">
      <c r="A56" s="436"/>
      <c r="B56" s="426" t="s">
        <v>653</v>
      </c>
      <c r="C56" s="426" t="s">
        <v>656</v>
      </c>
    </row>
    <row r="57" spans="1:4" s="423" customFormat="1" ht="27" customHeight="1" x14ac:dyDescent="0.25">
      <c r="A57" s="436"/>
      <c r="B57" s="577" t="s">
        <v>657</v>
      </c>
      <c r="C57" s="577"/>
    </row>
    <row r="58" spans="1:4" s="423" customFormat="1" ht="27.75" customHeight="1" x14ac:dyDescent="0.25">
      <c r="A58" s="436"/>
      <c r="B58" s="578" t="s">
        <v>658</v>
      </c>
      <c r="C58" s="578"/>
    </row>
    <row r="59" spans="1:4" s="423" customFormat="1" ht="27" customHeight="1" x14ac:dyDescent="0.25">
      <c r="A59" s="436"/>
      <c r="B59" s="578" t="s">
        <v>659</v>
      </c>
      <c r="C59" s="578"/>
    </row>
    <row r="60" spans="1:4" s="423" customFormat="1" ht="24.75" customHeight="1" x14ac:dyDescent="0.25">
      <c r="A60" s="436"/>
      <c r="B60" s="578" t="s">
        <v>660</v>
      </c>
      <c r="C60" s="578"/>
    </row>
    <row r="61" spans="1:4" s="423" customFormat="1" x14ac:dyDescent="0.25">
      <c r="A61" s="436"/>
      <c r="B61" s="577"/>
      <c r="C61" s="577"/>
    </row>
    <row r="62" spans="1:4" s="421" customFormat="1" x14ac:dyDescent="0.25">
      <c r="A62" s="435"/>
      <c r="B62" s="426" t="s">
        <v>655</v>
      </c>
      <c r="C62" s="426" t="s">
        <v>1</v>
      </c>
    </row>
    <row r="63" spans="1:4" s="421" customFormat="1" ht="27" customHeight="1" x14ac:dyDescent="0.25">
      <c r="A63" s="435"/>
      <c r="B63" s="577" t="s">
        <v>661</v>
      </c>
      <c r="C63" s="577"/>
    </row>
    <row r="64" spans="1:4" s="421" customFormat="1" x14ac:dyDescent="0.25">
      <c r="A64" s="435"/>
    </row>
    <row r="65" spans="1:4" s="421" customFormat="1" ht="15" x14ac:dyDescent="0.25">
      <c r="A65" s="439" t="s">
        <v>727</v>
      </c>
      <c r="B65" s="425" t="s">
        <v>249</v>
      </c>
      <c r="C65" s="425" t="s">
        <v>26</v>
      </c>
      <c r="D65" s="431" t="s">
        <v>725</v>
      </c>
    </row>
    <row r="66" spans="1:4" s="421" customFormat="1" ht="54" customHeight="1" x14ac:dyDescent="0.25">
      <c r="A66" s="435"/>
      <c r="B66" s="577" t="s">
        <v>662</v>
      </c>
      <c r="C66" s="577"/>
    </row>
    <row r="67" spans="1:4" s="421" customFormat="1" x14ac:dyDescent="0.25">
      <c r="A67" s="435"/>
    </row>
    <row r="68" spans="1:4" s="421" customFormat="1" ht="15" x14ac:dyDescent="0.25">
      <c r="A68" s="439" t="s">
        <v>727</v>
      </c>
      <c r="B68" s="425" t="s">
        <v>250</v>
      </c>
      <c r="C68" s="425" t="s">
        <v>29</v>
      </c>
    </row>
    <row r="69" spans="1:4" s="421" customFormat="1" ht="25.5" customHeight="1" x14ac:dyDescent="0.25">
      <c r="A69" s="435"/>
      <c r="B69" s="577" t="s">
        <v>663</v>
      </c>
      <c r="C69" s="577"/>
    </row>
    <row r="70" spans="1:4" s="421" customFormat="1" x14ac:dyDescent="0.25">
      <c r="A70" s="435"/>
      <c r="B70" s="421" t="s">
        <v>653</v>
      </c>
      <c r="C70" s="421" t="s">
        <v>30</v>
      </c>
    </row>
    <row r="71" spans="1:4" s="421" customFormat="1" x14ac:dyDescent="0.25">
      <c r="A71" s="435"/>
      <c r="B71" s="421" t="s">
        <v>655</v>
      </c>
      <c r="C71" s="421" t="s">
        <v>664</v>
      </c>
    </row>
    <row r="72" spans="1:4" s="421" customFormat="1" x14ac:dyDescent="0.25">
      <c r="A72" s="435"/>
      <c r="B72" s="421" t="s">
        <v>665</v>
      </c>
      <c r="C72" s="421" t="s">
        <v>44</v>
      </c>
    </row>
    <row r="73" spans="1:4" s="421" customFormat="1" x14ac:dyDescent="0.25">
      <c r="A73" s="435"/>
    </row>
    <row r="74" spans="1:4" s="421" customFormat="1" x14ac:dyDescent="0.25">
      <c r="A74" s="435"/>
      <c r="B74" s="426" t="s">
        <v>653</v>
      </c>
      <c r="C74" s="426" t="s">
        <v>30</v>
      </c>
    </row>
    <row r="75" spans="1:4" s="421" customFormat="1" ht="41.25" customHeight="1" x14ac:dyDescent="0.25">
      <c r="A75" s="435"/>
      <c r="B75" s="575" t="s">
        <v>666</v>
      </c>
      <c r="C75" s="575"/>
    </row>
    <row r="76" spans="1:4" s="421" customFormat="1" x14ac:dyDescent="0.25">
      <c r="A76" s="435"/>
    </row>
    <row r="77" spans="1:4" s="421" customFormat="1" x14ac:dyDescent="0.25">
      <c r="A77" s="437"/>
      <c r="B77" s="426" t="s">
        <v>667</v>
      </c>
      <c r="C77" s="426" t="s">
        <v>36</v>
      </c>
    </row>
    <row r="78" spans="1:4" s="421" customFormat="1" ht="14.25" customHeight="1" x14ac:dyDescent="0.25">
      <c r="A78" s="435"/>
      <c r="B78" s="575" t="s">
        <v>668</v>
      </c>
      <c r="C78" s="575"/>
    </row>
    <row r="79" spans="1:4" s="421" customFormat="1" x14ac:dyDescent="0.25">
      <c r="A79" s="435"/>
    </row>
    <row r="80" spans="1:4" s="421" customFormat="1" x14ac:dyDescent="0.25">
      <c r="A80" s="435"/>
      <c r="B80" s="426" t="s">
        <v>665</v>
      </c>
      <c r="C80" s="426" t="s">
        <v>44</v>
      </c>
    </row>
    <row r="81" spans="1:4" s="421" customFormat="1" x14ac:dyDescent="0.25">
      <c r="A81" s="435"/>
      <c r="B81" s="421" t="s">
        <v>669</v>
      </c>
    </row>
    <row r="82" spans="1:4" s="421" customFormat="1" x14ac:dyDescent="0.25">
      <c r="A82" s="435"/>
      <c r="B82" s="421" t="s">
        <v>670</v>
      </c>
      <c r="C82" s="421" t="s">
        <v>671</v>
      </c>
    </row>
    <row r="83" spans="1:4" s="421" customFormat="1" x14ac:dyDescent="0.25">
      <c r="A83" s="435"/>
      <c r="B83" s="421" t="s">
        <v>672</v>
      </c>
      <c r="C83" s="421" t="s">
        <v>673</v>
      </c>
    </row>
    <row r="84" spans="1:4" s="421" customFormat="1" x14ac:dyDescent="0.25">
      <c r="A84" s="435"/>
      <c r="B84" s="421" t="s">
        <v>674</v>
      </c>
      <c r="C84" s="421" t="s">
        <v>675</v>
      </c>
    </row>
    <row r="85" spans="1:4" s="421" customFormat="1" ht="26.25" customHeight="1" x14ac:dyDescent="0.25">
      <c r="A85" s="435"/>
      <c r="B85" s="575" t="s">
        <v>676</v>
      </c>
      <c r="C85" s="575"/>
    </row>
    <row r="86" spans="1:4" s="421" customFormat="1" x14ac:dyDescent="0.25">
      <c r="A86" s="435"/>
      <c r="B86" s="575"/>
      <c r="C86" s="575"/>
    </row>
    <row r="87" spans="1:4" s="421" customFormat="1" ht="15" x14ac:dyDescent="0.25">
      <c r="A87" s="439" t="s">
        <v>727</v>
      </c>
      <c r="B87" s="425" t="s">
        <v>251</v>
      </c>
      <c r="C87" s="425" t="s">
        <v>50</v>
      </c>
      <c r="D87" s="431" t="s">
        <v>725</v>
      </c>
    </row>
    <row r="88" spans="1:4" s="421" customFormat="1" ht="27" customHeight="1" x14ac:dyDescent="0.25">
      <c r="A88" s="435"/>
      <c r="B88" s="575" t="s">
        <v>677</v>
      </c>
      <c r="C88" s="575"/>
    </row>
    <row r="89" spans="1:4" s="421" customFormat="1" x14ac:dyDescent="0.25">
      <c r="A89" s="435"/>
      <c r="B89" s="421" t="s">
        <v>678</v>
      </c>
      <c r="C89" s="421" t="s">
        <v>679</v>
      </c>
    </row>
    <row r="90" spans="1:4" s="421" customFormat="1" x14ac:dyDescent="0.25">
      <c r="A90" s="435"/>
      <c r="B90" s="421" t="s">
        <v>655</v>
      </c>
      <c r="C90" s="421" t="s">
        <v>680</v>
      </c>
    </row>
    <row r="91" spans="1:4" s="421" customFormat="1" x14ac:dyDescent="0.25">
      <c r="A91" s="435"/>
      <c r="B91" s="421" t="s">
        <v>681</v>
      </c>
      <c r="C91" s="421" t="s">
        <v>682</v>
      </c>
    </row>
    <row r="92" spans="1:4" s="421" customFormat="1" ht="25.5" x14ac:dyDescent="0.25">
      <c r="A92" s="435"/>
      <c r="B92" s="421" t="s">
        <v>683</v>
      </c>
      <c r="C92" s="422" t="s">
        <v>684</v>
      </c>
    </row>
    <row r="93" spans="1:4" s="421" customFormat="1" x14ac:dyDescent="0.25">
      <c r="A93" s="435"/>
    </row>
    <row r="94" spans="1:4" s="421" customFormat="1" x14ac:dyDescent="0.25">
      <c r="A94" s="435"/>
      <c r="B94" s="426" t="s">
        <v>678</v>
      </c>
      <c r="C94" s="426" t="s">
        <v>55</v>
      </c>
    </row>
    <row r="95" spans="1:4" s="421" customFormat="1" ht="28.5" customHeight="1" x14ac:dyDescent="0.25">
      <c r="A95" s="435"/>
      <c r="B95" s="575" t="s">
        <v>685</v>
      </c>
      <c r="C95" s="575"/>
    </row>
    <row r="96" spans="1:4" s="421" customFormat="1" x14ac:dyDescent="0.25">
      <c r="A96" s="435"/>
    </row>
    <row r="97" spans="1:4" s="421" customFormat="1" x14ac:dyDescent="0.25">
      <c r="A97" s="435"/>
      <c r="B97" s="426" t="s">
        <v>655</v>
      </c>
      <c r="C97" s="426" t="s">
        <v>54</v>
      </c>
    </row>
    <row r="98" spans="1:4" s="421" customFormat="1" ht="41.25" customHeight="1" x14ac:dyDescent="0.25">
      <c r="A98" s="435"/>
      <c r="B98" s="575" t="s">
        <v>686</v>
      </c>
      <c r="C98" s="575"/>
    </row>
    <row r="99" spans="1:4" s="421" customFormat="1" ht="6.75" customHeight="1" x14ac:dyDescent="0.25">
      <c r="A99" s="435"/>
    </row>
    <row r="100" spans="1:4" s="421" customFormat="1" x14ac:dyDescent="0.25">
      <c r="A100" s="435"/>
      <c r="B100" s="426" t="s">
        <v>681</v>
      </c>
      <c r="C100" s="426" t="s">
        <v>64</v>
      </c>
    </row>
    <row r="101" spans="1:4" s="421" customFormat="1" ht="54" customHeight="1" x14ac:dyDescent="0.25">
      <c r="A101" s="435"/>
      <c r="B101" s="575" t="s">
        <v>687</v>
      </c>
      <c r="C101" s="575"/>
    </row>
    <row r="102" spans="1:4" s="421" customFormat="1" x14ac:dyDescent="0.25">
      <c r="A102" s="435"/>
    </row>
    <row r="103" spans="1:4" s="421" customFormat="1" x14ac:dyDescent="0.25">
      <c r="A103" s="435"/>
      <c r="B103" s="426" t="s">
        <v>683</v>
      </c>
      <c r="C103" s="426" t="s">
        <v>73</v>
      </c>
    </row>
    <row r="104" spans="1:4" s="421" customFormat="1" ht="42.75" customHeight="1" x14ac:dyDescent="0.25">
      <c r="A104" s="435"/>
      <c r="B104" s="575" t="s">
        <v>688</v>
      </c>
      <c r="C104" s="575"/>
    </row>
    <row r="105" spans="1:4" s="421" customFormat="1" x14ac:dyDescent="0.25">
      <c r="A105" s="435"/>
    </row>
    <row r="106" spans="1:4" s="421" customFormat="1" ht="15" x14ac:dyDescent="0.25">
      <c r="A106" s="439" t="s">
        <v>727</v>
      </c>
      <c r="B106" s="426" t="s">
        <v>252</v>
      </c>
      <c r="C106" s="426" t="s">
        <v>85</v>
      </c>
      <c r="D106" s="431" t="s">
        <v>725</v>
      </c>
    </row>
    <row r="107" spans="1:4" s="421" customFormat="1" x14ac:dyDescent="0.25">
      <c r="A107" s="435"/>
      <c r="B107" s="575" t="s">
        <v>689</v>
      </c>
      <c r="C107" s="575"/>
    </row>
    <row r="108" spans="1:4" s="421" customFormat="1" x14ac:dyDescent="0.25">
      <c r="A108" s="435"/>
      <c r="B108" s="421" t="s">
        <v>678</v>
      </c>
      <c r="C108" s="421" t="s">
        <v>86</v>
      </c>
    </row>
    <row r="109" spans="1:4" s="421" customFormat="1" x14ac:dyDescent="0.25">
      <c r="A109" s="435"/>
      <c r="B109" s="421" t="s">
        <v>655</v>
      </c>
      <c r="C109" s="421" t="s">
        <v>92</v>
      </c>
    </row>
    <row r="110" spans="1:4" s="421" customFormat="1" x14ac:dyDescent="0.25">
      <c r="A110" s="435"/>
    </row>
    <row r="111" spans="1:4" s="421" customFormat="1" x14ac:dyDescent="0.25">
      <c r="A111" s="435"/>
      <c r="B111" s="426" t="s">
        <v>678</v>
      </c>
      <c r="C111" s="426" t="s">
        <v>86</v>
      </c>
    </row>
    <row r="112" spans="1:4" s="421" customFormat="1" ht="55.5" customHeight="1" x14ac:dyDescent="0.25">
      <c r="A112" s="435"/>
      <c r="B112" s="575" t="s">
        <v>690</v>
      </c>
      <c r="C112" s="575"/>
    </row>
    <row r="113" spans="1:4" s="421" customFormat="1" ht="12.75" customHeight="1" x14ac:dyDescent="0.25">
      <c r="A113" s="435"/>
      <c r="B113" s="575"/>
      <c r="C113" s="575"/>
    </row>
    <row r="114" spans="1:4" s="421" customFormat="1" x14ac:dyDescent="0.25">
      <c r="A114" s="435"/>
      <c r="B114" s="426" t="s">
        <v>655</v>
      </c>
      <c r="C114" s="426" t="s">
        <v>92</v>
      </c>
    </row>
    <row r="115" spans="1:4" s="421" customFormat="1" ht="92.25" customHeight="1" x14ac:dyDescent="0.25">
      <c r="A115" s="435"/>
      <c r="B115" s="575" t="s">
        <v>691</v>
      </c>
      <c r="C115" s="575"/>
    </row>
    <row r="116" spans="1:4" s="421" customFormat="1" x14ac:dyDescent="0.25">
      <c r="A116" s="435"/>
    </row>
    <row r="117" spans="1:4" s="421" customFormat="1" ht="15" x14ac:dyDescent="0.25">
      <c r="A117" s="439" t="s">
        <v>727</v>
      </c>
      <c r="B117" s="426" t="s">
        <v>253</v>
      </c>
      <c r="C117" s="426" t="s">
        <v>104</v>
      </c>
      <c r="D117" s="431" t="s">
        <v>725</v>
      </c>
    </row>
    <row r="118" spans="1:4" s="421" customFormat="1" ht="54.75" customHeight="1" x14ac:dyDescent="0.25">
      <c r="A118" s="435"/>
      <c r="B118" s="575" t="s">
        <v>692</v>
      </c>
      <c r="C118" s="575"/>
    </row>
    <row r="119" spans="1:4" s="421" customFormat="1" x14ac:dyDescent="0.25">
      <c r="A119" s="435"/>
    </row>
    <row r="120" spans="1:4" s="421" customFormat="1" ht="15" x14ac:dyDescent="0.25">
      <c r="A120" s="439" t="s">
        <v>727</v>
      </c>
      <c r="B120" s="426" t="s">
        <v>254</v>
      </c>
      <c r="C120" s="426" t="s">
        <v>112</v>
      </c>
    </row>
    <row r="121" spans="1:4" s="421" customFormat="1" ht="54" customHeight="1" x14ac:dyDescent="0.25">
      <c r="A121" s="435"/>
      <c r="B121" s="575" t="s">
        <v>693</v>
      </c>
      <c r="C121" s="575"/>
    </row>
    <row r="122" spans="1:4" s="421" customFormat="1" x14ac:dyDescent="0.25">
      <c r="A122" s="435"/>
    </row>
    <row r="123" spans="1:4" s="421" customFormat="1" ht="15" x14ac:dyDescent="0.25">
      <c r="A123" s="439" t="s">
        <v>727</v>
      </c>
      <c r="B123" s="426" t="s">
        <v>255</v>
      </c>
      <c r="C123" s="426" t="s">
        <v>119</v>
      </c>
    </row>
    <row r="124" spans="1:4" s="421" customFormat="1" ht="81.75" customHeight="1" x14ac:dyDescent="0.25">
      <c r="A124" s="435"/>
      <c r="B124" s="575" t="s">
        <v>694</v>
      </c>
      <c r="C124" s="575"/>
    </row>
    <row r="125" spans="1:4" s="421" customFormat="1" ht="54" customHeight="1" x14ac:dyDescent="0.25">
      <c r="A125" s="435"/>
      <c r="B125" s="575" t="s">
        <v>695</v>
      </c>
      <c r="C125" s="575"/>
    </row>
    <row r="126" spans="1:4" s="421" customFormat="1" x14ac:dyDescent="0.25">
      <c r="A126" s="435"/>
    </row>
    <row r="127" spans="1:4" s="421" customFormat="1" ht="15" x14ac:dyDescent="0.25">
      <c r="A127" s="439" t="s">
        <v>727</v>
      </c>
      <c r="B127" s="426" t="s">
        <v>256</v>
      </c>
      <c r="C127" s="426" t="s">
        <v>130</v>
      </c>
    </row>
    <row r="128" spans="1:4" s="421" customFormat="1" ht="57" customHeight="1" x14ac:dyDescent="0.25">
      <c r="A128" s="435"/>
      <c r="B128" s="575" t="s">
        <v>696</v>
      </c>
      <c r="C128" s="575"/>
    </row>
    <row r="129" spans="1:4" s="421" customFormat="1" ht="117" customHeight="1" x14ac:dyDescent="0.25">
      <c r="A129" s="435"/>
      <c r="B129" s="575" t="s">
        <v>697</v>
      </c>
      <c r="C129" s="575"/>
    </row>
    <row r="130" spans="1:4" s="421" customFormat="1" x14ac:dyDescent="0.25">
      <c r="A130" s="435"/>
    </row>
    <row r="131" spans="1:4" s="421" customFormat="1" ht="15" x14ac:dyDescent="0.25">
      <c r="A131" s="439" t="s">
        <v>727</v>
      </c>
      <c r="B131" s="426" t="s">
        <v>257</v>
      </c>
      <c r="C131" s="426" t="s">
        <v>138</v>
      </c>
    </row>
    <row r="132" spans="1:4" s="421" customFormat="1" ht="92.25" customHeight="1" x14ac:dyDescent="0.25">
      <c r="A132" s="435"/>
      <c r="B132" s="575" t="s">
        <v>698</v>
      </c>
      <c r="C132" s="575"/>
    </row>
    <row r="133" spans="1:4" s="421" customFormat="1" x14ac:dyDescent="0.25">
      <c r="A133" s="435"/>
    </row>
    <row r="134" spans="1:4" s="421" customFormat="1" x14ac:dyDescent="0.25">
      <c r="A134" s="435"/>
      <c r="B134" s="428">
        <v>4.2</v>
      </c>
      <c r="C134" s="428" t="s">
        <v>699</v>
      </c>
    </row>
    <row r="135" spans="1:4" s="421" customFormat="1" ht="15" x14ac:dyDescent="0.25">
      <c r="A135" s="440" t="s">
        <v>727</v>
      </c>
      <c r="B135" s="426" t="s">
        <v>260</v>
      </c>
      <c r="C135" s="426" t="s">
        <v>154</v>
      </c>
      <c r="D135" s="431" t="s">
        <v>725</v>
      </c>
    </row>
    <row r="136" spans="1:4" s="421" customFormat="1" ht="53.25" customHeight="1" x14ac:dyDescent="0.25">
      <c r="A136" s="435"/>
      <c r="B136" s="575" t="s">
        <v>700</v>
      </c>
      <c r="C136" s="575"/>
    </row>
    <row r="137" spans="1:4" s="421" customFormat="1" x14ac:dyDescent="0.25">
      <c r="A137" s="435"/>
    </row>
    <row r="138" spans="1:4" s="421" customFormat="1" ht="15" x14ac:dyDescent="0.25">
      <c r="A138" s="439" t="s">
        <v>727</v>
      </c>
      <c r="B138" s="426" t="s">
        <v>261</v>
      </c>
      <c r="C138" s="426" t="s">
        <v>158</v>
      </c>
    </row>
    <row r="139" spans="1:4" s="421" customFormat="1" ht="28.5" customHeight="1" x14ac:dyDescent="0.25">
      <c r="A139" s="435"/>
      <c r="B139" s="575" t="s">
        <v>701</v>
      </c>
      <c r="C139" s="575"/>
    </row>
    <row r="140" spans="1:4" s="421" customFormat="1" x14ac:dyDescent="0.25">
      <c r="A140" s="435"/>
    </row>
    <row r="141" spans="1:4" s="421" customFormat="1" ht="15" x14ac:dyDescent="0.25">
      <c r="A141" s="439" t="s">
        <v>727</v>
      </c>
      <c r="B141" s="426" t="s">
        <v>262</v>
      </c>
      <c r="C141" s="426" t="s">
        <v>161</v>
      </c>
    </row>
    <row r="142" spans="1:4" s="421" customFormat="1" ht="29.25" customHeight="1" x14ac:dyDescent="0.25">
      <c r="A142" s="435"/>
      <c r="B142" s="575" t="s">
        <v>702</v>
      </c>
      <c r="C142" s="575"/>
    </row>
    <row r="143" spans="1:4" s="421" customFormat="1" x14ac:dyDescent="0.25">
      <c r="A143" s="435"/>
      <c r="B143" s="421" t="s">
        <v>678</v>
      </c>
      <c r="C143" s="421" t="s">
        <v>162</v>
      </c>
    </row>
    <row r="144" spans="1:4" s="421" customFormat="1" x14ac:dyDescent="0.25">
      <c r="A144" s="435"/>
      <c r="B144" s="421" t="s">
        <v>655</v>
      </c>
      <c r="C144" s="421" t="s">
        <v>168</v>
      </c>
    </row>
    <row r="145" spans="1:3" s="421" customFormat="1" x14ac:dyDescent="0.25">
      <c r="A145" s="435"/>
      <c r="B145" s="421" t="s">
        <v>681</v>
      </c>
      <c r="C145" s="421" t="s">
        <v>171</v>
      </c>
    </row>
    <row r="146" spans="1:3" s="421" customFormat="1" x14ac:dyDescent="0.25">
      <c r="A146" s="435"/>
      <c r="B146" s="421" t="s">
        <v>683</v>
      </c>
      <c r="C146" s="421" t="s">
        <v>179</v>
      </c>
    </row>
    <row r="147" spans="1:3" s="421" customFormat="1" x14ac:dyDescent="0.25">
      <c r="A147" s="435"/>
    </row>
    <row r="148" spans="1:3" s="421" customFormat="1" x14ac:dyDescent="0.25">
      <c r="A148" s="435"/>
      <c r="B148" s="426" t="s">
        <v>678</v>
      </c>
      <c r="C148" s="426" t="s">
        <v>162</v>
      </c>
    </row>
    <row r="149" spans="1:3" s="421" customFormat="1" x14ac:dyDescent="0.25">
      <c r="A149" s="435"/>
      <c r="B149" s="575" t="s">
        <v>703</v>
      </c>
      <c r="C149" s="575"/>
    </row>
    <row r="150" spans="1:3" s="421" customFormat="1" x14ac:dyDescent="0.25">
      <c r="A150" s="435"/>
    </row>
    <row r="151" spans="1:3" s="421" customFormat="1" x14ac:dyDescent="0.25">
      <c r="A151" s="435"/>
      <c r="B151" s="426" t="s">
        <v>655</v>
      </c>
      <c r="C151" s="426" t="s">
        <v>168</v>
      </c>
    </row>
    <row r="152" spans="1:3" s="421" customFormat="1" x14ac:dyDescent="0.25">
      <c r="A152" s="435"/>
      <c r="B152" s="575" t="s">
        <v>704</v>
      </c>
      <c r="C152" s="575"/>
    </row>
    <row r="153" spans="1:3" s="421" customFormat="1" x14ac:dyDescent="0.25">
      <c r="A153" s="435"/>
    </row>
    <row r="154" spans="1:3" s="421" customFormat="1" x14ac:dyDescent="0.25">
      <c r="A154" s="435"/>
      <c r="B154" s="426" t="s">
        <v>681</v>
      </c>
      <c r="C154" s="426" t="s">
        <v>171</v>
      </c>
    </row>
    <row r="155" spans="1:3" s="421" customFormat="1" ht="41.25" customHeight="1" x14ac:dyDescent="0.25">
      <c r="A155" s="435"/>
      <c r="B155" s="575" t="s">
        <v>705</v>
      </c>
      <c r="C155" s="575"/>
    </row>
    <row r="156" spans="1:3" s="421" customFormat="1" x14ac:dyDescent="0.25">
      <c r="A156" s="435"/>
    </row>
    <row r="157" spans="1:3" s="421" customFormat="1" x14ac:dyDescent="0.25">
      <c r="A157" s="435"/>
      <c r="B157" s="426" t="s">
        <v>683</v>
      </c>
      <c r="C157" s="426" t="s">
        <v>179</v>
      </c>
    </row>
    <row r="158" spans="1:3" s="421" customFormat="1" ht="54" customHeight="1" x14ac:dyDescent="0.25">
      <c r="A158" s="435"/>
      <c r="B158" s="575" t="s">
        <v>706</v>
      </c>
      <c r="C158" s="575"/>
    </row>
    <row r="159" spans="1:3" s="421" customFormat="1" x14ac:dyDescent="0.25">
      <c r="A159" s="435"/>
    </row>
    <row r="160" spans="1:3" s="421" customFormat="1" x14ac:dyDescent="0.25">
      <c r="A160" s="435"/>
      <c r="B160" s="428">
        <v>4.3</v>
      </c>
      <c r="C160" s="428" t="s">
        <v>707</v>
      </c>
    </row>
    <row r="161" spans="1:4" s="421" customFormat="1" ht="15" x14ac:dyDescent="0.25">
      <c r="A161" s="439" t="s">
        <v>727</v>
      </c>
      <c r="B161" s="426" t="s">
        <v>264</v>
      </c>
      <c r="C161" s="426" t="s">
        <v>184</v>
      </c>
      <c r="D161" s="431" t="s">
        <v>725</v>
      </c>
    </row>
    <row r="162" spans="1:4" s="421" customFormat="1" ht="42.75" customHeight="1" x14ac:dyDescent="0.25">
      <c r="A162" s="435"/>
      <c r="B162" s="575" t="s">
        <v>708</v>
      </c>
      <c r="C162" s="575"/>
    </row>
    <row r="163" spans="1:4" s="421" customFormat="1" x14ac:dyDescent="0.25">
      <c r="A163" s="435"/>
    </row>
    <row r="164" spans="1:4" s="421" customFormat="1" ht="15" x14ac:dyDescent="0.25">
      <c r="A164" s="439" t="s">
        <v>727</v>
      </c>
      <c r="B164" s="426" t="s">
        <v>265</v>
      </c>
      <c r="C164" s="426" t="s">
        <v>186</v>
      </c>
    </row>
    <row r="165" spans="1:4" s="421" customFormat="1" ht="130.5" customHeight="1" x14ac:dyDescent="0.25">
      <c r="A165" s="435"/>
      <c r="B165" s="575" t="s">
        <v>709</v>
      </c>
      <c r="C165" s="575"/>
    </row>
    <row r="166" spans="1:4" s="421" customFormat="1" x14ac:dyDescent="0.25">
      <c r="A166" s="435"/>
      <c r="B166" s="575" t="s">
        <v>710</v>
      </c>
      <c r="C166" s="575"/>
    </row>
    <row r="167" spans="1:4" s="421" customFormat="1" x14ac:dyDescent="0.25">
      <c r="A167" s="435"/>
      <c r="B167" s="421" t="s">
        <v>678</v>
      </c>
      <c r="C167" s="421" t="s">
        <v>187</v>
      </c>
    </row>
    <row r="168" spans="1:4" s="421" customFormat="1" x14ac:dyDescent="0.25">
      <c r="A168" s="435"/>
      <c r="B168" s="421" t="s">
        <v>655</v>
      </c>
      <c r="C168" s="421" t="s">
        <v>193</v>
      </c>
    </row>
    <row r="169" spans="1:4" s="421" customFormat="1" x14ac:dyDescent="0.25">
      <c r="A169" s="435"/>
      <c r="B169" s="421" t="s">
        <v>681</v>
      </c>
      <c r="C169" s="421" t="s">
        <v>200</v>
      </c>
    </row>
    <row r="170" spans="1:4" s="421" customFormat="1" x14ac:dyDescent="0.25">
      <c r="A170" s="435"/>
      <c r="B170" s="421" t="s">
        <v>683</v>
      </c>
      <c r="C170" s="421" t="s">
        <v>203</v>
      </c>
    </row>
    <row r="171" spans="1:4" s="421" customFormat="1" x14ac:dyDescent="0.25">
      <c r="A171" s="435"/>
    </row>
    <row r="172" spans="1:4" s="421" customFormat="1" x14ac:dyDescent="0.25">
      <c r="A172" s="435"/>
      <c r="B172" s="426" t="s">
        <v>678</v>
      </c>
      <c r="C172" s="426" t="s">
        <v>187</v>
      </c>
    </row>
    <row r="173" spans="1:4" s="421" customFormat="1" x14ac:dyDescent="0.25">
      <c r="A173" s="435"/>
      <c r="B173" s="575" t="s">
        <v>711</v>
      </c>
      <c r="C173" s="575"/>
    </row>
    <row r="174" spans="1:4" s="421" customFormat="1" ht="14.25" customHeight="1" x14ac:dyDescent="0.25">
      <c r="A174" s="435"/>
      <c r="B174" s="576" t="s">
        <v>712</v>
      </c>
      <c r="C174" s="576" t="s">
        <v>713</v>
      </c>
    </row>
    <row r="175" spans="1:4" s="421" customFormat="1" ht="14.25" customHeight="1" x14ac:dyDescent="0.25">
      <c r="A175" s="435"/>
      <c r="B175" s="576" t="s">
        <v>713</v>
      </c>
      <c r="C175" s="576"/>
    </row>
    <row r="176" spans="1:4" s="421" customFormat="1" ht="14.25" customHeight="1" x14ac:dyDescent="0.25">
      <c r="A176" s="435"/>
      <c r="B176" s="576" t="s">
        <v>714</v>
      </c>
      <c r="C176" s="576"/>
    </row>
    <row r="177" spans="1:4" s="421" customFormat="1" x14ac:dyDescent="0.25">
      <c r="A177" s="435"/>
      <c r="B177" s="575"/>
      <c r="C177" s="575"/>
    </row>
    <row r="178" spans="1:4" s="421" customFormat="1" x14ac:dyDescent="0.25">
      <c r="A178" s="435"/>
      <c r="B178" s="426" t="s">
        <v>655</v>
      </c>
      <c r="C178" s="426" t="s">
        <v>193</v>
      </c>
    </row>
    <row r="179" spans="1:4" s="421" customFormat="1" ht="39.75" customHeight="1" x14ac:dyDescent="0.25">
      <c r="A179" s="435"/>
      <c r="B179" s="575" t="s">
        <v>715</v>
      </c>
      <c r="C179" s="575"/>
    </row>
    <row r="180" spans="1:4" s="421" customFormat="1" x14ac:dyDescent="0.25">
      <c r="A180" s="435"/>
    </row>
    <row r="181" spans="1:4" s="421" customFormat="1" x14ac:dyDescent="0.25">
      <c r="A181" s="435"/>
      <c r="B181" s="426" t="s">
        <v>716</v>
      </c>
      <c r="C181" s="426" t="s">
        <v>200</v>
      </c>
    </row>
    <row r="182" spans="1:4" s="421" customFormat="1" ht="55.5" customHeight="1" x14ac:dyDescent="0.25">
      <c r="A182" s="435"/>
      <c r="B182" s="575" t="s">
        <v>717</v>
      </c>
      <c r="C182" s="575"/>
    </row>
    <row r="183" spans="1:4" s="421" customFormat="1" x14ac:dyDescent="0.25">
      <c r="A183" s="435"/>
    </row>
    <row r="184" spans="1:4" s="421" customFormat="1" x14ac:dyDescent="0.25">
      <c r="A184" s="435"/>
      <c r="B184" s="426" t="s">
        <v>683</v>
      </c>
      <c r="C184" s="426" t="s">
        <v>203</v>
      </c>
    </row>
    <row r="185" spans="1:4" s="421" customFormat="1" ht="41.25" customHeight="1" x14ac:dyDescent="0.25">
      <c r="A185" s="435"/>
      <c r="B185" s="575" t="s">
        <v>718</v>
      </c>
      <c r="C185" s="575"/>
    </row>
    <row r="186" spans="1:4" s="421" customFormat="1" x14ac:dyDescent="0.25">
      <c r="A186" s="435"/>
    </row>
    <row r="187" spans="1:4" s="421" customFormat="1" ht="15" x14ac:dyDescent="0.25">
      <c r="A187" s="439" t="s">
        <v>727</v>
      </c>
      <c r="B187" s="426" t="s">
        <v>266</v>
      </c>
      <c r="C187" s="426" t="s">
        <v>208</v>
      </c>
      <c r="D187" s="431" t="s">
        <v>725</v>
      </c>
    </row>
    <row r="188" spans="1:4" s="421" customFormat="1" ht="42" customHeight="1" x14ac:dyDescent="0.25">
      <c r="A188" s="435"/>
      <c r="B188" s="575" t="s">
        <v>719</v>
      </c>
      <c r="C188" s="575"/>
    </row>
    <row r="189" spans="1:4" s="421" customFormat="1" x14ac:dyDescent="0.25">
      <c r="A189" s="435"/>
    </row>
    <row r="190" spans="1:4" s="421" customFormat="1" ht="15" x14ac:dyDescent="0.25">
      <c r="A190" s="439" t="s">
        <v>727</v>
      </c>
      <c r="B190" s="426" t="s">
        <v>267</v>
      </c>
      <c r="C190" s="426" t="s">
        <v>209</v>
      </c>
    </row>
    <row r="191" spans="1:4" s="421" customFormat="1" x14ac:dyDescent="0.25">
      <c r="A191" s="435"/>
      <c r="B191" s="426" t="s">
        <v>678</v>
      </c>
      <c r="C191" s="426" t="s">
        <v>242</v>
      </c>
    </row>
    <row r="192" spans="1:4" s="421" customFormat="1" ht="40.5" customHeight="1" x14ac:dyDescent="0.25">
      <c r="A192" s="435"/>
      <c r="B192" s="575" t="s">
        <v>720</v>
      </c>
      <c r="C192" s="575"/>
    </row>
    <row r="193" spans="1:3" s="421" customFormat="1" x14ac:dyDescent="0.25">
      <c r="A193" s="435"/>
    </row>
    <row r="194" spans="1:3" s="421" customFormat="1" x14ac:dyDescent="0.25">
      <c r="A194" s="435"/>
      <c r="B194" s="426" t="s">
        <v>655</v>
      </c>
      <c r="C194" s="426" t="s">
        <v>241</v>
      </c>
    </row>
    <row r="195" spans="1:3" s="421" customFormat="1" ht="45" customHeight="1" x14ac:dyDescent="0.25">
      <c r="A195" s="435"/>
      <c r="B195" s="575" t="s">
        <v>721</v>
      </c>
      <c r="C195" s="575"/>
    </row>
    <row r="196" spans="1:3" s="421" customFormat="1" x14ac:dyDescent="0.25">
      <c r="A196" s="435"/>
    </row>
    <row r="197" spans="1:3" s="421" customFormat="1" x14ac:dyDescent="0.25">
      <c r="A197" s="435"/>
    </row>
    <row r="198" spans="1:3" s="421" customFormat="1" x14ac:dyDescent="0.25">
      <c r="A198" s="435"/>
    </row>
    <row r="199" spans="1:3" s="421" customFormat="1" x14ac:dyDescent="0.25">
      <c r="A199" s="435"/>
    </row>
    <row r="200" spans="1:3" s="421" customFormat="1" x14ac:dyDescent="0.25">
      <c r="A200" s="435"/>
    </row>
    <row r="201" spans="1:3" s="421" customFormat="1" x14ac:dyDescent="0.25">
      <c r="A201" s="435"/>
    </row>
    <row r="202" spans="1:3" s="421" customFormat="1" x14ac:dyDescent="0.25">
      <c r="A202" s="435"/>
    </row>
    <row r="203" spans="1:3" s="421" customFormat="1" x14ac:dyDescent="0.25">
      <c r="A203" s="435"/>
    </row>
    <row r="204" spans="1:3" s="421" customFormat="1" x14ac:dyDescent="0.25">
      <c r="A204" s="435"/>
    </row>
    <row r="205" spans="1:3" s="421" customFormat="1" x14ac:dyDescent="0.25">
      <c r="A205" s="435"/>
    </row>
    <row r="206" spans="1:3" s="421" customFormat="1" x14ac:dyDescent="0.25">
      <c r="A206" s="435"/>
    </row>
    <row r="207" spans="1:3" s="421" customFormat="1" x14ac:dyDescent="0.25">
      <c r="A207" s="435"/>
    </row>
    <row r="208" spans="1:3" s="421" customFormat="1" x14ac:dyDescent="0.25">
      <c r="A208" s="435"/>
    </row>
    <row r="209" spans="1:1" s="421" customFormat="1" x14ac:dyDescent="0.25">
      <c r="A209" s="435"/>
    </row>
    <row r="210" spans="1:1" s="421" customFormat="1" x14ac:dyDescent="0.25">
      <c r="A210" s="435"/>
    </row>
    <row r="211" spans="1:1" s="421" customFormat="1" x14ac:dyDescent="0.25">
      <c r="A211" s="435"/>
    </row>
    <row r="212" spans="1:1" s="421" customFormat="1" x14ac:dyDescent="0.25">
      <c r="A212" s="435"/>
    </row>
    <row r="213" spans="1:1" s="421" customFormat="1" x14ac:dyDescent="0.25">
      <c r="A213" s="435"/>
    </row>
    <row r="214" spans="1:1" s="421" customFormat="1" x14ac:dyDescent="0.25">
      <c r="A214" s="435"/>
    </row>
    <row r="215" spans="1:1" s="421" customFormat="1" x14ac:dyDescent="0.25">
      <c r="A215" s="435"/>
    </row>
    <row r="216" spans="1:1" s="421" customFormat="1" x14ac:dyDescent="0.25">
      <c r="A216" s="435"/>
    </row>
    <row r="217" spans="1:1" s="421" customFormat="1" x14ac:dyDescent="0.25">
      <c r="A217" s="435"/>
    </row>
    <row r="218" spans="1:1" s="421" customFormat="1" x14ac:dyDescent="0.25">
      <c r="A218" s="435"/>
    </row>
    <row r="219" spans="1:1" s="421" customFormat="1" x14ac:dyDescent="0.25">
      <c r="A219" s="435"/>
    </row>
    <row r="220" spans="1:1" s="421" customFormat="1" x14ac:dyDescent="0.25">
      <c r="A220" s="435"/>
    </row>
    <row r="221" spans="1:1" s="421" customFormat="1" x14ac:dyDescent="0.25">
      <c r="A221" s="435"/>
    </row>
    <row r="222" spans="1:1" s="421" customFormat="1" x14ac:dyDescent="0.25">
      <c r="A222" s="435"/>
    </row>
    <row r="223" spans="1:1" s="421" customFormat="1" x14ac:dyDescent="0.25">
      <c r="A223" s="435"/>
    </row>
    <row r="224" spans="1:1" s="421" customFormat="1" x14ac:dyDescent="0.25">
      <c r="A224" s="435"/>
    </row>
    <row r="225" spans="1:1" s="421" customFormat="1" x14ac:dyDescent="0.25">
      <c r="A225" s="435"/>
    </row>
    <row r="226" spans="1:1" s="421" customFormat="1" x14ac:dyDescent="0.25">
      <c r="A226" s="435"/>
    </row>
    <row r="227" spans="1:1" s="421" customFormat="1" x14ac:dyDescent="0.25">
      <c r="A227" s="435"/>
    </row>
    <row r="228" spans="1:1" s="421" customFormat="1" x14ac:dyDescent="0.25">
      <c r="A228" s="435"/>
    </row>
    <row r="229" spans="1:1" s="421" customFormat="1" x14ac:dyDescent="0.25">
      <c r="A229" s="435"/>
    </row>
    <row r="230" spans="1:1" s="421" customFormat="1" x14ac:dyDescent="0.25">
      <c r="A230" s="435"/>
    </row>
    <row r="231" spans="1:1" s="421" customFormat="1" x14ac:dyDescent="0.25">
      <c r="A231" s="435"/>
    </row>
    <row r="232" spans="1:1" s="421" customFormat="1" x14ac:dyDescent="0.25">
      <c r="A232" s="435"/>
    </row>
    <row r="233" spans="1:1" s="421" customFormat="1" x14ac:dyDescent="0.25">
      <c r="A233" s="435"/>
    </row>
    <row r="234" spans="1:1" s="421" customFormat="1" x14ac:dyDescent="0.25">
      <c r="A234" s="435"/>
    </row>
    <row r="235" spans="1:1" s="421" customFormat="1" x14ac:dyDescent="0.25">
      <c r="A235" s="435"/>
    </row>
    <row r="236" spans="1:1" s="421" customFormat="1" x14ac:dyDescent="0.25">
      <c r="A236" s="435"/>
    </row>
    <row r="237" spans="1:1" s="421" customFormat="1" x14ac:dyDescent="0.25">
      <c r="A237" s="435"/>
    </row>
    <row r="238" spans="1:1" s="421" customFormat="1" x14ac:dyDescent="0.25">
      <c r="A238" s="435"/>
    </row>
    <row r="239" spans="1:1" s="421" customFormat="1" x14ac:dyDescent="0.25">
      <c r="A239" s="435"/>
    </row>
    <row r="240" spans="1:1" s="421" customFormat="1" x14ac:dyDescent="0.25">
      <c r="A240" s="435"/>
    </row>
    <row r="241" spans="1:1" s="421" customFormat="1" x14ac:dyDescent="0.25">
      <c r="A241" s="435"/>
    </row>
    <row r="242" spans="1:1" s="421" customFormat="1" x14ac:dyDescent="0.25">
      <c r="A242" s="435"/>
    </row>
    <row r="243" spans="1:1" s="421" customFormat="1" x14ac:dyDescent="0.25">
      <c r="A243" s="435"/>
    </row>
    <row r="244" spans="1:1" s="421" customFormat="1" x14ac:dyDescent="0.25">
      <c r="A244" s="435"/>
    </row>
    <row r="245" spans="1:1" s="421" customFormat="1" x14ac:dyDescent="0.25">
      <c r="A245" s="435"/>
    </row>
    <row r="246" spans="1:1" s="421" customFormat="1" x14ac:dyDescent="0.25">
      <c r="A246" s="435"/>
    </row>
    <row r="247" spans="1:1" s="421" customFormat="1" x14ac:dyDescent="0.25">
      <c r="A247" s="435"/>
    </row>
    <row r="248" spans="1:1" s="421" customFormat="1" x14ac:dyDescent="0.25">
      <c r="A248" s="435"/>
    </row>
    <row r="249" spans="1:1" s="421" customFormat="1" x14ac:dyDescent="0.25">
      <c r="A249" s="435"/>
    </row>
    <row r="250" spans="1:1" s="421" customFormat="1" x14ac:dyDescent="0.25">
      <c r="A250" s="435"/>
    </row>
    <row r="251" spans="1:1" s="421" customFormat="1" x14ac:dyDescent="0.25">
      <c r="A251" s="435"/>
    </row>
    <row r="252" spans="1:1" s="421" customFormat="1" x14ac:dyDescent="0.25">
      <c r="A252" s="435"/>
    </row>
    <row r="253" spans="1:1" s="421" customFormat="1" x14ac:dyDescent="0.25">
      <c r="A253" s="435"/>
    </row>
    <row r="254" spans="1:1" s="421" customFormat="1" x14ac:dyDescent="0.25">
      <c r="A254" s="435"/>
    </row>
    <row r="255" spans="1:1" s="421" customFormat="1" x14ac:dyDescent="0.25">
      <c r="A255" s="435"/>
    </row>
    <row r="256" spans="1:1" s="421" customFormat="1" x14ac:dyDescent="0.25">
      <c r="A256" s="435"/>
    </row>
    <row r="257" spans="1:1" s="421" customFormat="1" x14ac:dyDescent="0.25">
      <c r="A257" s="435"/>
    </row>
    <row r="258" spans="1:1" s="421" customFormat="1" x14ac:dyDescent="0.25">
      <c r="A258" s="435"/>
    </row>
    <row r="259" spans="1:1" s="421" customFormat="1" x14ac:dyDescent="0.25">
      <c r="A259" s="435"/>
    </row>
    <row r="260" spans="1:1" s="421" customFormat="1" x14ac:dyDescent="0.25">
      <c r="A260" s="435"/>
    </row>
    <row r="261" spans="1:1" s="421" customFormat="1" x14ac:dyDescent="0.25">
      <c r="A261" s="435"/>
    </row>
    <row r="262" spans="1:1" s="421" customFormat="1" x14ac:dyDescent="0.25">
      <c r="A262" s="435"/>
    </row>
    <row r="263" spans="1:1" s="421" customFormat="1" x14ac:dyDescent="0.25">
      <c r="A263" s="435"/>
    </row>
    <row r="264" spans="1:1" s="421" customFormat="1" x14ac:dyDescent="0.25">
      <c r="A264" s="435"/>
    </row>
    <row r="265" spans="1:1" s="421" customFormat="1" x14ac:dyDescent="0.25">
      <c r="A265" s="435"/>
    </row>
    <row r="266" spans="1:1" s="421" customFormat="1" x14ac:dyDescent="0.25">
      <c r="A266" s="435"/>
    </row>
    <row r="267" spans="1:1" s="421" customFormat="1" x14ac:dyDescent="0.25">
      <c r="A267" s="435"/>
    </row>
    <row r="268" spans="1:1" s="421" customFormat="1" x14ac:dyDescent="0.25">
      <c r="A268" s="435"/>
    </row>
    <row r="269" spans="1:1" s="421" customFormat="1" x14ac:dyDescent="0.25">
      <c r="A269" s="435"/>
    </row>
    <row r="270" spans="1:1" s="421" customFormat="1" x14ac:dyDescent="0.25">
      <c r="A270" s="435"/>
    </row>
    <row r="271" spans="1:1" s="421" customFormat="1" x14ac:dyDescent="0.25">
      <c r="A271" s="435"/>
    </row>
    <row r="272" spans="1:1" s="421" customFormat="1" x14ac:dyDescent="0.25">
      <c r="A272" s="435"/>
    </row>
    <row r="273" spans="1:1" s="421" customFormat="1" x14ac:dyDescent="0.25">
      <c r="A273" s="435"/>
    </row>
    <row r="274" spans="1:1" s="421" customFormat="1" x14ac:dyDescent="0.25">
      <c r="A274" s="435"/>
    </row>
    <row r="275" spans="1:1" s="421" customFormat="1" x14ac:dyDescent="0.25">
      <c r="A275" s="435"/>
    </row>
    <row r="276" spans="1:1" s="421" customFormat="1" x14ac:dyDescent="0.25">
      <c r="A276" s="435"/>
    </row>
    <row r="277" spans="1:1" s="421" customFormat="1" x14ac:dyDescent="0.25">
      <c r="A277" s="435"/>
    </row>
    <row r="278" spans="1:1" s="421" customFormat="1" x14ac:dyDescent="0.25">
      <c r="A278" s="435"/>
    </row>
    <row r="279" spans="1:1" s="421" customFormat="1" x14ac:dyDescent="0.25">
      <c r="A279" s="435"/>
    </row>
  </sheetData>
  <sheetProtection sheet="1" objects="1" scenarios="1"/>
  <mergeCells count="52">
    <mergeCell ref="B78:C78"/>
    <mergeCell ref="B50:C50"/>
    <mergeCell ref="B51:C51"/>
    <mergeCell ref="B57:C57"/>
    <mergeCell ref="B58:C58"/>
    <mergeCell ref="B59:C59"/>
    <mergeCell ref="B60:C60"/>
    <mergeCell ref="B52:C52"/>
    <mergeCell ref="B61:C61"/>
    <mergeCell ref="B63:C63"/>
    <mergeCell ref="B66:C66"/>
    <mergeCell ref="B69:C69"/>
    <mergeCell ref="B75:C75"/>
    <mergeCell ref="B118:C118"/>
    <mergeCell ref="B85:C85"/>
    <mergeCell ref="B86:C86"/>
    <mergeCell ref="B88:C88"/>
    <mergeCell ref="B95:C95"/>
    <mergeCell ref="B98:C98"/>
    <mergeCell ref="B101:C101"/>
    <mergeCell ref="B104:C104"/>
    <mergeCell ref="B107:C107"/>
    <mergeCell ref="B112:C112"/>
    <mergeCell ref="B113:C113"/>
    <mergeCell ref="B115:C115"/>
    <mergeCell ref="B155:C155"/>
    <mergeCell ref="B121:C121"/>
    <mergeCell ref="B124:C124"/>
    <mergeCell ref="B125:C125"/>
    <mergeCell ref="B128:C128"/>
    <mergeCell ref="B129:C129"/>
    <mergeCell ref="B132:C132"/>
    <mergeCell ref="B136:C136"/>
    <mergeCell ref="B139:C139"/>
    <mergeCell ref="B142:C142"/>
    <mergeCell ref="B149:C149"/>
    <mergeCell ref="B152:C152"/>
    <mergeCell ref="B175:C175"/>
    <mergeCell ref="B179:C179"/>
    <mergeCell ref="B182:C182"/>
    <mergeCell ref="B185:C185"/>
    <mergeCell ref="B158:C158"/>
    <mergeCell ref="B162:C162"/>
    <mergeCell ref="B165:C165"/>
    <mergeCell ref="B166:C166"/>
    <mergeCell ref="B173:C173"/>
    <mergeCell ref="B174:C174"/>
    <mergeCell ref="B188:C188"/>
    <mergeCell ref="B192:C192"/>
    <mergeCell ref="B195:C195"/>
    <mergeCell ref="B176:C176"/>
    <mergeCell ref="B177:C177"/>
  </mergeCells>
  <hyperlinks>
    <hyperlink ref="C4" location="'Service Descriptions'!B49" display="Registration of Partial Care facilities"/>
    <hyperlink ref="C7" location="'Service Descriptions'!B65" display="Registration of ECD programmes"/>
    <hyperlink ref="C8" location="'Service Descriptions'!B68" display="Subsidies to ECD centres"/>
    <hyperlink ref="C12" location="'Service Descriptions'!B87" display="Inspection, Monitoring and Assessment of Partial Care and ECD services"/>
    <hyperlink ref="C17" location="'Service Descriptions'!B106" display="Funding to establish ECD centres and improve infrastructure"/>
    <hyperlink ref="C20" location="'Service Descriptions'!B117" display="Equipment and LSM materials for ECD centres"/>
    <hyperlink ref="C21" location="'Service Descriptions'!B120" display="Caregiver capacity building courses"/>
    <hyperlink ref="C22" location="'Service Descriptions'!B123" display="Home-based visiting programme"/>
    <hyperlink ref="C23" location="'Service Descriptions'!B127" display="Community based playgroups"/>
    <hyperlink ref="C24" location="'Service Descriptions'!B131" display="Toy libraries"/>
    <hyperlink ref="C26" location="'Service Descriptions'!B135" display="Training of ECD practitioners"/>
    <hyperlink ref="C27" location="'Service Descriptions'!B138" display="The payment of stipends to those in training"/>
    <hyperlink ref="C28" location="'Service Descriptions'!B141" display="Services for children in Grade R"/>
    <hyperlink ref="C34" location="'Service Descriptions'!B161" display="Access to qualified nurses"/>
    <hyperlink ref="C35" location="'Service Descriptions'!B164" display="Early antenatal care and maternal and child nutrition in the first 1,000 days"/>
    <hyperlink ref="C40" location="'Service Descriptions'!B187" display="Emergency obstetric care"/>
    <hyperlink ref="C41" location="'Service Descriptions'!B190" display="Immunisation, deworming and growth monitoring (Road to Health booklet)"/>
    <hyperlink ref="D49" location="'Service Descriptions'!A1" display="TOP"/>
    <hyperlink ref="D65" location="'Service Descriptions'!A1" display="TOP"/>
    <hyperlink ref="D87" location="'Service Descriptions'!A1" display="TOP"/>
    <hyperlink ref="D106" location="'Service Descriptions'!A1" display="TOP"/>
    <hyperlink ref="D117" location="'Service Descriptions'!A1" display="TOP"/>
    <hyperlink ref="D135" location="'Service Descriptions'!A1" display="TOP"/>
    <hyperlink ref="D161" location="'Service Descriptions'!A1" display="TOP"/>
    <hyperlink ref="D187" location="'Service Descriptions'!A1" display="TOP"/>
    <hyperlink ref="A49" location="'4.1.1'!A1" display="Go to"/>
    <hyperlink ref="A65" location="'4.1.2'!A1" display="Go to"/>
    <hyperlink ref="A68" location="'4.1.3'!A1" display="Go to"/>
    <hyperlink ref="A87" location="'4.1.4'!A1" display="Go to"/>
    <hyperlink ref="A106" location="'4.1.5'!A1" display="Go to"/>
    <hyperlink ref="A117" location="'4.1.6'!A1" display="Go to"/>
    <hyperlink ref="A120" location="'4.1.7'!A1" display="Go to"/>
    <hyperlink ref="A123" location="'4.1.8'!A1" display="Go to"/>
    <hyperlink ref="A127" location="'4.1.9'!A1" display="Go to"/>
    <hyperlink ref="A131" location="'4.1.10'!A1" display="Go to"/>
    <hyperlink ref="A135" location="'4.2.1'!A1" display="Go to"/>
    <hyperlink ref="A138" location="'4.2.2'!A1" display="Go to"/>
    <hyperlink ref="A141" location="'4.2.3'!A1" display="Go to"/>
    <hyperlink ref="A161" location="'4.3.1'!A1" display="Go to"/>
    <hyperlink ref="A164" location="'4.3.2'!A1" display="Go to"/>
    <hyperlink ref="A187" location="'4.3.3'!A1" display="Go to"/>
    <hyperlink ref="A190" location="'4.3.4'!A1" display="Go t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zoomScaleNormal="100" workbookViewId="0">
      <pane xSplit="3" ySplit="1" topLeftCell="D2" activePane="bottomRight" state="frozen"/>
      <selection pane="topRight" activeCell="D1" sqref="D1"/>
      <selection pane="bottomLeft" activeCell="A2" sqref="A2"/>
      <selection pane="bottomRight" activeCell="C8" sqref="C8"/>
    </sheetView>
  </sheetViews>
  <sheetFormatPr defaultRowHeight="12.75" x14ac:dyDescent="0.2"/>
  <cols>
    <col min="1" max="1" width="2" style="30" customWidth="1"/>
    <col min="2" max="2" width="7.7109375" style="30" customWidth="1"/>
    <col min="3" max="3" width="61.7109375" style="30" customWidth="1"/>
    <col min="4" max="6" width="18.28515625" style="452" customWidth="1"/>
    <col min="7" max="7" width="2.28515625" style="30" customWidth="1"/>
    <col min="8" max="10" width="18.28515625" style="470" customWidth="1"/>
    <col min="11" max="16384" width="9.140625" style="30"/>
  </cols>
  <sheetData>
    <row r="1" spans="2:10" ht="20.25" x14ac:dyDescent="0.3">
      <c r="B1" s="294" t="s">
        <v>638</v>
      </c>
      <c r="C1" s="412"/>
      <c r="D1" s="442" t="s">
        <v>595</v>
      </c>
      <c r="E1" s="442"/>
      <c r="F1" s="453"/>
      <c r="H1" s="442" t="s">
        <v>635</v>
      </c>
      <c r="I1" s="471"/>
      <c r="J1" s="471"/>
    </row>
    <row r="2" spans="2:10" x14ac:dyDescent="0.2">
      <c r="D2" s="443" t="s">
        <v>335</v>
      </c>
      <c r="E2" s="462" t="s">
        <v>336</v>
      </c>
      <c r="F2" s="454" t="s">
        <v>337</v>
      </c>
      <c r="H2" s="443" t="s">
        <v>335</v>
      </c>
      <c r="I2" s="462" t="s">
        <v>336</v>
      </c>
      <c r="J2" s="454" t="s">
        <v>337</v>
      </c>
    </row>
    <row r="3" spans="2:10" ht="13.5" thickBot="1" x14ac:dyDescent="0.25">
      <c r="B3" s="141" t="s">
        <v>258</v>
      </c>
      <c r="C3" s="143"/>
      <c r="D3" s="444">
        <f>SUM(D4,D7,D8,D12,D17,D20,D21,D22,D23,D24)</f>
        <v>12165149351.248869</v>
      </c>
      <c r="E3" s="444">
        <f t="shared" ref="E3:F3" si="0">SUM(E4,E7,E8,E12,E17,E20,E21,E22,E23,E24)</f>
        <v>14968896979.792809</v>
      </c>
      <c r="F3" s="444">
        <f t="shared" si="0"/>
        <v>9645871144.4662342</v>
      </c>
      <c r="H3" s="444">
        <f>SUM(H4,H7,H8,H12,H17,H20,H21,H22,H23,H24)</f>
        <v>12165149351.248869</v>
      </c>
      <c r="I3" s="444">
        <f t="shared" ref="I3:J3" si="1">SUM(I4,I7,I8,I12,I17,I20,I21,I22,I23,I24)</f>
        <v>14968896979.792809</v>
      </c>
      <c r="J3" s="444">
        <f t="shared" si="1"/>
        <v>9645871144.4662342</v>
      </c>
    </row>
    <row r="4" spans="2:10" ht="13.5" thickTop="1" x14ac:dyDescent="0.2">
      <c r="B4" s="33" t="s">
        <v>247</v>
      </c>
      <c r="C4" s="140" t="s">
        <v>19</v>
      </c>
      <c r="D4" s="443">
        <f>SUM(D5:D6)</f>
        <v>72714514.765273154</v>
      </c>
      <c r="E4" s="462">
        <f t="shared" ref="E4:F4" si="2">SUM(E5:E6)</f>
        <v>72714514.765273154</v>
      </c>
      <c r="F4" s="454">
        <f t="shared" si="2"/>
        <v>72714514.765273154</v>
      </c>
      <c r="H4" s="443">
        <f>SUM(H5:H6)</f>
        <v>72714514.765273154</v>
      </c>
      <c r="I4" s="472">
        <f t="shared" ref="I4:J4" si="3">SUM(I5:I6)</f>
        <v>72714514.765273154</v>
      </c>
      <c r="J4" s="454">
        <f t="shared" si="3"/>
        <v>72714514.765273154</v>
      </c>
    </row>
    <row r="5" spans="2:10" x14ac:dyDescent="0.2">
      <c r="B5" s="33"/>
      <c r="C5" s="32" t="s">
        <v>0</v>
      </c>
      <c r="D5" s="445">
        <f>'4.1.1'!C10</f>
        <v>19955956.024774797</v>
      </c>
      <c r="E5" s="463">
        <f>'4.1.1'!D10</f>
        <v>19955956.024774797</v>
      </c>
      <c r="F5" s="455">
        <f>'4.1.1'!E10</f>
        <v>19955956.024774797</v>
      </c>
      <c r="H5" s="445">
        <f>'4.1.1'!C14</f>
        <v>19955956.024774797</v>
      </c>
      <c r="I5" s="473">
        <f>'4.1.1'!D14</f>
        <v>19955956.024774797</v>
      </c>
      <c r="J5" s="455">
        <f>'4.1.1'!E14</f>
        <v>19955956.024774797</v>
      </c>
    </row>
    <row r="6" spans="2:10" x14ac:dyDescent="0.2">
      <c r="B6" s="33"/>
      <c r="C6" s="32" t="s">
        <v>1</v>
      </c>
      <c r="D6" s="445">
        <f>'4.1.1'!C17</f>
        <v>52758558.740498364</v>
      </c>
      <c r="E6" s="463">
        <f>'4.1.1'!D17</f>
        <v>52758558.740498364</v>
      </c>
      <c r="F6" s="455">
        <f>'4.1.1'!E17</f>
        <v>52758558.740498364</v>
      </c>
      <c r="H6" s="445">
        <f>'4.1.1'!C21</f>
        <v>52758558.740498364</v>
      </c>
      <c r="I6" s="473">
        <f>'4.1.1'!D21</f>
        <v>52758558.740498364</v>
      </c>
      <c r="J6" s="455">
        <f>'4.1.1'!E21</f>
        <v>52758558.740498364</v>
      </c>
    </row>
    <row r="7" spans="2:10" x14ac:dyDescent="0.2">
      <c r="B7" s="33" t="s">
        <v>249</v>
      </c>
      <c r="C7" s="140" t="s">
        <v>26</v>
      </c>
      <c r="D7" s="446">
        <f>'4.1.2'!C3</f>
        <v>64712322.251376048</v>
      </c>
      <c r="E7" s="464">
        <f>'4.1.2'!D3</f>
        <v>64712322.251376048</v>
      </c>
      <c r="F7" s="456">
        <f>'4.1.2'!E3</f>
        <v>64712322.251376048</v>
      </c>
      <c r="H7" s="446">
        <f>'4.1.2'!C7</f>
        <v>64712322.251376048</v>
      </c>
      <c r="I7" s="474">
        <f>'4.1.2'!D7</f>
        <v>64712322.251376048</v>
      </c>
      <c r="J7" s="456">
        <f>'4.1.2'!E7</f>
        <v>64712322.251376048</v>
      </c>
    </row>
    <row r="8" spans="2:10" x14ac:dyDescent="0.2">
      <c r="B8" s="33" t="s">
        <v>250</v>
      </c>
      <c r="C8" s="140" t="s">
        <v>29</v>
      </c>
      <c r="D8" s="446">
        <f>SUM(D9:D11)</f>
        <v>7605241629.9225531</v>
      </c>
      <c r="E8" s="464">
        <f t="shared" ref="E8:F8" si="4">SUM(E9:E11)</f>
        <v>10581989258.466494</v>
      </c>
      <c r="F8" s="456">
        <f t="shared" si="4"/>
        <v>5172463423.1399183</v>
      </c>
      <c r="H8" s="446">
        <f>SUM(H9:H11)</f>
        <v>7605241629.9225531</v>
      </c>
      <c r="I8" s="474">
        <f t="shared" ref="I8:J8" si="5">SUM(I9:I11)</f>
        <v>10581989258.466494</v>
      </c>
      <c r="J8" s="456">
        <f t="shared" si="5"/>
        <v>5172463423.1399183</v>
      </c>
    </row>
    <row r="9" spans="2:10" x14ac:dyDescent="0.2">
      <c r="B9" s="33"/>
      <c r="C9" s="32" t="s">
        <v>30</v>
      </c>
      <c r="D9" s="445">
        <f>'4.1.3'!C10</f>
        <v>7441869071.3598528</v>
      </c>
      <c r="E9" s="463">
        <f>'4.1.3'!D10</f>
        <v>10418616699.903793</v>
      </c>
      <c r="F9" s="455">
        <f>'4.1.3'!E10</f>
        <v>5009090864.5772181</v>
      </c>
      <c r="H9" s="445">
        <f>'4.1.3'!C14</f>
        <v>7441869071.3598528</v>
      </c>
      <c r="I9" s="473">
        <f>'4.1.3'!D14</f>
        <v>10418616699.903793</v>
      </c>
      <c r="J9" s="455">
        <f>'4.1.3'!E14</f>
        <v>5009090864.5772181</v>
      </c>
    </row>
    <row r="10" spans="2:10" x14ac:dyDescent="0.2">
      <c r="B10" s="33"/>
      <c r="C10" s="32" t="s">
        <v>36</v>
      </c>
      <c r="D10" s="445">
        <f>'4.1.3'!C17</f>
        <v>11100700.104404682</v>
      </c>
      <c r="E10" s="463">
        <f>'4.1.3'!D17</f>
        <v>11100700.104404682</v>
      </c>
      <c r="F10" s="455">
        <f>'4.1.3'!E17</f>
        <v>11100700.104404682</v>
      </c>
      <c r="H10" s="445">
        <f>'4.1.3'!C21</f>
        <v>11100700.104404682</v>
      </c>
      <c r="I10" s="473">
        <f>'4.1.3'!D21</f>
        <v>11100700.104404682</v>
      </c>
      <c r="J10" s="455">
        <f>'4.1.3'!E21</f>
        <v>11100700.104404682</v>
      </c>
    </row>
    <row r="11" spans="2:10" x14ac:dyDescent="0.2">
      <c r="B11" s="33"/>
      <c r="C11" s="32" t="s">
        <v>44</v>
      </c>
      <c r="D11" s="445">
        <f>'4.1.3'!C24</f>
        <v>152271858.45829624</v>
      </c>
      <c r="E11" s="463">
        <f>'4.1.3'!D24</f>
        <v>152271858.45829624</v>
      </c>
      <c r="F11" s="455">
        <f>'4.1.3'!E24</f>
        <v>152271858.45829624</v>
      </c>
      <c r="H11" s="445">
        <f>'4.1.3'!C28</f>
        <v>152271858.45829624</v>
      </c>
      <c r="I11" s="473">
        <f>'4.1.3'!D28</f>
        <v>152271858.45829624</v>
      </c>
      <c r="J11" s="455">
        <f>'4.1.3'!E28</f>
        <v>152271858.45829624</v>
      </c>
    </row>
    <row r="12" spans="2:10" x14ac:dyDescent="0.2">
      <c r="B12" s="33" t="s">
        <v>251</v>
      </c>
      <c r="C12" s="140" t="s">
        <v>50</v>
      </c>
      <c r="D12" s="446">
        <f>SUM(D13:D16)</f>
        <v>902037922.46508467</v>
      </c>
      <c r="E12" s="464">
        <f t="shared" ref="E12:F12" si="6">SUM(E13:E16)</f>
        <v>902037922.46508467</v>
      </c>
      <c r="F12" s="456">
        <f t="shared" si="6"/>
        <v>902037922.46508467</v>
      </c>
      <c r="H12" s="446">
        <f>SUM(H13:H16)</f>
        <v>902037922.46508467</v>
      </c>
      <c r="I12" s="474">
        <f t="shared" ref="I12:J12" si="7">SUM(I13:I16)</f>
        <v>902037922.46508467</v>
      </c>
      <c r="J12" s="456">
        <f t="shared" si="7"/>
        <v>902037922.46508467</v>
      </c>
    </row>
    <row r="13" spans="2:10" x14ac:dyDescent="0.2">
      <c r="B13" s="33"/>
      <c r="C13" s="32" t="s">
        <v>55</v>
      </c>
      <c r="D13" s="445">
        <f>'4.1.4'!C10</f>
        <v>725066402.23348415</v>
      </c>
      <c r="E13" s="463">
        <f>'4.1.4'!D10</f>
        <v>725066402.23348415</v>
      </c>
      <c r="F13" s="455">
        <f>'4.1.4'!E10</f>
        <v>725066402.23348415</v>
      </c>
      <c r="H13" s="445">
        <f>'4.1.4'!C14</f>
        <v>725066402.23348415</v>
      </c>
      <c r="I13" s="473">
        <f>'4.1.4'!D14</f>
        <v>725066402.23348415</v>
      </c>
      <c r="J13" s="455">
        <f>'4.1.4'!E14</f>
        <v>725066402.23348415</v>
      </c>
    </row>
    <row r="14" spans="2:10" x14ac:dyDescent="0.2">
      <c r="B14" s="33"/>
      <c r="C14" s="32" t="s">
        <v>54</v>
      </c>
      <c r="D14" s="445">
        <f>'4.1.4'!C17</f>
        <v>45587842.476694606</v>
      </c>
      <c r="E14" s="463">
        <f>'4.1.4'!D17</f>
        <v>45587842.476694606</v>
      </c>
      <c r="F14" s="455">
        <f>'4.1.4'!E17</f>
        <v>45587842.476694606</v>
      </c>
      <c r="H14" s="445">
        <f>'4.1.4'!C21</f>
        <v>45587842.476694606</v>
      </c>
      <c r="I14" s="473">
        <f>'4.1.4'!D21</f>
        <v>45587842.476694606</v>
      </c>
      <c r="J14" s="455">
        <f>'4.1.4'!E21</f>
        <v>45587842.476694606</v>
      </c>
    </row>
    <row r="15" spans="2:10" x14ac:dyDescent="0.2">
      <c r="B15" s="33"/>
      <c r="C15" s="32" t="s">
        <v>64</v>
      </c>
      <c r="D15" s="445">
        <f>'4.1.4'!C24</f>
        <v>118403437.02501363</v>
      </c>
      <c r="E15" s="463">
        <f>'4.1.4'!D24</f>
        <v>118403437.02501363</v>
      </c>
      <c r="F15" s="455">
        <f>'4.1.4'!E24</f>
        <v>118403437.02501363</v>
      </c>
      <c r="H15" s="445">
        <f>'4.1.4'!C28</f>
        <v>118403437.02501363</v>
      </c>
      <c r="I15" s="473">
        <f>'4.1.4'!D28</f>
        <v>118403437.02501363</v>
      </c>
      <c r="J15" s="455">
        <f>'4.1.4'!E28</f>
        <v>118403437.02501363</v>
      </c>
    </row>
    <row r="16" spans="2:10" x14ac:dyDescent="0.2">
      <c r="B16" s="33"/>
      <c r="C16" s="32" t="s">
        <v>73</v>
      </c>
      <c r="D16" s="445">
        <f>'4.1.4'!C31</f>
        <v>12980240.729892407</v>
      </c>
      <c r="E16" s="463">
        <f>'4.1.4'!D31</f>
        <v>12980240.729892407</v>
      </c>
      <c r="F16" s="455">
        <f>'4.1.4'!E31</f>
        <v>12980240.729892407</v>
      </c>
      <c r="H16" s="445">
        <f>'4.1.4'!C35</f>
        <v>12980240.729892407</v>
      </c>
      <c r="I16" s="473">
        <f>'4.1.4'!D35</f>
        <v>12980240.729892407</v>
      </c>
      <c r="J16" s="455">
        <f>'4.1.4'!E35</f>
        <v>12980240.729892407</v>
      </c>
    </row>
    <row r="17" spans="2:10" x14ac:dyDescent="0.2">
      <c r="B17" s="33" t="s">
        <v>252</v>
      </c>
      <c r="C17" s="140" t="s">
        <v>85</v>
      </c>
      <c r="D17" s="446">
        <f>SUM(D18:D19)</f>
        <v>0</v>
      </c>
      <c r="E17" s="464">
        <f t="shared" ref="E17:F17" si="8">SUM(E18:E19)</f>
        <v>0</v>
      </c>
      <c r="F17" s="456">
        <f t="shared" si="8"/>
        <v>0</v>
      </c>
      <c r="H17" s="446">
        <f>SUM(H18:H19)</f>
        <v>0</v>
      </c>
      <c r="I17" s="474">
        <f t="shared" ref="I17:J17" si="9">SUM(I18:I19)</f>
        <v>0</v>
      </c>
      <c r="J17" s="456">
        <f t="shared" si="9"/>
        <v>0</v>
      </c>
    </row>
    <row r="18" spans="2:10" x14ac:dyDescent="0.2">
      <c r="B18" s="33"/>
      <c r="C18" s="32" t="s">
        <v>86</v>
      </c>
      <c r="D18" s="445">
        <f>'4.1.5'!C10</f>
        <v>0</v>
      </c>
      <c r="E18" s="463">
        <f>'4.1.5'!D10</f>
        <v>0</v>
      </c>
      <c r="F18" s="455">
        <f>'4.1.5'!E10</f>
        <v>0</v>
      </c>
      <c r="H18" s="445">
        <f>'4.1.5'!C14</f>
        <v>0</v>
      </c>
      <c r="I18" s="473">
        <f>'4.1.5'!D14</f>
        <v>0</v>
      </c>
      <c r="J18" s="455">
        <f>'4.1.5'!E14</f>
        <v>0</v>
      </c>
    </row>
    <row r="19" spans="2:10" x14ac:dyDescent="0.2">
      <c r="B19" s="33"/>
      <c r="C19" s="32" t="s">
        <v>92</v>
      </c>
      <c r="D19" s="445">
        <f>'4.1.5'!C17</f>
        <v>0</v>
      </c>
      <c r="E19" s="463">
        <f>'4.1.5'!D17</f>
        <v>0</v>
      </c>
      <c r="F19" s="455">
        <f>'4.1.5'!E17</f>
        <v>0</v>
      </c>
      <c r="H19" s="445">
        <f>'4.1.5'!C21</f>
        <v>0</v>
      </c>
      <c r="I19" s="473">
        <f>'4.1.5'!D21</f>
        <v>0</v>
      </c>
      <c r="J19" s="455">
        <f>'4.1.5'!E21</f>
        <v>0</v>
      </c>
    </row>
    <row r="20" spans="2:10" x14ac:dyDescent="0.2">
      <c r="B20" s="33" t="s">
        <v>253</v>
      </c>
      <c r="C20" s="140" t="s">
        <v>104</v>
      </c>
      <c r="D20" s="446">
        <f>'4.1.6'!C3</f>
        <v>0</v>
      </c>
      <c r="E20" s="464">
        <f>'4.1.6'!D3</f>
        <v>0</v>
      </c>
      <c r="F20" s="456">
        <f>'4.1.6'!E3</f>
        <v>0</v>
      </c>
      <c r="H20" s="446">
        <f>'4.1.6'!C7</f>
        <v>0</v>
      </c>
      <c r="I20" s="474">
        <f>'4.1.6'!D7</f>
        <v>0</v>
      </c>
      <c r="J20" s="456">
        <f>'4.1.6'!E7</f>
        <v>0</v>
      </c>
    </row>
    <row r="21" spans="2:10" x14ac:dyDescent="0.2">
      <c r="B21" s="33" t="s">
        <v>254</v>
      </c>
      <c r="C21" s="140" t="s">
        <v>112</v>
      </c>
      <c r="D21" s="446">
        <f>'4.1.7'!C3</f>
        <v>1502584961.8445816</v>
      </c>
      <c r="E21" s="464">
        <f>'4.1.7'!D3</f>
        <v>1502584961.8445816</v>
      </c>
      <c r="F21" s="456">
        <f>'4.1.7'!E3</f>
        <v>1502584961.8445816</v>
      </c>
      <c r="H21" s="446">
        <f>'4.1.7'!C7</f>
        <v>1502584961.8445816</v>
      </c>
      <c r="I21" s="474">
        <f>'4.1.7'!D7</f>
        <v>1502584961.8445816</v>
      </c>
      <c r="J21" s="456">
        <f>'4.1.7'!E7</f>
        <v>1502584961.8445816</v>
      </c>
    </row>
    <row r="22" spans="2:10" x14ac:dyDescent="0.2">
      <c r="B22" s="33" t="s">
        <v>255</v>
      </c>
      <c r="C22" s="140" t="s">
        <v>119</v>
      </c>
      <c r="D22" s="446">
        <f>'4.1.8'!C3</f>
        <v>382000000</v>
      </c>
      <c r="E22" s="464">
        <f>'4.1.8'!D3</f>
        <v>209000000</v>
      </c>
      <c r="F22" s="456">
        <f>'4.1.8'!E3</f>
        <v>295500000</v>
      </c>
      <c r="H22" s="446">
        <f>'4.1.8'!C7</f>
        <v>382000000</v>
      </c>
      <c r="I22" s="474">
        <f>'4.1.8'!D7</f>
        <v>209000000</v>
      </c>
      <c r="J22" s="456">
        <f>'4.1.8'!E7</f>
        <v>295500000</v>
      </c>
    </row>
    <row r="23" spans="2:10" x14ac:dyDescent="0.2">
      <c r="B23" s="33" t="s">
        <v>256</v>
      </c>
      <c r="C23" s="140" t="s">
        <v>130</v>
      </c>
      <c r="D23" s="446">
        <f>'4.1.9'!C3</f>
        <v>486000000</v>
      </c>
      <c r="E23" s="464">
        <f>'4.1.9'!D3</f>
        <v>486000000</v>
      </c>
      <c r="F23" s="456">
        <f>'4.1.9'!E3</f>
        <v>486000000</v>
      </c>
      <c r="H23" s="446">
        <f>'4.1.9'!C7</f>
        <v>486000000</v>
      </c>
      <c r="I23" s="474">
        <f>'4.1.9'!D7</f>
        <v>486000000</v>
      </c>
      <c r="J23" s="456">
        <f>'4.1.9'!E7</f>
        <v>486000000</v>
      </c>
    </row>
    <row r="24" spans="2:10" x14ac:dyDescent="0.2">
      <c r="B24" s="33" t="s">
        <v>257</v>
      </c>
      <c r="C24" s="140" t="s">
        <v>138</v>
      </c>
      <c r="D24" s="446">
        <f>'4.1.10'!C3</f>
        <v>1149858000</v>
      </c>
      <c r="E24" s="464">
        <f>'4.1.10'!D3</f>
        <v>1149858000</v>
      </c>
      <c r="F24" s="456">
        <f>'4.1.10'!E3</f>
        <v>1149858000</v>
      </c>
      <c r="H24" s="446">
        <f>'4.1.10'!C7</f>
        <v>1149858000</v>
      </c>
      <c r="I24" s="474">
        <f>'4.1.10'!D7</f>
        <v>1149858000</v>
      </c>
      <c r="J24" s="456">
        <f>'4.1.10'!E7</f>
        <v>1149858000</v>
      </c>
    </row>
    <row r="25" spans="2:10" ht="13.5" thickBot="1" x14ac:dyDescent="0.25">
      <c r="B25" s="141" t="s">
        <v>259</v>
      </c>
      <c r="C25" s="143"/>
      <c r="D25" s="444">
        <f>SUM(D26,D27,D28)</f>
        <v>4240393323.7617321</v>
      </c>
      <c r="E25" s="444">
        <f t="shared" ref="E25:F25" si="10">SUM(E26,E27,E28)</f>
        <v>4240393323.7617321</v>
      </c>
      <c r="F25" s="444">
        <f t="shared" si="10"/>
        <v>4240393323.7617321</v>
      </c>
      <c r="H25" s="444">
        <f>SUM(H26,H27,H28)</f>
        <v>4240393323.7617321</v>
      </c>
      <c r="I25" s="444">
        <f t="shared" ref="I25:J25" si="11">SUM(I26,I27,I28)</f>
        <v>4240393323.7617321</v>
      </c>
      <c r="J25" s="477">
        <f t="shared" si="11"/>
        <v>4240393323.7617321</v>
      </c>
    </row>
    <row r="26" spans="2:10" ht="13.5" thickTop="1" x14ac:dyDescent="0.2">
      <c r="B26" s="34" t="s">
        <v>260</v>
      </c>
      <c r="C26" s="140" t="s">
        <v>154</v>
      </c>
      <c r="D26" s="446">
        <f>'4.2.1'!C3</f>
        <v>1508573651.8556499</v>
      </c>
      <c r="E26" s="464">
        <f>'4.2.1'!D3</f>
        <v>1508573651.8556499</v>
      </c>
      <c r="F26" s="456">
        <f>'4.2.1'!E3</f>
        <v>1508573651.8556499</v>
      </c>
      <c r="H26" s="446">
        <f>'4.2.1'!C7</f>
        <v>1508573651.8556499</v>
      </c>
      <c r="I26" s="474">
        <f>'4.2.1'!D7</f>
        <v>1508573651.8556499</v>
      </c>
      <c r="J26" s="456">
        <f>'4.2.1'!E7</f>
        <v>1508573651.8556499</v>
      </c>
    </row>
    <row r="27" spans="2:10" x14ac:dyDescent="0.2">
      <c r="B27" s="34" t="s">
        <v>261</v>
      </c>
      <c r="C27" s="140" t="s">
        <v>158</v>
      </c>
      <c r="D27" s="446">
        <f>'4.2.2'!C3</f>
        <v>314162146.69145304</v>
      </c>
      <c r="E27" s="464">
        <f>'4.2.2'!D3</f>
        <v>314162146.69145304</v>
      </c>
      <c r="F27" s="456">
        <f>'4.2.2'!E3</f>
        <v>314162146.69145304</v>
      </c>
      <c r="H27" s="446">
        <f>'4.2.2'!C7</f>
        <v>314162146.69145304</v>
      </c>
      <c r="I27" s="474">
        <f>'4.2.2'!D7</f>
        <v>314162146.69145304</v>
      </c>
      <c r="J27" s="456">
        <f>'4.2.2'!E7</f>
        <v>314162146.69145304</v>
      </c>
    </row>
    <row r="28" spans="2:10" x14ac:dyDescent="0.2">
      <c r="B28" s="34" t="s">
        <v>262</v>
      </c>
      <c r="C28" s="140" t="s">
        <v>161</v>
      </c>
      <c r="D28" s="446">
        <f>SUM(D29:D32)</f>
        <v>2417657525.2146292</v>
      </c>
      <c r="E28" s="464">
        <f t="shared" ref="E28:F28" si="12">SUM(E29:E32)</f>
        <v>2417657525.2146292</v>
      </c>
      <c r="F28" s="456">
        <f t="shared" si="12"/>
        <v>2417657525.2146292</v>
      </c>
      <c r="H28" s="446">
        <f>SUM(H29:H32)</f>
        <v>2417657525.2146292</v>
      </c>
      <c r="I28" s="474">
        <f t="shared" ref="I28:J28" si="13">SUM(I29:I32)</f>
        <v>2417657525.2146292</v>
      </c>
      <c r="J28" s="456">
        <f t="shared" si="13"/>
        <v>2417657525.2146292</v>
      </c>
    </row>
    <row r="29" spans="2:10" x14ac:dyDescent="0.2">
      <c r="B29" s="34"/>
      <c r="C29" s="32" t="s">
        <v>162</v>
      </c>
      <c r="D29" s="445">
        <f>'4.2.3'!C10</f>
        <v>0</v>
      </c>
      <c r="E29" s="463">
        <f>'4.2.3'!D10</f>
        <v>0</v>
      </c>
      <c r="F29" s="455">
        <f>'4.2.3'!E10</f>
        <v>0</v>
      </c>
      <c r="H29" s="445">
        <f>'4.2.3'!C14</f>
        <v>0</v>
      </c>
      <c r="I29" s="473">
        <f>'4.2.3'!D14</f>
        <v>0</v>
      </c>
      <c r="J29" s="455">
        <f>'4.2.3'!E14</f>
        <v>0</v>
      </c>
    </row>
    <row r="30" spans="2:10" x14ac:dyDescent="0.2">
      <c r="B30" s="34"/>
      <c r="C30" s="32" t="s">
        <v>168</v>
      </c>
      <c r="D30" s="445">
        <f>'4.2.3'!C17</f>
        <v>1765640101.9467218</v>
      </c>
      <c r="E30" s="463">
        <f>'4.2.3'!D17</f>
        <v>1765640101.9467218</v>
      </c>
      <c r="F30" s="455">
        <f>'4.2.3'!E17</f>
        <v>1765640101.9467218</v>
      </c>
      <c r="H30" s="445">
        <f>'4.2.3'!C21</f>
        <v>1765640101.9467218</v>
      </c>
      <c r="I30" s="473">
        <f>'4.2.3'!D21</f>
        <v>1765640101.9467218</v>
      </c>
      <c r="J30" s="455">
        <f>'4.2.3'!E21</f>
        <v>1765640101.9467218</v>
      </c>
    </row>
    <row r="31" spans="2:10" x14ac:dyDescent="0.2">
      <c r="B31" s="34"/>
      <c r="C31" s="32" t="s">
        <v>171</v>
      </c>
      <c r="D31" s="445">
        <f>'4.2.3'!C24</f>
        <v>588546700.6489073</v>
      </c>
      <c r="E31" s="463">
        <f>'4.2.3'!D24</f>
        <v>588546700.6489073</v>
      </c>
      <c r="F31" s="455">
        <f>'4.2.3'!E24</f>
        <v>588546700.6489073</v>
      </c>
      <c r="H31" s="445">
        <f>'4.2.3'!C28</f>
        <v>588546700.6489073</v>
      </c>
      <c r="I31" s="473">
        <f>'4.2.3'!D28</f>
        <v>588546700.6489073</v>
      </c>
      <c r="J31" s="455">
        <f>'4.2.3'!E28</f>
        <v>588546700.6489073</v>
      </c>
    </row>
    <row r="32" spans="2:10" x14ac:dyDescent="0.2">
      <c r="B32" s="34"/>
      <c r="C32" s="32" t="s">
        <v>179</v>
      </c>
      <c r="D32" s="445">
        <f>'4.2.3'!C31</f>
        <v>63470722.618999809</v>
      </c>
      <c r="E32" s="463">
        <f>'4.2.3'!D31</f>
        <v>63470722.618999809</v>
      </c>
      <c r="F32" s="455">
        <f>'4.2.3'!E31</f>
        <v>63470722.618999809</v>
      </c>
      <c r="H32" s="445">
        <f>'4.2.3'!C35</f>
        <v>63470722.618999809</v>
      </c>
      <c r="I32" s="473">
        <f>'4.2.3'!D35</f>
        <v>63470722.618999809</v>
      </c>
      <c r="J32" s="455">
        <f>'4.2.3'!E35</f>
        <v>63470722.618999809</v>
      </c>
    </row>
    <row r="33" spans="2:10" ht="13.5" thickBot="1" x14ac:dyDescent="0.25">
      <c r="B33" s="141" t="s">
        <v>263</v>
      </c>
      <c r="C33" s="141"/>
      <c r="D33" s="444">
        <f>SUM(D34,D35,D40,D41)</f>
        <v>8430142687.0149059</v>
      </c>
      <c r="E33" s="444">
        <f t="shared" ref="E33:F33" si="14">SUM(E34,E35,E40,E41)</f>
        <v>8429973492.4509048</v>
      </c>
      <c r="F33" s="444">
        <f t="shared" si="14"/>
        <v>8430058089.7329044</v>
      </c>
      <c r="H33" s="444">
        <f>SUM(H34,H35,H40,H41)</f>
        <v>8430142687.0149059</v>
      </c>
      <c r="I33" s="444">
        <f t="shared" ref="I33:J33" si="15">SUM(I34,I35,I40,I41)</f>
        <v>8429973492.4509048</v>
      </c>
      <c r="J33" s="477">
        <f t="shared" si="15"/>
        <v>8430058089.7329044</v>
      </c>
    </row>
    <row r="34" spans="2:10" ht="13.5" thickTop="1" x14ac:dyDescent="0.2">
      <c r="B34" s="35" t="s">
        <v>264</v>
      </c>
      <c r="C34" s="140" t="s">
        <v>184</v>
      </c>
      <c r="D34" s="447">
        <f>'4.3.1'!C3</f>
        <v>4443739195.1250744</v>
      </c>
      <c r="E34" s="465">
        <f>'4.3.1'!D3</f>
        <v>4443739195.1250744</v>
      </c>
      <c r="F34" s="457">
        <f>'4.3.1'!E3</f>
        <v>4443739195.1250744</v>
      </c>
      <c r="H34" s="447">
        <f>'4.3.1'!C7</f>
        <v>4443739195.1250744</v>
      </c>
      <c r="I34" s="475">
        <f>'4.3.1'!D7</f>
        <v>4443739195.1250744</v>
      </c>
      <c r="J34" s="457">
        <f>'4.3.1'!E7</f>
        <v>4443739195.1250744</v>
      </c>
    </row>
    <row r="35" spans="2:10" x14ac:dyDescent="0.2">
      <c r="B35" s="35" t="s">
        <v>265</v>
      </c>
      <c r="C35" s="140" t="s">
        <v>186</v>
      </c>
      <c r="D35" s="446">
        <f>SUM(D36:D40)</f>
        <v>1376582865.7932081</v>
      </c>
      <c r="E35" s="464">
        <f t="shared" ref="E35:F35" si="16">SUM(E36:E40)</f>
        <v>1376413671.229208</v>
      </c>
      <c r="F35" s="456">
        <f t="shared" si="16"/>
        <v>1376498268.5112081</v>
      </c>
      <c r="H35" s="446">
        <f>SUM(H36:H40)</f>
        <v>1376582865.7932081</v>
      </c>
      <c r="I35" s="474">
        <f t="shared" ref="I35:J35" si="17">SUM(I36:I40)</f>
        <v>1376413671.229208</v>
      </c>
      <c r="J35" s="456">
        <f t="shared" si="17"/>
        <v>1376498268.5112081</v>
      </c>
    </row>
    <row r="36" spans="2:10" x14ac:dyDescent="0.2">
      <c r="B36" s="35"/>
      <c r="C36" s="32" t="s">
        <v>187</v>
      </c>
      <c r="D36" s="445">
        <f>'4.3.2'!C10</f>
        <v>59103045.09647999</v>
      </c>
      <c r="E36" s="463">
        <f>'4.3.2'!D10</f>
        <v>58933850.532479994</v>
      </c>
      <c r="F36" s="455">
        <f>'4.3.2'!E10</f>
        <v>59018447.814479992</v>
      </c>
      <c r="H36" s="445">
        <f>'4.3.2'!C14</f>
        <v>59103045.09647999</v>
      </c>
      <c r="I36" s="473">
        <f>'4.3.2'!D14</f>
        <v>58933850.532479994</v>
      </c>
      <c r="J36" s="455">
        <f>'4.3.2'!E14</f>
        <v>59018447.814479992</v>
      </c>
    </row>
    <row r="37" spans="2:10" x14ac:dyDescent="0.2">
      <c r="B37" s="35"/>
      <c r="C37" s="32" t="s">
        <v>193</v>
      </c>
      <c r="D37" s="445">
        <f>'4.3.2'!C17</f>
        <v>27224943.480000004</v>
      </c>
      <c r="E37" s="463">
        <f>'4.3.2'!D17</f>
        <v>27224943.480000004</v>
      </c>
      <c r="F37" s="455">
        <f>'4.3.2'!E17</f>
        <v>27224943.480000004</v>
      </c>
      <c r="H37" s="445">
        <f>'4.3.2'!C21</f>
        <v>27224943.480000004</v>
      </c>
      <c r="I37" s="473">
        <f>'4.3.2'!D21</f>
        <v>27224943.480000004</v>
      </c>
      <c r="J37" s="455">
        <f>'4.3.2'!E21</f>
        <v>27224943.480000004</v>
      </c>
    </row>
    <row r="38" spans="2:10" x14ac:dyDescent="0.2">
      <c r="B38" s="35"/>
      <c r="C38" s="32" t="s">
        <v>200</v>
      </c>
      <c r="D38" s="445">
        <f>'4.3.2'!C24</f>
        <v>54130959.572055101</v>
      </c>
      <c r="E38" s="463">
        <f>'4.3.2'!D24</f>
        <v>54130959.572055101</v>
      </c>
      <c r="F38" s="455">
        <f>'4.3.2'!E24</f>
        <v>54130959.572055101</v>
      </c>
      <c r="H38" s="445">
        <f>'4.3.2'!C28</f>
        <v>54130959.572055101</v>
      </c>
      <c r="I38" s="473">
        <f>'4.3.2'!D28</f>
        <v>54130959.572055101</v>
      </c>
      <c r="J38" s="455">
        <f>'4.3.2'!E28</f>
        <v>54130959.572055101</v>
      </c>
    </row>
    <row r="39" spans="2:10" x14ac:dyDescent="0.2">
      <c r="B39" s="35"/>
      <c r="C39" s="32" t="s">
        <v>203</v>
      </c>
      <c r="D39" s="445">
        <f>'4.3.2'!C31</f>
        <v>96702780.300672844</v>
      </c>
      <c r="E39" s="463">
        <f>'4.3.2'!D31</f>
        <v>96702780.300672844</v>
      </c>
      <c r="F39" s="455">
        <f>'4.3.2'!E31</f>
        <v>96702780.300672844</v>
      </c>
      <c r="H39" s="445">
        <f>'4.3.2'!C35</f>
        <v>96702780.300672844</v>
      </c>
      <c r="I39" s="473">
        <f>'4.3.2'!D35</f>
        <v>96702780.300672844</v>
      </c>
      <c r="J39" s="455">
        <f>'4.3.2'!E35</f>
        <v>96702780.300672844</v>
      </c>
    </row>
    <row r="40" spans="2:10" x14ac:dyDescent="0.2">
      <c r="B40" s="35" t="s">
        <v>266</v>
      </c>
      <c r="C40" s="140" t="s">
        <v>208</v>
      </c>
      <c r="D40" s="446">
        <f>'4.3.3'!C3</f>
        <v>1139421137.3440001</v>
      </c>
      <c r="E40" s="464">
        <f>'4.3.3'!D3</f>
        <v>1139421137.3440001</v>
      </c>
      <c r="F40" s="456">
        <f>'4.3.3'!E3</f>
        <v>1139421137.3440001</v>
      </c>
      <c r="H40" s="446">
        <f>'4.3.3'!C7</f>
        <v>1139421137.3440001</v>
      </c>
      <c r="I40" s="474">
        <f>'4.3.3'!D7</f>
        <v>1139421137.3440001</v>
      </c>
      <c r="J40" s="456">
        <f>'4.3.3'!E7</f>
        <v>1139421137.3440001</v>
      </c>
    </row>
    <row r="41" spans="2:10" x14ac:dyDescent="0.2">
      <c r="B41" s="35" t="s">
        <v>267</v>
      </c>
      <c r="C41" s="140" t="s">
        <v>209</v>
      </c>
      <c r="D41" s="446">
        <f>SUM(D42:D43)</f>
        <v>1470399488.7526231</v>
      </c>
      <c r="E41" s="464">
        <f t="shared" ref="E41:F41" si="18">SUM(E42:E43)</f>
        <v>1470399488.7526231</v>
      </c>
      <c r="F41" s="456">
        <f t="shared" si="18"/>
        <v>1470399488.7526231</v>
      </c>
      <c r="H41" s="446">
        <f>SUM(H42:H43)</f>
        <v>1470399488.7526231</v>
      </c>
      <c r="I41" s="474">
        <f t="shared" ref="I41:J41" si="19">SUM(I42:I43)</f>
        <v>1470399488.7526231</v>
      </c>
      <c r="J41" s="456">
        <f t="shared" si="19"/>
        <v>1470399488.7526231</v>
      </c>
    </row>
    <row r="42" spans="2:10" x14ac:dyDescent="0.2">
      <c r="B42" s="35"/>
      <c r="C42" s="32" t="s">
        <v>242</v>
      </c>
      <c r="D42" s="445">
        <f>'4.3.4'!C10</f>
        <v>1446458429.7264178</v>
      </c>
      <c r="E42" s="463">
        <f>'4.3.4'!D10</f>
        <v>1446458429.7264178</v>
      </c>
      <c r="F42" s="455">
        <f>'4.3.4'!E10</f>
        <v>1446458429.7264178</v>
      </c>
      <c r="H42" s="445">
        <f>'4.3.4'!C14</f>
        <v>1446458429.7264178</v>
      </c>
      <c r="I42" s="473">
        <f>'4.3.4'!D14</f>
        <v>1446458429.7264178</v>
      </c>
      <c r="J42" s="455">
        <f>'4.3.4'!E14</f>
        <v>1446458429.7264178</v>
      </c>
    </row>
    <row r="43" spans="2:10" x14ac:dyDescent="0.2">
      <c r="B43" s="35"/>
      <c r="C43" s="32" t="s">
        <v>241</v>
      </c>
      <c r="D43" s="445">
        <f>'4.3.4'!C17</f>
        <v>23941059.026205312</v>
      </c>
      <c r="E43" s="463">
        <f>'4.3.4'!D17</f>
        <v>23941059.026205312</v>
      </c>
      <c r="F43" s="455">
        <f>'4.3.4'!E17</f>
        <v>23941059.026205312</v>
      </c>
      <c r="H43" s="445">
        <f>'4.3.4'!C21</f>
        <v>23941059.026205312</v>
      </c>
      <c r="I43" s="473">
        <f>'4.3.4'!D21</f>
        <v>23941059.026205312</v>
      </c>
      <c r="J43" s="455">
        <f>'4.3.4'!E21</f>
        <v>23941059.026205312</v>
      </c>
    </row>
    <row r="44" spans="2:10" x14ac:dyDescent="0.2">
      <c r="D44" s="448"/>
      <c r="E44" s="466"/>
      <c r="F44" s="458"/>
      <c r="H44" s="448"/>
      <c r="I44" s="476"/>
      <c r="J44" s="458"/>
    </row>
    <row r="45" spans="2:10" x14ac:dyDescent="0.2">
      <c r="C45" s="69" t="s">
        <v>599</v>
      </c>
      <c r="D45" s="449">
        <f>SUM(D3,D25,D33)</f>
        <v>24835685362.025505</v>
      </c>
      <c r="E45" s="467">
        <f t="shared" ref="E45:F45" si="20">SUM(E3,E25,E33)</f>
        <v>27639263796.005447</v>
      </c>
      <c r="F45" s="459">
        <f t="shared" si="20"/>
        <v>22316322557.960869</v>
      </c>
      <c r="H45" s="448"/>
      <c r="I45" s="476"/>
      <c r="J45" s="458"/>
    </row>
    <row r="46" spans="2:10" x14ac:dyDescent="0.2">
      <c r="C46" s="69" t="s">
        <v>600</v>
      </c>
      <c r="D46" s="449">
        <f>'Summary Capex'!D45</f>
        <v>7254531933.4005623</v>
      </c>
      <c r="E46" s="467">
        <f>'Summary Capex'!E45</f>
        <v>4647404143.8805885</v>
      </c>
      <c r="F46" s="459">
        <f>'Summary Capex'!F45</f>
        <v>4647404143.8805885</v>
      </c>
      <c r="H46" s="448"/>
      <c r="I46" s="476"/>
      <c r="J46" s="458"/>
    </row>
    <row r="47" spans="2:10" ht="13.5" thickBot="1" x14ac:dyDescent="0.25">
      <c r="C47" s="264" t="s">
        <v>602</v>
      </c>
      <c r="D47" s="450">
        <f>SUM(D45:D46)</f>
        <v>32090217295.426067</v>
      </c>
      <c r="E47" s="468">
        <f t="shared" ref="E47:F47" si="21">SUM(E45:E46)</f>
        <v>32286667939.886036</v>
      </c>
      <c r="F47" s="460">
        <f t="shared" si="21"/>
        <v>26963726701.841457</v>
      </c>
      <c r="H47" s="450"/>
      <c r="I47" s="468"/>
      <c r="J47" s="460"/>
    </row>
    <row r="48" spans="2:10" x14ac:dyDescent="0.2">
      <c r="C48" s="40"/>
      <c r="D48" s="451"/>
      <c r="E48" s="469"/>
      <c r="F48" s="461"/>
      <c r="H48" s="451"/>
      <c r="I48" s="469"/>
      <c r="J48" s="461"/>
    </row>
    <row r="49" spans="3:10" ht="13.5" thickBot="1" x14ac:dyDescent="0.25">
      <c r="C49" s="264" t="s">
        <v>601</v>
      </c>
      <c r="D49" s="450">
        <f>'Summary Capex'!H45</f>
        <v>46247575231.665161</v>
      </c>
      <c r="E49" s="468">
        <f>'Summary Capex'!I45</f>
        <v>25469143691.471794</v>
      </c>
      <c r="F49" s="460">
        <f>'Summary Capex'!J45</f>
        <v>25469143691.471794</v>
      </c>
      <c r="H49" s="450"/>
      <c r="I49" s="468"/>
      <c r="J49" s="460"/>
    </row>
    <row r="50" spans="3:10" x14ac:dyDescent="0.2">
      <c r="D50" s="451"/>
      <c r="E50" s="469"/>
      <c r="F50" s="461"/>
      <c r="H50" s="451"/>
      <c r="I50" s="476"/>
      <c r="J50" s="458"/>
    </row>
    <row r="51" spans="3:10" ht="13.5" thickBot="1" x14ac:dyDescent="0.25">
      <c r="C51" s="264" t="s">
        <v>636</v>
      </c>
      <c r="D51" s="450"/>
      <c r="E51" s="468"/>
      <c r="F51" s="460"/>
      <c r="H51" s="450">
        <f>SUM(H3,H25,H33)</f>
        <v>24835685362.025505</v>
      </c>
      <c r="I51" s="468">
        <f t="shared" ref="I51:J51" si="22">SUM(I3,I25,I33)</f>
        <v>27639263796.005447</v>
      </c>
      <c r="J51" s="460">
        <f t="shared" si="22"/>
        <v>22316322557.960869</v>
      </c>
    </row>
  </sheetData>
  <sheetProtection sheet="1" objects="1" scenarios="1"/>
  <hyperlinks>
    <hyperlink ref="C4" location="'4.1.1'!A1" display="Registration of Partial Care facilities"/>
    <hyperlink ref="C7" location="'4.1.2'!A1" display="Registration of ECD programmes"/>
    <hyperlink ref="C8" location="'4.1.3'!A1" display="Subsidies to ECD centres"/>
    <hyperlink ref="C12" location="'4.1.4'!A1" display="Inspection, Monitoring and Assessment of Partial Care and ECD services"/>
    <hyperlink ref="C17" location="'4.1.5'!A1" display="Funding to establish ECD centres and improve infrastructure"/>
    <hyperlink ref="C20" location="'4.1.6'!A1" display="Equipment and LSM materials for ECD centres"/>
    <hyperlink ref="C21" location="'4.1.7'!A1" display="Caregiver capacity building courses"/>
    <hyperlink ref="C22" location="'4.1.8'!A1" display="Home-based visiting programme"/>
    <hyperlink ref="C23" location="'4.1.9'!A1" display="Community based playgroups"/>
    <hyperlink ref="C24" location="'4.1.10'!A1" display="Toy libraries"/>
    <hyperlink ref="C26" location="'4.2.1'!A1" display="Training of ECD practitioners"/>
    <hyperlink ref="C27" location="'4.2.2'!A1" display="The payment of stipends to those in training"/>
    <hyperlink ref="C28" location="'4.2.3'!A1" display="Services for children in Grade R"/>
    <hyperlink ref="C34" location="'4.3.1'!A1" display="Access to qualified nurses"/>
    <hyperlink ref="C35" location="'4.3.2'!A1" display="Early antenatal care and maternal and child nutrition in the first 1,000 days"/>
    <hyperlink ref="C40" location="'4.3.3'!A1" display="Emergency obstetric care"/>
    <hyperlink ref="C41" location="'4.3.4'!A1" display="Immunisation, deworming and growth monitoring (Road to Health booklet)"/>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zoomScale="90" zoomScaleNormal="90" workbookViewId="0">
      <pane xSplit="3" ySplit="3" topLeftCell="D4" activePane="bottomRight" state="frozen"/>
      <selection pane="topRight" activeCell="D1" sqref="D1"/>
      <selection pane="bottomLeft" activeCell="A4" sqref="A4"/>
      <selection pane="bottomRight" activeCell="D1" sqref="D1:J1048576"/>
    </sheetView>
  </sheetViews>
  <sheetFormatPr defaultRowHeight="15" x14ac:dyDescent="0.25"/>
  <cols>
    <col min="1" max="1" width="1.42578125" style="30" customWidth="1"/>
    <col min="2" max="2" width="11.85546875" style="30" bestFit="1" customWidth="1"/>
    <col min="3" max="3" width="62.5703125" style="30" customWidth="1"/>
    <col min="4" max="6" width="17.7109375" customWidth="1"/>
    <col min="7" max="7" width="2.7109375" customWidth="1"/>
    <col min="8" max="10" width="17.7109375" customWidth="1"/>
    <col min="11" max="16384" width="9.140625" style="30"/>
  </cols>
  <sheetData>
    <row r="1" spans="2:10" ht="20.25" x14ac:dyDescent="0.3">
      <c r="B1" s="294" t="s">
        <v>615</v>
      </c>
      <c r="C1" s="142"/>
      <c r="D1" s="295" t="s">
        <v>597</v>
      </c>
      <c r="E1" s="296"/>
      <c r="F1" s="296"/>
      <c r="G1" s="3"/>
      <c r="H1" s="295" t="s">
        <v>598</v>
      </c>
    </row>
    <row r="2" spans="2:10" ht="15.75" x14ac:dyDescent="0.25">
      <c r="D2" s="272" t="s">
        <v>335</v>
      </c>
      <c r="E2" s="273" t="s">
        <v>336</v>
      </c>
      <c r="F2" s="274" t="s">
        <v>337</v>
      </c>
      <c r="G2" s="69"/>
      <c r="H2" s="272" t="s">
        <v>335</v>
      </c>
      <c r="I2" s="273" t="s">
        <v>336</v>
      </c>
      <c r="J2" s="274" t="s">
        <v>337</v>
      </c>
    </row>
    <row r="3" spans="2:10" ht="13.5" thickBot="1" x14ac:dyDescent="0.25">
      <c r="B3" s="141" t="s">
        <v>258</v>
      </c>
      <c r="C3" s="143"/>
      <c r="D3" s="275">
        <f>SUM(D4,D7,D8,D12,D17,D20,D21,D22,D23,D24)</f>
        <v>4377418785.0918903</v>
      </c>
      <c r="E3" s="275">
        <f t="shared" ref="E3:F3" si="0">SUM(E4,E7,E8,E12,E17,E20,E21,E22,E23,E24)</f>
        <v>1770290995.5719161</v>
      </c>
      <c r="F3" s="275">
        <f t="shared" si="0"/>
        <v>1770290995.5719161</v>
      </c>
      <c r="G3" s="69"/>
      <c r="H3" s="275">
        <f>SUM(H4,H7,H8,H12,H17,H20,H21,H22,H23,H24)</f>
        <v>29996354916.169388</v>
      </c>
      <c r="I3" s="275">
        <f t="shared" ref="I3" si="1">SUM(I4,I7,I8,I12,I17,I20,I21,I22,I23,I24)</f>
        <v>9217923375.976017</v>
      </c>
      <c r="J3" s="275">
        <f t="shared" ref="J3" si="2">SUM(J4,J7,J8,J12,J17,J20,J21,J22,J23,J24)</f>
        <v>9217923375.976017</v>
      </c>
    </row>
    <row r="4" spans="2:10" ht="13.5" thickTop="1" x14ac:dyDescent="0.2">
      <c r="B4" s="33" t="s">
        <v>247</v>
      </c>
      <c r="C4" s="140" t="s">
        <v>19</v>
      </c>
      <c r="D4" s="276">
        <f>SUM(D5:D6)</f>
        <v>0</v>
      </c>
      <c r="E4" s="277">
        <f t="shared" ref="E4:F4" si="3">SUM(E5:E6)</f>
        <v>0</v>
      </c>
      <c r="F4" s="278">
        <f t="shared" si="3"/>
        <v>0</v>
      </c>
      <c r="G4" s="69"/>
      <c r="H4" s="276"/>
      <c r="I4" s="277"/>
      <c r="J4" s="278"/>
    </row>
    <row r="5" spans="2:10" ht="12.75" x14ac:dyDescent="0.2">
      <c r="B5" s="33"/>
      <c r="C5" s="32" t="s">
        <v>0</v>
      </c>
      <c r="D5" s="279"/>
      <c r="E5" s="280"/>
      <c r="F5" s="281"/>
      <c r="G5" s="69"/>
      <c r="H5" s="279"/>
      <c r="I5" s="280"/>
      <c r="J5" s="281"/>
    </row>
    <row r="6" spans="2:10" ht="12.75" x14ac:dyDescent="0.2">
      <c r="B6" s="33"/>
      <c r="C6" s="32" t="s">
        <v>1</v>
      </c>
      <c r="D6" s="279"/>
      <c r="E6" s="280"/>
      <c r="F6" s="281"/>
      <c r="G6" s="69"/>
      <c r="H6" s="279"/>
      <c r="I6" s="280"/>
      <c r="J6" s="281"/>
    </row>
    <row r="7" spans="2:10" ht="12.75" x14ac:dyDescent="0.2">
      <c r="B7" s="33" t="s">
        <v>249</v>
      </c>
      <c r="C7" s="140" t="s">
        <v>26</v>
      </c>
      <c r="D7" s="282"/>
      <c r="E7" s="283"/>
      <c r="F7" s="284"/>
      <c r="G7" s="69"/>
      <c r="H7" s="282"/>
      <c r="I7" s="283"/>
      <c r="J7" s="284"/>
    </row>
    <row r="8" spans="2:10" ht="12.75" x14ac:dyDescent="0.2">
      <c r="B8" s="33" t="s">
        <v>250</v>
      </c>
      <c r="C8" s="140" t="s">
        <v>29</v>
      </c>
      <c r="D8" s="282">
        <f>SUM(D9:D11)</f>
        <v>0</v>
      </c>
      <c r="E8" s="283">
        <f t="shared" ref="E8:F8" si="4">SUM(E9:E11)</f>
        <v>0</v>
      </c>
      <c r="F8" s="284">
        <f t="shared" si="4"/>
        <v>0</v>
      </c>
      <c r="G8" s="69"/>
      <c r="H8" s="282"/>
      <c r="I8" s="283"/>
      <c r="J8" s="284"/>
    </row>
    <row r="9" spans="2:10" ht="12.75" x14ac:dyDescent="0.2">
      <c r="B9" s="33"/>
      <c r="C9" s="32" t="s">
        <v>30</v>
      </c>
      <c r="D9" s="279"/>
      <c r="E9" s="280"/>
      <c r="F9" s="281"/>
      <c r="G9" s="69"/>
      <c r="H9" s="279"/>
      <c r="I9" s="280"/>
      <c r="J9" s="281"/>
    </row>
    <row r="10" spans="2:10" ht="12.75" x14ac:dyDescent="0.2">
      <c r="B10" s="33"/>
      <c r="C10" s="32" t="s">
        <v>36</v>
      </c>
      <c r="D10" s="279"/>
      <c r="E10" s="280"/>
      <c r="F10" s="281"/>
      <c r="G10" s="69"/>
      <c r="H10" s="279"/>
      <c r="I10" s="280"/>
      <c r="J10" s="281"/>
    </row>
    <row r="11" spans="2:10" ht="12.75" x14ac:dyDescent="0.2">
      <c r="B11" s="33"/>
      <c r="C11" s="32" t="s">
        <v>44</v>
      </c>
      <c r="D11" s="279"/>
      <c r="E11" s="280"/>
      <c r="F11" s="281"/>
      <c r="G11" s="69"/>
      <c r="H11" s="279"/>
      <c r="I11" s="280"/>
      <c r="J11" s="281"/>
    </row>
    <row r="12" spans="2:10" ht="12.75" x14ac:dyDescent="0.2">
      <c r="B12" s="33" t="s">
        <v>251</v>
      </c>
      <c r="C12" s="140" t="s">
        <v>50</v>
      </c>
      <c r="D12" s="282">
        <f>SUM(D13:D16)</f>
        <v>0</v>
      </c>
      <c r="E12" s="283">
        <f t="shared" ref="E12:F12" si="5">SUM(E13:E16)</f>
        <v>0</v>
      </c>
      <c r="F12" s="284">
        <f t="shared" si="5"/>
        <v>0</v>
      </c>
      <c r="G12" s="69"/>
      <c r="H12" s="282"/>
      <c r="I12" s="283"/>
      <c r="J12" s="284"/>
    </row>
    <row r="13" spans="2:10" ht="12.75" x14ac:dyDescent="0.2">
      <c r="B13" s="33"/>
      <c r="C13" s="32" t="s">
        <v>55</v>
      </c>
      <c r="D13" s="279"/>
      <c r="E13" s="280"/>
      <c r="F13" s="281"/>
      <c r="G13" s="69"/>
      <c r="H13" s="279"/>
      <c r="I13" s="280"/>
      <c r="J13" s="281"/>
    </row>
    <row r="14" spans="2:10" ht="12.75" x14ac:dyDescent="0.2">
      <c r="B14" s="33"/>
      <c r="C14" s="32" t="s">
        <v>54</v>
      </c>
      <c r="D14" s="279"/>
      <c r="E14" s="280"/>
      <c r="F14" s="281"/>
      <c r="G14" s="69"/>
      <c r="H14" s="279"/>
      <c r="I14" s="280"/>
      <c r="J14" s="281"/>
    </row>
    <row r="15" spans="2:10" ht="12.75" x14ac:dyDescent="0.2">
      <c r="B15" s="33"/>
      <c r="C15" s="32" t="s">
        <v>64</v>
      </c>
      <c r="D15" s="279"/>
      <c r="E15" s="280"/>
      <c r="F15" s="281"/>
      <c r="G15" s="69"/>
      <c r="H15" s="279"/>
      <c r="I15" s="280"/>
      <c r="J15" s="281"/>
    </row>
    <row r="16" spans="2:10" ht="12.75" x14ac:dyDescent="0.2">
      <c r="B16" s="33"/>
      <c r="C16" s="32" t="s">
        <v>73</v>
      </c>
      <c r="D16" s="279"/>
      <c r="E16" s="280"/>
      <c r="F16" s="281"/>
      <c r="G16" s="69"/>
      <c r="H16" s="279"/>
      <c r="I16" s="280"/>
      <c r="J16" s="281"/>
    </row>
    <row r="17" spans="2:10" ht="12.75" x14ac:dyDescent="0.2">
      <c r="B17" s="33" t="s">
        <v>252</v>
      </c>
      <c r="C17" s="140" t="s">
        <v>85</v>
      </c>
      <c r="D17" s="282">
        <f>SUM(D18:D19)</f>
        <v>3202385780.8042192</v>
      </c>
      <c r="E17" s="283">
        <f t="shared" ref="E17:F17" si="6">SUM(E18:E19)</f>
        <v>595257991.28424549</v>
      </c>
      <c r="F17" s="284">
        <f t="shared" si="6"/>
        <v>595257991.28424549</v>
      </c>
      <c r="G17" s="69"/>
      <c r="H17" s="282">
        <f t="shared" ref="H17" si="7">SUM(H18:H19)</f>
        <v>25321189894.731037</v>
      </c>
      <c r="I17" s="283">
        <f t="shared" ref="I17" si="8">SUM(I18:I19)</f>
        <v>4542758354.5376644</v>
      </c>
      <c r="J17" s="284">
        <f t="shared" ref="J17" si="9">SUM(J18:J19)</f>
        <v>4542758354.5376644</v>
      </c>
    </row>
    <row r="18" spans="2:10" ht="12.75" x14ac:dyDescent="0.2">
      <c r="B18" s="33"/>
      <c r="C18" s="32" t="s">
        <v>86</v>
      </c>
      <c r="D18" s="279">
        <f>'4.1.5'!C11</f>
        <v>1861852198.141988</v>
      </c>
      <c r="E18" s="280">
        <f>'4.1.5'!D11</f>
        <v>313293679.62328708</v>
      </c>
      <c r="F18" s="281">
        <f>'4.1.5'!E11</f>
        <v>313293679.62328708</v>
      </c>
      <c r="G18" s="69"/>
      <c r="H18" s="279">
        <f>'4.1.5'!C12</f>
        <v>18618521981.41988</v>
      </c>
      <c r="I18" s="280">
        <f>'4.1.5'!D12</f>
        <v>3132936796.2328715</v>
      </c>
      <c r="J18" s="281">
        <f>'4.1.5'!E12</f>
        <v>3132936796.2328715</v>
      </c>
    </row>
    <row r="19" spans="2:10" ht="12.75" x14ac:dyDescent="0.2">
      <c r="B19" s="33"/>
      <c r="C19" s="32" t="s">
        <v>92</v>
      </c>
      <c r="D19" s="279">
        <f>'4.1.5'!C18</f>
        <v>1340533582.6622314</v>
      </c>
      <c r="E19" s="280">
        <f>'4.1.5'!D18</f>
        <v>281964311.66095847</v>
      </c>
      <c r="F19" s="281">
        <f>'4.1.5'!E18</f>
        <v>281964311.66095847</v>
      </c>
      <c r="G19" s="69"/>
      <c r="H19" s="279">
        <f>'4.1.5'!C19</f>
        <v>6702667913.3111572</v>
      </c>
      <c r="I19" s="280">
        <f>'4.1.5'!D19</f>
        <v>1409821558.3047924</v>
      </c>
      <c r="J19" s="281">
        <f>'4.1.5'!E19</f>
        <v>1409821558.3047924</v>
      </c>
    </row>
    <row r="20" spans="2:10" ht="12.75" x14ac:dyDescent="0.2">
      <c r="B20" s="33" t="s">
        <v>253</v>
      </c>
      <c r="C20" s="140" t="s">
        <v>104</v>
      </c>
      <c r="D20" s="282">
        <f>'4.1.6'!C4</f>
        <v>426079404.28767049</v>
      </c>
      <c r="E20" s="283">
        <f>'4.1.6'!D4</f>
        <v>426079404.28767049</v>
      </c>
      <c r="F20" s="284">
        <f>'4.1.6'!E4</f>
        <v>426079404.28767049</v>
      </c>
      <c r="G20" s="69"/>
      <c r="H20" s="282">
        <f>'4.1.6'!C5</f>
        <v>2130397021.4383526</v>
      </c>
      <c r="I20" s="283">
        <f>'4.1.6'!D5</f>
        <v>2130397021.4383526</v>
      </c>
      <c r="J20" s="284">
        <f>'4.1.6'!E5</f>
        <v>2130397021.4383526</v>
      </c>
    </row>
    <row r="21" spans="2:10" ht="12.75" x14ac:dyDescent="0.2">
      <c r="B21" s="33" t="s">
        <v>254</v>
      </c>
      <c r="C21" s="140" t="s">
        <v>112</v>
      </c>
      <c r="D21" s="282"/>
      <c r="E21" s="283"/>
      <c r="F21" s="284"/>
      <c r="G21" s="69"/>
      <c r="H21" s="282"/>
      <c r="I21" s="283"/>
      <c r="J21" s="284"/>
    </row>
    <row r="22" spans="2:10" ht="12.75" x14ac:dyDescent="0.2">
      <c r="B22" s="33" t="s">
        <v>255</v>
      </c>
      <c r="C22" s="140" t="s">
        <v>119</v>
      </c>
      <c r="D22" s="282"/>
      <c r="E22" s="283"/>
      <c r="F22" s="284"/>
      <c r="G22" s="69"/>
      <c r="H22" s="282"/>
      <c r="I22" s="283"/>
      <c r="J22" s="284"/>
    </row>
    <row r="23" spans="2:10" ht="12.75" x14ac:dyDescent="0.2">
      <c r="B23" s="33" t="s">
        <v>256</v>
      </c>
      <c r="C23" s="140" t="s">
        <v>130</v>
      </c>
      <c r="D23" s="282">
        <f>'4.1.9'!C4</f>
        <v>300000000</v>
      </c>
      <c r="E23" s="283">
        <f>'4.1.9'!D4</f>
        <v>300000000</v>
      </c>
      <c r="F23" s="284">
        <f>'4.1.9'!E4</f>
        <v>300000000</v>
      </c>
      <c r="G23" s="69"/>
      <c r="H23" s="282">
        <f>'4.1.9'!C5</f>
        <v>300000000</v>
      </c>
      <c r="I23" s="283">
        <f>'4.1.9'!D5</f>
        <v>300000000</v>
      </c>
      <c r="J23" s="284">
        <f>'4.1.9'!E5</f>
        <v>300000000</v>
      </c>
    </row>
    <row r="24" spans="2:10" ht="12.75" x14ac:dyDescent="0.2">
      <c r="B24" s="33" t="s">
        <v>257</v>
      </c>
      <c r="C24" s="140" t="s">
        <v>138</v>
      </c>
      <c r="D24" s="282">
        <f>'4.1.10'!C4</f>
        <v>448953600</v>
      </c>
      <c r="E24" s="283">
        <f>'4.1.10'!D4</f>
        <v>448953600</v>
      </c>
      <c r="F24" s="284">
        <f>'4.1.10'!E4</f>
        <v>448953600</v>
      </c>
      <c r="G24" s="69"/>
      <c r="H24" s="282">
        <f>'4.1.10'!C5</f>
        <v>2244768000</v>
      </c>
      <c r="I24" s="283">
        <f>'4.1.10'!D5</f>
        <v>2244768000</v>
      </c>
      <c r="J24" s="284">
        <f>'4.1.10'!E5</f>
        <v>2244768000</v>
      </c>
    </row>
    <row r="25" spans="2:10" ht="13.5" thickBot="1" x14ac:dyDescent="0.25">
      <c r="B25" s="141" t="s">
        <v>259</v>
      </c>
      <c r="C25" s="143"/>
      <c r="D25" s="275">
        <f>SUM(D26,D27,D28)</f>
        <v>2877113148.308672</v>
      </c>
      <c r="E25" s="275">
        <f t="shared" ref="E25:F25" si="10">SUM(E26,E27,E28)</f>
        <v>2877113148.308672</v>
      </c>
      <c r="F25" s="275">
        <f t="shared" si="10"/>
        <v>2877113148.308672</v>
      </c>
      <c r="G25" s="69"/>
      <c r="H25" s="275">
        <f>SUM(H26,H27,H28)</f>
        <v>16251220315.495777</v>
      </c>
      <c r="I25" s="275">
        <f t="shared" ref="I25" si="11">SUM(I26,I27,I28)</f>
        <v>16251220315.495777</v>
      </c>
      <c r="J25" s="275">
        <f t="shared" ref="J25" si="12">SUM(J26,J27,J28)</f>
        <v>16251220315.495777</v>
      </c>
    </row>
    <row r="26" spans="2:10" ht="13.5" thickTop="1" x14ac:dyDescent="0.2">
      <c r="B26" s="34" t="s">
        <v>260</v>
      </c>
      <c r="C26" s="140" t="s">
        <v>154</v>
      </c>
      <c r="D26" s="282"/>
      <c r="E26" s="283"/>
      <c r="F26" s="284"/>
      <c r="G26" s="69"/>
      <c r="H26" s="282"/>
      <c r="I26" s="283"/>
      <c r="J26" s="284"/>
    </row>
    <row r="27" spans="2:10" ht="12.75" x14ac:dyDescent="0.2">
      <c r="B27" s="34" t="s">
        <v>261</v>
      </c>
      <c r="C27" s="140" t="s">
        <v>158</v>
      </c>
      <c r="D27" s="282"/>
      <c r="E27" s="283"/>
      <c r="F27" s="284"/>
      <c r="G27" s="69"/>
      <c r="H27" s="282"/>
      <c r="I27" s="283"/>
      <c r="J27" s="284"/>
    </row>
    <row r="28" spans="2:10" ht="12.75" x14ac:dyDescent="0.2">
      <c r="B28" s="34" t="s">
        <v>262</v>
      </c>
      <c r="C28" s="140" t="s">
        <v>161</v>
      </c>
      <c r="D28" s="282">
        <f>SUM(D29:D32)</f>
        <v>2877113148.308672</v>
      </c>
      <c r="E28" s="283">
        <f t="shared" ref="E28:F28" si="13">SUM(E29:E32)</f>
        <v>2877113148.308672</v>
      </c>
      <c r="F28" s="284">
        <f t="shared" si="13"/>
        <v>2877113148.308672</v>
      </c>
      <c r="G28" s="69"/>
      <c r="H28" s="282">
        <f t="shared" ref="H28" si="14">SUM(H29:H32)</f>
        <v>16251220315.495777</v>
      </c>
      <c r="I28" s="283">
        <f t="shared" ref="I28" si="15">SUM(I29:I32)</f>
        <v>16251220315.495777</v>
      </c>
      <c r="J28" s="284">
        <f t="shared" ref="J28" si="16">SUM(J29:J32)</f>
        <v>16251220315.495777</v>
      </c>
    </row>
    <row r="29" spans="2:10" ht="12.75" x14ac:dyDescent="0.2">
      <c r="B29" s="34"/>
      <c r="C29" s="32" t="s">
        <v>162</v>
      </c>
      <c r="D29" s="279">
        <f>'4.2.3'!C11</f>
        <v>1588465143.6198881</v>
      </c>
      <c r="E29" s="280">
        <f>'4.2.3'!D11</f>
        <v>1588465143.6198881</v>
      </c>
      <c r="F29" s="281">
        <f>'4.2.3'!E11</f>
        <v>1588465143.6198881</v>
      </c>
      <c r="G29" s="69"/>
      <c r="H29" s="279">
        <f>'4.2.3'!C12</f>
        <v>7942325718.0994396</v>
      </c>
      <c r="I29" s="280">
        <f>'4.2.3'!D12</f>
        <v>7942325718.0994396</v>
      </c>
      <c r="J29" s="281">
        <f>'4.2.3'!E12</f>
        <v>7942325718.0994396</v>
      </c>
    </row>
    <row r="30" spans="2:10" ht="12.75" x14ac:dyDescent="0.2">
      <c r="B30" s="34"/>
      <c r="C30" s="32" t="s">
        <v>168</v>
      </c>
      <c r="D30" s="279">
        <f>'4.2.3'!C18</f>
        <v>0</v>
      </c>
      <c r="E30" s="280">
        <f>'4.2.3'!D18</f>
        <v>0</v>
      </c>
      <c r="F30" s="281">
        <f>'4.2.3'!E18</f>
        <v>0</v>
      </c>
      <c r="G30" s="69"/>
      <c r="H30" s="279"/>
      <c r="I30" s="280"/>
      <c r="J30" s="281"/>
    </row>
    <row r="31" spans="2:10" ht="12.75" x14ac:dyDescent="0.2">
      <c r="B31" s="34"/>
      <c r="C31" s="32" t="s">
        <v>171</v>
      </c>
      <c r="D31" s="279">
        <f>'4.2.3'!C25</f>
        <v>653940778.49878585</v>
      </c>
      <c r="E31" s="280">
        <f>'4.2.3'!D25</f>
        <v>653940778.49878585</v>
      </c>
      <c r="F31" s="281">
        <f>'4.2.3'!E25</f>
        <v>653940778.49878585</v>
      </c>
      <c r="G31" s="69"/>
      <c r="H31" s="279">
        <f>'4.2.3'!C26</f>
        <v>1961822335.4963577</v>
      </c>
      <c r="I31" s="280">
        <f>'4.2.3'!D26</f>
        <v>1961822335.4963577</v>
      </c>
      <c r="J31" s="281">
        <f>'4.2.3'!E26</f>
        <v>1961822335.4963577</v>
      </c>
    </row>
    <row r="32" spans="2:10" ht="12.75" x14ac:dyDescent="0.2">
      <c r="B32" s="34"/>
      <c r="C32" s="32" t="s">
        <v>179</v>
      </c>
      <c r="D32" s="279">
        <f>'4.2.3'!C32</f>
        <v>634707226.18999803</v>
      </c>
      <c r="E32" s="280">
        <f>'4.2.3'!D32</f>
        <v>634707226.18999803</v>
      </c>
      <c r="F32" s="281">
        <f>'4.2.3'!E32</f>
        <v>634707226.18999803</v>
      </c>
      <c r="G32" s="69"/>
      <c r="H32" s="279">
        <f>'4.2.3'!C33</f>
        <v>6347072261.8999805</v>
      </c>
      <c r="I32" s="280">
        <f>'4.2.3'!D33</f>
        <v>6347072261.8999805</v>
      </c>
      <c r="J32" s="281">
        <f>'4.2.3'!E33</f>
        <v>6347072261.8999805</v>
      </c>
    </row>
    <row r="33" spans="2:10" ht="13.5" thickBot="1" x14ac:dyDescent="0.25">
      <c r="B33" s="141" t="s">
        <v>263</v>
      </c>
      <c r="C33" s="141"/>
      <c r="D33" s="275">
        <f>SUM(D34,D35,D40,D41)</f>
        <v>0</v>
      </c>
      <c r="E33" s="275">
        <f t="shared" ref="E33:F33" si="17">SUM(E34,E35,E40,E41)</f>
        <v>0</v>
      </c>
      <c r="F33" s="275">
        <f t="shared" si="17"/>
        <v>0</v>
      </c>
      <c r="G33" s="69"/>
      <c r="H33" s="275"/>
      <c r="I33" s="275"/>
      <c r="J33" s="275"/>
    </row>
    <row r="34" spans="2:10" ht="13.5" thickTop="1" x14ac:dyDescent="0.2">
      <c r="B34" s="35" t="s">
        <v>264</v>
      </c>
      <c r="C34" s="140" t="s">
        <v>184</v>
      </c>
      <c r="D34" s="285"/>
      <c r="E34" s="286"/>
      <c r="F34" s="287"/>
      <c r="G34" s="69"/>
      <c r="H34" s="285"/>
      <c r="I34" s="286"/>
      <c r="J34" s="287"/>
    </row>
    <row r="35" spans="2:10" ht="12.75" x14ac:dyDescent="0.2">
      <c r="B35" s="35" t="s">
        <v>265</v>
      </c>
      <c r="C35" s="140" t="s">
        <v>186</v>
      </c>
      <c r="D35" s="282">
        <f>SUM(D36:D40)</f>
        <v>0</v>
      </c>
      <c r="E35" s="283">
        <f t="shared" ref="E35:F35" si="18">SUM(E36:E40)</f>
        <v>0</v>
      </c>
      <c r="F35" s="284">
        <f t="shared" si="18"/>
        <v>0</v>
      </c>
      <c r="G35" s="69"/>
      <c r="H35" s="282"/>
      <c r="I35" s="283"/>
      <c r="J35" s="284"/>
    </row>
    <row r="36" spans="2:10" ht="12.75" x14ac:dyDescent="0.2">
      <c r="B36" s="35"/>
      <c r="C36" s="32" t="s">
        <v>187</v>
      </c>
      <c r="D36" s="279"/>
      <c r="E36" s="280"/>
      <c r="F36" s="281"/>
      <c r="G36" s="69"/>
      <c r="H36" s="279"/>
      <c r="I36" s="280"/>
      <c r="J36" s="281"/>
    </row>
    <row r="37" spans="2:10" ht="12.75" x14ac:dyDescent="0.2">
      <c r="B37" s="35"/>
      <c r="C37" s="32" t="s">
        <v>193</v>
      </c>
      <c r="D37" s="279"/>
      <c r="E37" s="280"/>
      <c r="F37" s="281"/>
      <c r="G37" s="69"/>
      <c r="H37" s="279"/>
      <c r="I37" s="280"/>
      <c r="J37" s="281"/>
    </row>
    <row r="38" spans="2:10" ht="12.75" x14ac:dyDescent="0.2">
      <c r="B38" s="35"/>
      <c r="C38" s="32" t="s">
        <v>200</v>
      </c>
      <c r="D38" s="279"/>
      <c r="E38" s="280"/>
      <c r="F38" s="281"/>
      <c r="G38" s="69"/>
      <c r="H38" s="279"/>
      <c r="I38" s="280"/>
      <c r="J38" s="281"/>
    </row>
    <row r="39" spans="2:10" ht="12.75" x14ac:dyDescent="0.2">
      <c r="B39" s="35"/>
      <c r="C39" s="32" t="s">
        <v>203</v>
      </c>
      <c r="D39" s="279"/>
      <c r="E39" s="280"/>
      <c r="F39" s="281"/>
      <c r="G39" s="69"/>
      <c r="H39" s="279"/>
      <c r="I39" s="280"/>
      <c r="J39" s="281"/>
    </row>
    <row r="40" spans="2:10" ht="12.75" x14ac:dyDescent="0.2">
      <c r="B40" s="35" t="s">
        <v>266</v>
      </c>
      <c r="C40" s="140" t="s">
        <v>208</v>
      </c>
      <c r="D40" s="282"/>
      <c r="E40" s="283"/>
      <c r="F40" s="284"/>
      <c r="G40" s="69"/>
      <c r="H40" s="282"/>
      <c r="I40" s="283"/>
      <c r="J40" s="284"/>
    </row>
    <row r="41" spans="2:10" ht="12.75" x14ac:dyDescent="0.2">
      <c r="B41" s="35" t="s">
        <v>267</v>
      </c>
      <c r="C41" s="140" t="s">
        <v>209</v>
      </c>
      <c r="D41" s="282">
        <f>SUM(D42:D43)</f>
        <v>0</v>
      </c>
      <c r="E41" s="283">
        <f t="shared" ref="E41:F41" si="19">SUM(E42:E43)</f>
        <v>0</v>
      </c>
      <c r="F41" s="284">
        <f t="shared" si="19"/>
        <v>0</v>
      </c>
      <c r="G41" s="69"/>
      <c r="H41" s="282"/>
      <c r="I41" s="283"/>
      <c r="J41" s="284"/>
    </row>
    <row r="42" spans="2:10" ht="12.75" x14ac:dyDescent="0.2">
      <c r="B42" s="35"/>
      <c r="C42" s="32" t="s">
        <v>242</v>
      </c>
      <c r="D42" s="279"/>
      <c r="E42" s="280"/>
      <c r="F42" s="281"/>
      <c r="G42" s="69"/>
      <c r="H42" s="279"/>
      <c r="I42" s="280"/>
      <c r="J42" s="281"/>
    </row>
    <row r="43" spans="2:10" ht="12.75" x14ac:dyDescent="0.2">
      <c r="B43" s="35"/>
      <c r="C43" s="32" t="s">
        <v>241</v>
      </c>
      <c r="D43" s="279"/>
      <c r="E43" s="280"/>
      <c r="F43" s="281"/>
      <c r="G43" s="69"/>
      <c r="H43" s="279"/>
      <c r="I43" s="280"/>
      <c r="J43" s="281"/>
    </row>
    <row r="44" spans="2:10" ht="13.5" thickBot="1" x14ac:dyDescent="0.25">
      <c r="D44" s="288"/>
      <c r="E44" s="289"/>
      <c r="F44" s="290"/>
      <c r="G44" s="297"/>
      <c r="H44" s="288"/>
      <c r="I44" s="289"/>
      <c r="J44" s="290"/>
    </row>
    <row r="45" spans="2:10" ht="14.25" thickTop="1" thickBot="1" x14ac:dyDescent="0.25">
      <c r="C45" s="263" t="s">
        <v>596</v>
      </c>
      <c r="D45" s="291">
        <f>SUM(D3,D25,D33)</f>
        <v>7254531933.4005623</v>
      </c>
      <c r="E45" s="292">
        <f t="shared" ref="E45:J45" si="20">SUM(E3,E25,E33)</f>
        <v>4647404143.8805885</v>
      </c>
      <c r="F45" s="293">
        <f t="shared" si="20"/>
        <v>4647404143.8805885</v>
      </c>
      <c r="G45" s="297"/>
      <c r="H45" s="291">
        <f>SUM(H3,H25,H33)</f>
        <v>46247575231.665161</v>
      </c>
      <c r="I45" s="292">
        <f t="shared" si="20"/>
        <v>25469143691.471794</v>
      </c>
      <c r="J45" s="293">
        <f t="shared" si="20"/>
        <v>25469143691.471794</v>
      </c>
    </row>
    <row r="46" spans="2:10" ht="15.75" thickTop="1" x14ac:dyDescent="0.25">
      <c r="G46" s="297"/>
    </row>
    <row r="47" spans="2:10" x14ac:dyDescent="0.25">
      <c r="G47" s="297"/>
    </row>
    <row r="48" spans="2:10" x14ac:dyDescent="0.25">
      <c r="G48" s="297"/>
    </row>
    <row r="49" spans="7:7" x14ac:dyDescent="0.25">
      <c r="G49" s="297"/>
    </row>
    <row r="50" spans="7:7" x14ac:dyDescent="0.25">
      <c r="G50" s="297"/>
    </row>
    <row r="51" spans="7:7" x14ac:dyDescent="0.25">
      <c r="G51" s="297"/>
    </row>
  </sheetData>
  <hyperlinks>
    <hyperlink ref="C4" location="'4.1.1'!A1" display="Registration of Partial Care facilities"/>
    <hyperlink ref="C7" location="'4.1.2'!A1" display="Registration of ECD programmes"/>
    <hyperlink ref="C8" location="'4.1.3'!A1" display="Subsidies to ECD centres"/>
    <hyperlink ref="C12" location="'4.1.4'!A1" display="Inspection, Monitoring and Assessment of Partial Care and ECD services"/>
    <hyperlink ref="C17" location="'4.1.5'!A1" display="Funding to establish ECD centres and improve infrastructure"/>
    <hyperlink ref="C20" location="'4.1.6'!A1" display="Equipment and LSM materials for ECD centres"/>
    <hyperlink ref="C21" location="'4.1.7'!A1" display="Caregiver capacity building courses"/>
    <hyperlink ref="C22" location="'4.1.8'!A1" display="Home-based visiting programme"/>
    <hyperlink ref="C23" location="'4.1.9'!A1" display="Community based playgroups"/>
    <hyperlink ref="C24" location="'4.1.10'!A1" display="Toy libraries"/>
    <hyperlink ref="C26" location="'4.2.1'!A1" display="Training of ECD practitioners"/>
    <hyperlink ref="C27" location="'4.2.2'!A1" display="The payment of stipends to those in training"/>
    <hyperlink ref="C28" location="'4.2.3'!A1" display="Services for children in Grade R"/>
    <hyperlink ref="C34" location="'4.3.1'!A1" display="Access to qualified nurses"/>
    <hyperlink ref="C35" location="'4.3.2'!A1" display="Early antenatal care and maternal and child nutrition in the first 1,000 days"/>
    <hyperlink ref="C40" location="'4.3.3'!A1" display="Emergency obstetric care"/>
    <hyperlink ref="C41" location="'4.3.4'!A1" display="Immunisation, deworming and growth monitoring (Road to Health bookle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9"/>
  <sheetViews>
    <sheetView showGridLines="0" workbookViewId="0">
      <pane xSplit="3" ySplit="3" topLeftCell="D31" activePane="bottomRight" state="frozen"/>
      <selection pane="topRight" activeCell="D1" sqref="D1"/>
      <selection pane="bottomLeft" activeCell="A4" sqref="A4"/>
      <selection pane="bottomRight"/>
    </sheetView>
  </sheetViews>
  <sheetFormatPr defaultRowHeight="15" x14ac:dyDescent="0.25"/>
  <cols>
    <col min="1" max="1" width="1.140625" style="30" customWidth="1"/>
    <col min="3" max="3" width="65.140625" customWidth="1"/>
    <col min="4" max="6" width="21.85546875" customWidth="1"/>
    <col min="7" max="16384" width="9.140625" style="30"/>
  </cols>
  <sheetData>
    <row r="1" spans="2:6" ht="20.25" x14ac:dyDescent="0.3">
      <c r="B1" s="294" t="s">
        <v>603</v>
      </c>
      <c r="C1" s="142"/>
      <c r="D1" s="298"/>
    </row>
    <row r="2" spans="2:6" ht="15.75" x14ac:dyDescent="0.25">
      <c r="D2" s="299" t="s">
        <v>335</v>
      </c>
      <c r="E2" s="300" t="s">
        <v>336</v>
      </c>
      <c r="F2" s="301" t="s">
        <v>337</v>
      </c>
    </row>
    <row r="3" spans="2:6" ht="15.75" x14ac:dyDescent="0.25">
      <c r="B3" s="141" t="s">
        <v>258</v>
      </c>
      <c r="C3" s="265"/>
      <c r="D3" s="302"/>
      <c r="E3" s="302"/>
      <c r="F3" s="302"/>
    </row>
    <row r="4" spans="2:6" ht="12.75" x14ac:dyDescent="0.2">
      <c r="B4" s="33" t="s">
        <v>247</v>
      </c>
      <c r="C4" s="266" t="s">
        <v>19</v>
      </c>
      <c r="D4" s="303"/>
      <c r="E4" s="304"/>
      <c r="F4" s="305"/>
    </row>
    <row r="5" spans="2:6" ht="12.75" x14ac:dyDescent="0.2">
      <c r="B5" s="33"/>
      <c r="C5" s="32" t="str">
        <f>'4.1.1'!B23</f>
        <v>Applications for health clearance certificates procesed each year</v>
      </c>
      <c r="D5" s="306">
        <f>'4.1.1'!C23</f>
        <v>24944.945030968494</v>
      </c>
      <c r="E5" s="307">
        <f>'4.1.1'!D23</f>
        <v>24944.945030968494</v>
      </c>
      <c r="F5" s="308">
        <f>'4.1.1'!E23</f>
        <v>24944.945030968494</v>
      </c>
    </row>
    <row r="6" spans="2:6" ht="12.75" x14ac:dyDescent="0.2">
      <c r="B6" s="33"/>
      <c r="C6" s="32" t="str">
        <f>'4.1.1'!B24</f>
        <v>Applications for registration as a partial care facility processed each year</v>
      </c>
      <c r="D6" s="309">
        <f>'4.1.1'!C24</f>
        <v>26940.540633445973</v>
      </c>
      <c r="E6" s="310">
        <f>'4.1.1'!D24</f>
        <v>26940.540633445973</v>
      </c>
      <c r="F6" s="311">
        <f>'4.1.1'!E24</f>
        <v>26940.540633445973</v>
      </c>
    </row>
    <row r="7" spans="2:6" ht="12.75" x14ac:dyDescent="0.2">
      <c r="B7" s="33" t="s">
        <v>249</v>
      </c>
      <c r="C7" s="267" t="s">
        <v>26</v>
      </c>
      <c r="D7" s="312"/>
      <c r="E7" s="313"/>
      <c r="F7" s="314"/>
    </row>
    <row r="8" spans="2:6" ht="12.75" x14ac:dyDescent="0.2">
      <c r="B8" s="33"/>
      <c r="C8" s="242" t="str">
        <f>'4.1.2'!B9</f>
        <v>Number of programmes registered and/or reregistered per year</v>
      </c>
      <c r="D8" s="315">
        <f>'4.1.2'!C9</f>
        <v>72553.59545362537</v>
      </c>
      <c r="E8" s="316">
        <f>'4.1.2'!D9</f>
        <v>72553.59545362537</v>
      </c>
      <c r="F8" s="317">
        <f>'4.1.2'!E9</f>
        <v>72553.59545362537</v>
      </c>
    </row>
    <row r="9" spans="2:6" ht="12.75" x14ac:dyDescent="0.2">
      <c r="B9" s="33" t="s">
        <v>250</v>
      </c>
      <c r="C9" s="268" t="s">
        <v>29</v>
      </c>
      <c r="D9" s="309"/>
      <c r="E9" s="310"/>
      <c r="F9" s="311"/>
    </row>
    <row r="10" spans="2:6" ht="12.75" x14ac:dyDescent="0.2">
      <c r="B10" s="33"/>
      <c r="C10" s="242" t="str">
        <f>'4.1.3'!B30</f>
        <v>Number of children receiving subsidies</v>
      </c>
      <c r="D10" s="315">
        <f>'4.1.3'!C30</f>
        <v>1879259.8665050133</v>
      </c>
      <c r="E10" s="316">
        <f>'4.1.3'!D30</f>
        <v>1879259.8665050133</v>
      </c>
      <c r="F10" s="317">
        <f>'4.1.3'!E30</f>
        <v>1264921.9354992975</v>
      </c>
    </row>
    <row r="11" spans="2:6" ht="12.75" x14ac:dyDescent="0.2">
      <c r="B11" s="33"/>
      <c r="C11" s="130" t="str">
        <f>'4.1.3'!B31</f>
        <v>Number of ECD centres that will get subsidies</v>
      </c>
      <c r="D11" s="318">
        <f>'4.1.3'!C31</f>
        <v>68925.915680944105</v>
      </c>
      <c r="E11" s="319">
        <f>'4.1.3'!D31</f>
        <v>68925.915680944105</v>
      </c>
      <c r="F11" s="320">
        <f>'4.1.3'!E31</f>
        <v>68925.915680944105</v>
      </c>
    </row>
    <row r="12" spans="2:6" ht="12.75" x14ac:dyDescent="0.2">
      <c r="B12" s="33"/>
      <c r="C12" s="161" t="str">
        <f>'4.1.3'!B32</f>
        <v>Number of NPO registrations processed/re-processed per year</v>
      </c>
      <c r="D12" s="309">
        <f>'4.1.3'!C32</f>
        <v>8706.4314544350455</v>
      </c>
      <c r="E12" s="310">
        <f>'4.1.3'!D32</f>
        <v>8706.4314544350455</v>
      </c>
      <c r="F12" s="311">
        <f>'4.1.3'!E32</f>
        <v>8706.4314544350455</v>
      </c>
    </row>
    <row r="13" spans="2:6" ht="12.75" x14ac:dyDescent="0.2">
      <c r="B13" s="33" t="s">
        <v>251</v>
      </c>
      <c r="C13" s="140" t="s">
        <v>50</v>
      </c>
      <c r="D13" s="312"/>
      <c r="E13" s="313"/>
      <c r="F13" s="314"/>
    </row>
    <row r="14" spans="2:6" ht="12.75" x14ac:dyDescent="0.2">
      <c r="B14" s="33"/>
      <c r="C14" s="242" t="str">
        <f>'4.1.4'!B37</f>
        <v>Number of financial inspections performed per year (on site and of AFS)</v>
      </c>
      <c r="D14" s="315">
        <f>'4.1.4'!C37</f>
        <v>399119.12049549591</v>
      </c>
      <c r="E14" s="316">
        <f>'4.1.4'!D37</f>
        <v>399119.12049549591</v>
      </c>
      <c r="F14" s="317">
        <f>'4.1.4'!E37</f>
        <v>399119.12049549591</v>
      </c>
    </row>
    <row r="15" spans="2:6" ht="12.75" x14ac:dyDescent="0.2">
      <c r="B15" s="33"/>
      <c r="C15" s="130" t="str">
        <f>'4.1.4'!B38</f>
        <v>Number of enforcement activities per year</v>
      </c>
      <c r="D15" s="318">
        <f>'4.1.4'!C38</f>
        <v>1995.5956024774796</v>
      </c>
      <c r="E15" s="319">
        <f>'4.1.4'!D38</f>
        <v>1995.5956024774796</v>
      </c>
      <c r="F15" s="320">
        <f>'4.1.4'!E38</f>
        <v>1995.5956024774796</v>
      </c>
    </row>
    <row r="16" spans="2:6" ht="12.75" x14ac:dyDescent="0.2">
      <c r="B16" s="33"/>
      <c r="C16" s="161" t="str">
        <f>'4.1.4'!B39</f>
        <v>Number of facilities where DQA assesments are performed per year</v>
      </c>
      <c r="D16" s="309">
        <f>'4.1.4'!C39</f>
        <v>18138.398863406343</v>
      </c>
      <c r="E16" s="310">
        <f>'4.1.4'!D39</f>
        <v>18138.398863406343</v>
      </c>
      <c r="F16" s="311">
        <f>'4.1.4'!E39</f>
        <v>18138.398863406343</v>
      </c>
    </row>
    <row r="17" spans="2:6" ht="12.75" x14ac:dyDescent="0.2">
      <c r="B17" s="33" t="s">
        <v>252</v>
      </c>
      <c r="C17" s="140" t="s">
        <v>85</v>
      </c>
      <c r="D17" s="312"/>
      <c r="E17" s="313"/>
      <c r="F17" s="314"/>
    </row>
    <row r="18" spans="2:6" ht="12.75" x14ac:dyDescent="0.2">
      <c r="B18" s="33"/>
      <c r="C18" s="242" t="str">
        <f>'4.1.5'!B23</f>
        <v>New facilities built per year</v>
      </c>
      <c r="D18" s="315">
        <f>'4.1.5'!C23</f>
        <v>3103.0869969033133</v>
      </c>
      <c r="E18" s="316">
        <f>'4.1.5'!D23</f>
        <v>522.15613270547851</v>
      </c>
      <c r="F18" s="317">
        <f>'4.1.5'!E23</f>
        <v>522.15613270547851</v>
      </c>
    </row>
    <row r="19" spans="2:6" ht="12.75" x14ac:dyDescent="0.2">
      <c r="B19" s="33"/>
      <c r="C19" s="130" t="str">
        <f>'4.1.5'!B24</f>
        <v>Service connections provided</v>
      </c>
      <c r="D19" s="318">
        <f>'4.1.5'!C24</f>
        <v>12412.347987613255</v>
      </c>
      <c r="E19" s="319">
        <f>'4.1.5'!D24</f>
        <v>2610.7806635273928</v>
      </c>
      <c r="F19" s="320">
        <f>'4.1.5'!E24</f>
        <v>2610.7806635273928</v>
      </c>
    </row>
    <row r="20" spans="2:6" ht="12.75" x14ac:dyDescent="0.2">
      <c r="B20" s="33"/>
      <c r="C20" s="161" t="str">
        <f>'4.1.5'!B25</f>
        <v>Infrastructure upgrades performed</v>
      </c>
      <c r="D20" s="309">
        <f>'4.1.5'!C25</f>
        <v>19859.756780181211</v>
      </c>
      <c r="E20" s="310">
        <f>'4.1.5'!D25</f>
        <v>4177.249061643829</v>
      </c>
      <c r="F20" s="311">
        <f>'4.1.5'!E25</f>
        <v>4177.249061643829</v>
      </c>
    </row>
    <row r="21" spans="2:6" ht="12.75" x14ac:dyDescent="0.2">
      <c r="B21" s="33" t="s">
        <v>253</v>
      </c>
      <c r="C21" s="140" t="s">
        <v>104</v>
      </c>
      <c r="D21" s="312"/>
      <c r="E21" s="313"/>
      <c r="F21" s="314"/>
    </row>
    <row r="22" spans="2:6" ht="12.75" x14ac:dyDescent="0.2">
      <c r="B22" s="33"/>
      <c r="C22" s="234" t="str">
        <f>'4.1.6'!B9</f>
        <v>Number of ECD centres receiving the following per year:</v>
      </c>
      <c r="D22" s="315"/>
      <c r="E22" s="316"/>
      <c r="F22" s="317"/>
    </row>
    <row r="23" spans="2:6" ht="12.75" x14ac:dyDescent="0.2">
      <c r="B23" s="33"/>
      <c r="C23" s="130" t="str">
        <f>'4.1.6'!B10</f>
        <v>Set-up furniture, kitchen appliances and a solar geyser</v>
      </c>
      <c r="D23" s="318">
        <f>'4.1.6'!C10</f>
        <v>1253.1747184931485</v>
      </c>
      <c r="E23" s="319">
        <f>'4.1.6'!D10</f>
        <v>1253.1747184931485</v>
      </c>
      <c r="F23" s="320">
        <f>'4.1.6'!E10</f>
        <v>1253.1747184931485</v>
      </c>
    </row>
    <row r="24" spans="2:6" ht="12.75" x14ac:dyDescent="0.2">
      <c r="B24" s="33"/>
      <c r="C24" s="130" t="str">
        <f>'4.1.6'!B11</f>
        <v>Stock of toys and ECD materials</v>
      </c>
      <c r="D24" s="318">
        <f>'4.1.6'!C11</f>
        <v>1670.8996246575316</v>
      </c>
      <c r="E24" s="319">
        <f>'4.1.6'!D11</f>
        <v>1670.8996246575316</v>
      </c>
      <c r="F24" s="320">
        <f>'4.1.6'!E11</f>
        <v>1670.8996246575316</v>
      </c>
    </row>
    <row r="25" spans="2:6" ht="12.75" x14ac:dyDescent="0.2">
      <c r="B25" s="33"/>
      <c r="C25" s="161" t="str">
        <f>'4.1.6'!B12</f>
        <v>Set of outdoor playground equipment</v>
      </c>
      <c r="D25" s="309">
        <f>'4.1.6'!C12</f>
        <v>2088.624530821914</v>
      </c>
      <c r="E25" s="310">
        <f>'4.1.6'!D12</f>
        <v>2088.624530821914</v>
      </c>
      <c r="F25" s="311">
        <f>'4.1.6'!E12</f>
        <v>2088.624530821914</v>
      </c>
    </row>
    <row r="26" spans="2:6" ht="12.75" x14ac:dyDescent="0.2">
      <c r="B26" s="33" t="s">
        <v>254</v>
      </c>
      <c r="C26" s="140" t="s">
        <v>112</v>
      </c>
      <c r="D26" s="321"/>
      <c r="E26" s="322"/>
      <c r="F26" s="323"/>
    </row>
    <row r="27" spans="2:6" ht="12.75" x14ac:dyDescent="0.2">
      <c r="B27" s="33"/>
      <c r="C27" s="269" t="str">
        <f>'4.1.7'!B9</f>
        <v>Number of centres receiving training</v>
      </c>
      <c r="D27" s="312">
        <f>'4.1.7'!C9</f>
        <v>68925.915680944105</v>
      </c>
      <c r="E27" s="313">
        <f>'4.1.7'!D9</f>
        <v>68925.915680944105</v>
      </c>
      <c r="F27" s="314">
        <f>'4.1.7'!E9</f>
        <v>68925.915680944105</v>
      </c>
    </row>
    <row r="28" spans="2:6" ht="12.75" x14ac:dyDescent="0.2">
      <c r="B28" s="33" t="s">
        <v>255</v>
      </c>
      <c r="C28" s="140" t="s">
        <v>119</v>
      </c>
      <c r="D28" s="312"/>
      <c r="E28" s="313"/>
      <c r="F28" s="314"/>
    </row>
    <row r="29" spans="2:6" ht="12.75" x14ac:dyDescent="0.2">
      <c r="B29" s="33"/>
      <c r="C29" s="242" t="str">
        <f>'4.1.8'!B9</f>
        <v>Number of families visited each year</v>
      </c>
      <c r="D29" s="315">
        <f>'4.1.8'!C9</f>
        <v>160000</v>
      </c>
      <c r="E29" s="316">
        <f>'4.1.8'!D9</f>
        <v>80000</v>
      </c>
      <c r="F29" s="317">
        <f>'4.1.8'!E9</f>
        <v>120000</v>
      </c>
    </row>
    <row r="30" spans="2:6" ht="12.75" x14ac:dyDescent="0.2">
      <c r="B30" s="33"/>
      <c r="C30" s="161" t="str">
        <f>'4.1.8'!B10</f>
        <v>Number of home-based visiting teams in operation</v>
      </c>
      <c r="D30" s="309">
        <f>'4.1.8'!C10</f>
        <v>400</v>
      </c>
      <c r="E30" s="310">
        <f>'4.1.8'!D10</f>
        <v>200</v>
      </c>
      <c r="F30" s="311">
        <f>'4.1.8'!E10</f>
        <v>300</v>
      </c>
    </row>
    <row r="31" spans="2:6" ht="12.75" x14ac:dyDescent="0.2">
      <c r="B31" s="33" t="s">
        <v>256</v>
      </c>
      <c r="C31" s="140" t="s">
        <v>130</v>
      </c>
      <c r="D31" s="312"/>
      <c r="E31" s="313"/>
      <c r="F31" s="314"/>
    </row>
    <row r="32" spans="2:6" ht="12.75" x14ac:dyDescent="0.2">
      <c r="B32" s="33"/>
      <c r="C32" s="269" t="str">
        <f>'4.1.9'!B9</f>
        <v>Number of play group teams in operation</v>
      </c>
      <c r="D32" s="312">
        <f>'4.1.9'!C9</f>
        <v>1000</v>
      </c>
      <c r="E32" s="313">
        <f>'4.1.9'!D9</f>
        <v>1000</v>
      </c>
      <c r="F32" s="314">
        <f>'4.1.9'!E9</f>
        <v>1000</v>
      </c>
    </row>
    <row r="33" spans="2:6" ht="12.75" x14ac:dyDescent="0.2">
      <c r="B33" s="33" t="s">
        <v>257</v>
      </c>
      <c r="C33" s="140" t="s">
        <v>138</v>
      </c>
      <c r="D33" s="312"/>
      <c r="E33" s="313"/>
      <c r="F33" s="314"/>
    </row>
    <row r="34" spans="2:6" ht="12.75" x14ac:dyDescent="0.2">
      <c r="B34" s="33"/>
      <c r="C34" s="242" t="str">
        <f>'4.1.10'!B9</f>
        <v>Toy Libraries established (total)</v>
      </c>
      <c r="D34" s="315">
        <f>'4.1.10'!C9</f>
        <v>9520.7999999999993</v>
      </c>
      <c r="E34" s="316">
        <f>'4.1.10'!D9</f>
        <v>9520.7999999999993</v>
      </c>
      <c r="F34" s="317">
        <f>'4.1.10'!E9</f>
        <v>9520.7999999999993</v>
      </c>
    </row>
    <row r="35" spans="2:6" ht="12.75" x14ac:dyDescent="0.2">
      <c r="B35" s="33"/>
      <c r="C35" s="130" t="str">
        <f>'4.1.10'!B10</f>
        <v>Toy Libraries established (per year)</v>
      </c>
      <c r="D35" s="324">
        <f>'4.1.10'!C10</f>
        <v>1904.1599999999999</v>
      </c>
      <c r="E35" s="325">
        <f>'4.1.10'!D10</f>
        <v>1904.1599999999999</v>
      </c>
      <c r="F35" s="326">
        <f>'4.1.10'!E10</f>
        <v>1904.1599999999999</v>
      </c>
    </row>
    <row r="36" spans="2:6" ht="12.75" x14ac:dyDescent="0.2">
      <c r="B36" s="33"/>
      <c r="C36" s="161" t="str">
        <f>'4.1.10'!B11</f>
        <v>Sets of outdoor equipment provided per year</v>
      </c>
      <c r="D36" s="309">
        <f>'4.1.10'!C11</f>
        <v>245.4</v>
      </c>
      <c r="E36" s="310">
        <f>'4.1.10'!D11</f>
        <v>245.4</v>
      </c>
      <c r="F36" s="311">
        <f>'4.1.10'!E11</f>
        <v>245.4</v>
      </c>
    </row>
    <row r="37" spans="2:6" ht="12.75" x14ac:dyDescent="0.2">
      <c r="B37" s="141" t="s">
        <v>259</v>
      </c>
      <c r="C37" s="143"/>
      <c r="D37" s="327"/>
      <c r="E37" s="327"/>
      <c r="F37" s="327"/>
    </row>
    <row r="38" spans="2:6" ht="12.75" x14ac:dyDescent="0.2">
      <c r="B38" s="34" t="s">
        <v>260</v>
      </c>
      <c r="C38" s="140" t="s">
        <v>154</v>
      </c>
      <c r="D38" s="309"/>
      <c r="E38" s="310"/>
      <c r="F38" s="311"/>
    </row>
    <row r="39" spans="2:6" ht="12.75" x14ac:dyDescent="0.2">
      <c r="B39" s="34"/>
      <c r="C39" s="242" t="str">
        <f>'4.2.1'!B9</f>
        <v>Number of ECD practitioners trained per year</v>
      </c>
      <c r="D39" s="315">
        <f>'4.2.1'!C9</f>
        <v>40307.553029791874</v>
      </c>
      <c r="E39" s="316">
        <f>'4.2.1'!D9</f>
        <v>40307.553029791874</v>
      </c>
      <c r="F39" s="317">
        <f>'4.2.1'!E9</f>
        <v>40307.553029791874</v>
      </c>
    </row>
    <row r="40" spans="2:6" ht="12.75" x14ac:dyDescent="0.2">
      <c r="B40" s="34"/>
      <c r="C40" s="161" t="str">
        <f>'4.2.1'!B10</f>
        <v>Number of Grade R Educators trained per year</v>
      </c>
      <c r="D40" s="309">
        <f>'4.2.1'!C10</f>
        <v>8174.2597312348234</v>
      </c>
      <c r="E40" s="310">
        <f>'4.2.1'!D10</f>
        <v>8174.2597312348234</v>
      </c>
      <c r="F40" s="311">
        <f>'4.2.1'!E10</f>
        <v>8174.2597312348234</v>
      </c>
    </row>
    <row r="41" spans="2:6" ht="12.75" x14ac:dyDescent="0.2">
      <c r="B41" s="34" t="s">
        <v>261</v>
      </c>
      <c r="C41" s="140" t="s">
        <v>158</v>
      </c>
      <c r="D41" s="312"/>
      <c r="E41" s="313"/>
      <c r="F41" s="314"/>
    </row>
    <row r="42" spans="2:6" ht="12.75" x14ac:dyDescent="0.2">
      <c r="B42" s="34"/>
      <c r="C42" s="269" t="str">
        <f>'4.2.2'!B9</f>
        <v>Stipends paid per year</v>
      </c>
      <c r="D42" s="312">
        <f>'4.2.2'!C9</f>
        <v>11635.635062646408</v>
      </c>
      <c r="E42" s="313">
        <f>'4.2.2'!D9</f>
        <v>11635.635062646408</v>
      </c>
      <c r="F42" s="314">
        <f>'4.2.2'!E9</f>
        <v>11635.635062646408</v>
      </c>
    </row>
    <row r="43" spans="2:6" ht="12.75" x14ac:dyDescent="0.2">
      <c r="B43" s="34" t="s">
        <v>262</v>
      </c>
      <c r="C43" s="140" t="s">
        <v>161</v>
      </c>
      <c r="D43" s="312"/>
      <c r="E43" s="313"/>
      <c r="F43" s="314"/>
    </row>
    <row r="44" spans="2:6" ht="12.75" x14ac:dyDescent="0.2">
      <c r="B44" s="34"/>
      <c r="C44" s="242" t="str">
        <f>'4.2.3'!B37</f>
        <v>Grade R classrooms built and furnished per year</v>
      </c>
      <c r="D44" s="315">
        <f>'4.2.3'!C37</f>
        <v>4412.4031767219112</v>
      </c>
      <c r="E44" s="316">
        <f>'4.2.3'!D37</f>
        <v>4412.4031767219112</v>
      </c>
      <c r="F44" s="317">
        <f>'4.2.3'!E37</f>
        <v>4412.4031767219112</v>
      </c>
    </row>
    <row r="45" spans="2:6" ht="12.75" x14ac:dyDescent="0.2">
      <c r="B45" s="34"/>
      <c r="C45" s="130" t="str">
        <f>'4.2.3'!B38</f>
        <v>Play-Ground Equipment provided per year</v>
      </c>
      <c r="D45" s="318">
        <f>'4.2.3'!C38</f>
        <v>1269.4144523799962</v>
      </c>
      <c r="E45" s="319">
        <f>'4.2.3'!D38</f>
        <v>1269.4144523799962</v>
      </c>
      <c r="F45" s="320">
        <f>'4.2.3'!E38</f>
        <v>1269.4144523799962</v>
      </c>
    </row>
    <row r="46" spans="2:6" ht="12.75" x14ac:dyDescent="0.2">
      <c r="B46" s="34"/>
      <c r="C46" s="161" t="str">
        <f>'4.2.3'!B39</f>
        <v>LSM packs provided per year</v>
      </c>
      <c r="D46" s="328">
        <f>'4.2.3'!C39</f>
        <v>8174.2597312348234</v>
      </c>
      <c r="E46" s="329">
        <f>'4.2.3'!D39</f>
        <v>8174.2597312348234</v>
      </c>
      <c r="F46" s="330">
        <f>'4.2.3'!E39</f>
        <v>8174.2597312348234</v>
      </c>
    </row>
    <row r="47" spans="2:6" ht="12.75" x14ac:dyDescent="0.2">
      <c r="B47" s="141" t="s">
        <v>263</v>
      </c>
      <c r="C47" s="141"/>
      <c r="D47" s="331"/>
      <c r="E47" s="331"/>
      <c r="F47" s="331"/>
    </row>
    <row r="48" spans="2:6" ht="12.75" x14ac:dyDescent="0.2">
      <c r="B48" s="35" t="s">
        <v>264</v>
      </c>
      <c r="C48" s="140" t="s">
        <v>184</v>
      </c>
      <c r="D48" s="328"/>
      <c r="E48" s="329"/>
      <c r="F48" s="330"/>
    </row>
    <row r="49" spans="2:6" ht="12.75" x14ac:dyDescent="0.2">
      <c r="B49" s="35"/>
      <c r="C49" s="242" t="str">
        <f>'4.3.1'!B9</f>
        <v>Number of nurses (FTE) performing check ups on pregnant women</v>
      </c>
      <c r="D49" s="315">
        <f>'4.3.1'!C9</f>
        <v>5826.2590909090914</v>
      </c>
      <c r="E49" s="316">
        <f>'4.3.1'!D9</f>
        <v>5826.2590909090914</v>
      </c>
      <c r="F49" s="317">
        <f>'4.3.1'!E9</f>
        <v>5826.2590909090914</v>
      </c>
    </row>
    <row r="50" spans="2:6" ht="12.75" x14ac:dyDescent="0.2">
      <c r="B50" s="35"/>
      <c r="C50" s="130" t="str">
        <f>'4.3.1'!B10</f>
        <v>Number of nurses (FTE) performing check ups on children</v>
      </c>
      <c r="D50" s="318">
        <f>'4.3.1'!C10</f>
        <v>15334.403743019833</v>
      </c>
      <c r="E50" s="319">
        <f>'4.3.1'!D10</f>
        <v>15334.403743019833</v>
      </c>
      <c r="F50" s="320">
        <f>'4.3.1'!E10</f>
        <v>15334.403743019833</v>
      </c>
    </row>
    <row r="51" spans="2:6" ht="12.75" x14ac:dyDescent="0.2">
      <c r="B51" s="35"/>
      <c r="C51" s="161" t="str">
        <f>'4.3.1'!B11</f>
        <v>Nurses per 1000 children in target group (up to 6 years)</v>
      </c>
      <c r="D51" s="413">
        <f>'4.3.1'!C11</f>
        <v>3.4917820569495546</v>
      </c>
      <c r="E51" s="414">
        <f>'4.3.1'!D11</f>
        <v>3.4917820569495546</v>
      </c>
      <c r="F51" s="415">
        <f>'4.3.1'!E11</f>
        <v>3.4917820569495546</v>
      </c>
    </row>
    <row r="52" spans="2:6" ht="12.75" x14ac:dyDescent="0.2">
      <c r="B52" s="35" t="s">
        <v>265</v>
      </c>
      <c r="C52" s="140" t="s">
        <v>186</v>
      </c>
      <c r="D52" s="332"/>
      <c r="E52" s="333"/>
      <c r="F52" s="334"/>
    </row>
    <row r="53" spans="2:6" ht="12.75" x14ac:dyDescent="0.2">
      <c r="B53" s="35"/>
      <c r="C53" s="242" t="str">
        <f>'4.3.2'!B37</f>
        <v>Number of mothers and their new borns that are provided with supplements</v>
      </c>
      <c r="D53" s="306">
        <f>'4.3.2'!C37</f>
        <v>512710.8</v>
      </c>
      <c r="E53" s="307">
        <f>'4.3.2'!D37</f>
        <v>512710.8</v>
      </c>
      <c r="F53" s="308">
        <f>'4.3.2'!E37</f>
        <v>512710.8</v>
      </c>
    </row>
    <row r="54" spans="2:6" ht="12.75" x14ac:dyDescent="0.2">
      <c r="B54" s="35"/>
      <c r="C54" s="161" t="str">
        <f>'4.3.2'!B38</f>
        <v>Number of nurse:children interactions with 0-6 year olds per year</v>
      </c>
      <c r="D54" s="328">
        <f>'4.3.2'!C38</f>
        <v>12144847.76447171</v>
      </c>
      <c r="E54" s="329">
        <f>'4.3.2'!D38</f>
        <v>12144847.76447171</v>
      </c>
      <c r="F54" s="330">
        <f>'4.3.2'!E38</f>
        <v>12144847.76447171</v>
      </c>
    </row>
    <row r="55" spans="2:6" ht="12.75" x14ac:dyDescent="0.2">
      <c r="B55" s="35" t="s">
        <v>266</v>
      </c>
      <c r="C55" s="140" t="s">
        <v>208</v>
      </c>
      <c r="D55" s="332"/>
      <c r="E55" s="333"/>
      <c r="F55" s="334"/>
    </row>
    <row r="56" spans="2:6" ht="12.75" x14ac:dyDescent="0.2">
      <c r="B56" s="35"/>
      <c r="C56" s="269" t="str">
        <f>'4.3.3'!B9</f>
        <v>Number of emergency obstetric care procedures</v>
      </c>
      <c r="D56" s="332">
        <f>'4.3.3'!C9</f>
        <v>136722.88</v>
      </c>
      <c r="E56" s="333">
        <f>'4.3.3'!D9</f>
        <v>136722.88</v>
      </c>
      <c r="F56" s="334">
        <f>'4.3.3'!E9</f>
        <v>136722.88</v>
      </c>
    </row>
    <row r="57" spans="2:6" ht="12.75" x14ac:dyDescent="0.2">
      <c r="B57" s="35" t="s">
        <v>267</v>
      </c>
      <c r="C57" s="140" t="s">
        <v>209</v>
      </c>
      <c r="D57" s="332"/>
      <c r="E57" s="333"/>
      <c r="F57" s="334"/>
    </row>
    <row r="58" spans="2:6" ht="12.75" x14ac:dyDescent="0.2">
      <c r="B58" s="35"/>
      <c r="C58" s="242" t="str">
        <f>'4.3.4'!B23</f>
        <v>Number of children who are vacinnated in a year</v>
      </c>
      <c r="D58" s="306">
        <f>'4.3.4'!C23</f>
        <v>3581800.8869358255</v>
      </c>
      <c r="E58" s="307">
        <f>'4.3.4'!D23</f>
        <v>3581800.8869358255</v>
      </c>
      <c r="F58" s="308">
        <f>'4.3.4'!E23</f>
        <v>3581800.8869358255</v>
      </c>
    </row>
    <row r="59" spans="2:6" ht="12.75" x14ac:dyDescent="0.2">
      <c r="B59" s="35"/>
      <c r="C59" s="161" t="str">
        <f>'4.3.4'!B24</f>
        <v>Number of children receiving de-worming tablets</v>
      </c>
      <c r="D59" s="328">
        <f>'4.3.4'!C24</f>
        <v>4534291.4822358545</v>
      </c>
      <c r="E59" s="329">
        <f>'4.3.4'!D24</f>
        <v>4534291.4822358545</v>
      </c>
      <c r="F59" s="330">
        <f>'4.3.4'!E24</f>
        <v>4534291.4822358545</v>
      </c>
    </row>
  </sheetData>
  <sheetProtection sheet="1" objects="1" scenarios="1"/>
  <hyperlinks>
    <hyperlink ref="C7" location="'4.1.2'!A1" display="Registration of ECD programmes"/>
    <hyperlink ref="C9" location="'4.1.3'!A1" display="Subsidies to ECD centres"/>
    <hyperlink ref="C13" location="'4.1.4'!A1" display="Inspection, Monitoring and Assessment of Partial Care and ECD services"/>
    <hyperlink ref="C17" location="'4.1.5'!A1" display="Funding to establish ECD centres and improve infrastructure"/>
    <hyperlink ref="C21" location="'4.1.6'!A1" display="Equipment and LSM materials for ECD centres"/>
    <hyperlink ref="C26" location="'4.1.7'!A1" display="Caregiver capacity building courses"/>
    <hyperlink ref="C28" location="'4.1.8'!A1" display="Home-based visiting programme"/>
    <hyperlink ref="C31" location="'4.1.9'!A1" display="Community based playgroups"/>
    <hyperlink ref="C33" location="'4.1.10'!A1" display="Toy libraries"/>
    <hyperlink ref="C38" location="'4.2.1'!A1" display="Training of ECD practitioners"/>
    <hyperlink ref="C41" location="'4.2.2'!A1" display="The payment of stipends to those in training"/>
    <hyperlink ref="C43" location="'4.2.3'!A1" display="Services for children in Grade R"/>
    <hyperlink ref="C48" location="'4.3.1'!A1" display="Access to qualified nurses"/>
    <hyperlink ref="C52" location="'4.3.2'!A1" display="Early antenatal care and maternal and child nutrition in the first 1,000 days"/>
    <hyperlink ref="C55" location="'4.3.3'!A1" display="Emergency obstetric care"/>
    <hyperlink ref="C57" location="'4.3.4'!A1" display="Immunisation, deworming and growth monitoring (Road to Health booklet)"/>
    <hyperlink ref="C4" location="'4.1.1'!A1" display="Registration of Partial Care facilitie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0"/>
  <sheetViews>
    <sheetView showGridLines="0" workbookViewId="0">
      <pane xSplit="3" ySplit="3" topLeftCell="D4" activePane="bottomRight" state="frozen"/>
      <selection pane="topRight" activeCell="D1" sqref="D1"/>
      <selection pane="bottomLeft" activeCell="A4" sqref="A4"/>
      <selection pane="bottomRight" activeCell="D1" sqref="D1:F1048576"/>
    </sheetView>
  </sheetViews>
  <sheetFormatPr defaultRowHeight="15" x14ac:dyDescent="0.25"/>
  <cols>
    <col min="1" max="1" width="1.140625" style="30" customWidth="1"/>
    <col min="3" max="3" width="65.140625" customWidth="1"/>
    <col min="4" max="6" width="17.85546875" customWidth="1"/>
    <col min="7" max="16384" width="9.140625" style="30"/>
  </cols>
  <sheetData>
    <row r="1" spans="2:6" ht="20.25" x14ac:dyDescent="0.3">
      <c r="B1" s="294" t="s">
        <v>777</v>
      </c>
      <c r="C1" s="142"/>
      <c r="D1" s="298"/>
    </row>
    <row r="2" spans="2:6" ht="15.75" x14ac:dyDescent="0.25">
      <c r="D2" s="299" t="s">
        <v>335</v>
      </c>
      <c r="E2" s="300" t="s">
        <v>336</v>
      </c>
      <c r="F2" s="301" t="s">
        <v>337</v>
      </c>
    </row>
    <row r="3" spans="2:6" ht="15.75" x14ac:dyDescent="0.25">
      <c r="B3" s="141" t="s">
        <v>258</v>
      </c>
      <c r="C3" s="536"/>
      <c r="D3" s="302"/>
      <c r="E3" s="302"/>
      <c r="F3" s="302"/>
    </row>
    <row r="4" spans="2:6" ht="12.75" x14ac:dyDescent="0.2">
      <c r="B4" s="33" t="s">
        <v>247</v>
      </c>
      <c r="C4" s="546" t="s">
        <v>19</v>
      </c>
      <c r="D4" s="538"/>
      <c r="E4" s="539"/>
      <c r="F4" s="540"/>
    </row>
    <row r="5" spans="2:6" ht="12.75" x14ac:dyDescent="0.2">
      <c r="B5" s="33"/>
      <c r="C5" s="549" t="str">
        <f>'4.1.1'!B59</f>
        <v>Number of officials required to administer partial care registrations</v>
      </c>
      <c r="D5" s="530">
        <f>'4.1.1'!C59</f>
        <v>404.10810950168968</v>
      </c>
      <c r="E5" s="531">
        <f>'4.1.1'!D59</f>
        <v>404.10810950168968</v>
      </c>
      <c r="F5" s="532">
        <f>'4.1.1'!E59</f>
        <v>404.10810950168968</v>
      </c>
    </row>
    <row r="6" spans="2:6" ht="12.75" x14ac:dyDescent="0.2">
      <c r="B6" s="33" t="s">
        <v>249</v>
      </c>
      <c r="C6" s="546" t="s">
        <v>26</v>
      </c>
      <c r="D6" s="544"/>
      <c r="E6" s="534"/>
      <c r="F6" s="535"/>
    </row>
    <row r="7" spans="2:6" ht="12.75" x14ac:dyDescent="0.2">
      <c r="B7" s="33"/>
      <c r="C7" s="559" t="str">
        <f>'4.1.2'!B36</f>
        <v>Number of officials required to administer ECD programme registrations</v>
      </c>
      <c r="D7" s="527">
        <f>'4.1.2'!C36</f>
        <v>332.42767393467835</v>
      </c>
      <c r="E7" s="528">
        <f>'4.1.2'!D36</f>
        <v>332.42767393467835</v>
      </c>
      <c r="F7" s="529">
        <f>'4.1.2'!E36</f>
        <v>332.42767393467835</v>
      </c>
    </row>
    <row r="8" spans="2:6" ht="12.75" x14ac:dyDescent="0.2">
      <c r="B8" s="33" t="s">
        <v>250</v>
      </c>
      <c r="C8" s="546" t="s">
        <v>29</v>
      </c>
      <c r="D8" s="533"/>
      <c r="E8" s="534"/>
      <c r="F8" s="535"/>
    </row>
    <row r="9" spans="2:6" ht="12.75" x14ac:dyDescent="0.2">
      <c r="B9" s="33"/>
      <c r="C9" s="547" t="s">
        <v>771</v>
      </c>
      <c r="D9" s="533">
        <f>'4.1.3'!C53</f>
        <v>43.532157272175226</v>
      </c>
      <c r="E9" s="534">
        <f>'4.1.3'!D53</f>
        <v>43.532157272175226</v>
      </c>
      <c r="F9" s="535">
        <f>'4.1.3'!E53</f>
        <v>43.532157272175226</v>
      </c>
    </row>
    <row r="10" spans="2:6" ht="12.75" x14ac:dyDescent="0.2">
      <c r="B10" s="33"/>
      <c r="C10" s="550" t="str">
        <f>'4.1.3'!B63</f>
        <v>Number of officials required to administer ECD subsidies</v>
      </c>
      <c r="D10" s="527">
        <f>'4.1.3'!C63</f>
        <v>380.90637613153319</v>
      </c>
      <c r="E10" s="528">
        <f>'4.1.3'!D63</f>
        <v>380.90637613153319</v>
      </c>
      <c r="F10" s="529">
        <f>'4.1.3'!E63</f>
        <v>380.90637613153319</v>
      </c>
    </row>
    <row r="11" spans="2:6" ht="12.75" x14ac:dyDescent="0.2">
      <c r="B11" s="33" t="s">
        <v>251</v>
      </c>
      <c r="C11" s="546" t="s">
        <v>50</v>
      </c>
      <c r="D11" s="533"/>
      <c r="E11" s="534"/>
      <c r="F11" s="535"/>
    </row>
    <row r="12" spans="2:6" ht="12.75" x14ac:dyDescent="0.2">
      <c r="B12" s="33"/>
      <c r="C12" s="547" t="str">
        <f>'4.1.4'!B49</f>
        <v>Number of inspectors needed</v>
      </c>
      <c r="D12" s="541">
        <f>'4.1.4'!C49</f>
        <v>1330.3970683183197</v>
      </c>
      <c r="E12" s="542">
        <f>'4.1.4'!D49</f>
        <v>1330.3970683183197</v>
      </c>
      <c r="F12" s="543">
        <f>'4.1.4'!E49</f>
        <v>1330.3970683183197</v>
      </c>
    </row>
    <row r="13" spans="2:6" ht="12.75" x14ac:dyDescent="0.2">
      <c r="B13" s="33"/>
      <c r="C13" s="547" t="str">
        <f>'4.1.4'!B62</f>
        <v>Number of officials required to perform oversight and on-site inspections</v>
      </c>
      <c r="D13" s="541">
        <f>'4.1.4'!C62</f>
        <v>338.58344545025176</v>
      </c>
      <c r="E13" s="542">
        <f>'4.1.4'!D62</f>
        <v>338.58344545025176</v>
      </c>
      <c r="F13" s="543">
        <f>'4.1.4'!E62</f>
        <v>338.58344545025176</v>
      </c>
    </row>
    <row r="14" spans="2:6" ht="12.75" x14ac:dyDescent="0.2">
      <c r="B14" s="33"/>
      <c r="C14" s="547" t="s">
        <v>776</v>
      </c>
      <c r="D14" s="560"/>
      <c r="E14" s="561"/>
      <c r="F14" s="562"/>
    </row>
    <row r="15" spans="2:6" ht="12.75" x14ac:dyDescent="0.2">
      <c r="B15" s="33"/>
      <c r="C15" s="548" t="str">
        <f>'4.1.4'!B65</f>
        <v>Nurse</v>
      </c>
      <c r="D15" s="541">
        <f>'4.1.4'!$C$76*'4.1.4'!C65</f>
        <v>100.76888257447968</v>
      </c>
      <c r="E15" s="542">
        <f>'4.1.4'!$D$76*'4.1.4'!D65</f>
        <v>100.76888257447968</v>
      </c>
      <c r="F15" s="543">
        <f>'4.1.4'!$E$76*'4.1.4'!E65</f>
        <v>100.76888257447968</v>
      </c>
    </row>
    <row r="16" spans="2:6" ht="12.75" x14ac:dyDescent="0.2">
      <c r="B16" s="33"/>
      <c r="C16" s="548" t="str">
        <f>'4.1.4'!B66</f>
        <v>Social Worker</v>
      </c>
      <c r="D16" s="541">
        <f>'4.1.4'!$C$76*'4.1.4'!C66</f>
        <v>100.76888257447968</v>
      </c>
      <c r="E16" s="542">
        <f>'4.1.4'!$D$76*'4.1.4'!D66</f>
        <v>100.76888257447968</v>
      </c>
      <c r="F16" s="543">
        <f>'4.1.4'!$E$76*'4.1.4'!E66</f>
        <v>100.76888257447968</v>
      </c>
    </row>
    <row r="17" spans="2:6" ht="12.75" x14ac:dyDescent="0.2">
      <c r="B17" s="33"/>
      <c r="C17" s="548" t="str">
        <f>'4.1.4'!B67</f>
        <v>Teacher</v>
      </c>
      <c r="D17" s="541">
        <f>'4.1.4'!$C$76*'4.1.4'!C67</f>
        <v>100.76888257447968</v>
      </c>
      <c r="E17" s="542">
        <f>'4.1.4'!$D$76*'4.1.4'!D67</f>
        <v>100.76888257447968</v>
      </c>
      <c r="F17" s="543">
        <f>'4.1.4'!$E$76*'4.1.4'!E67</f>
        <v>100.76888257447968</v>
      </c>
    </row>
    <row r="18" spans="2:6" ht="12.75" x14ac:dyDescent="0.2">
      <c r="B18" s="33"/>
      <c r="C18" s="548" t="str">
        <f>'4.1.4'!B68</f>
        <v>Occupational Therapist</v>
      </c>
      <c r="D18" s="541">
        <f>'4.1.4'!$C$76*'4.1.4'!C68</f>
        <v>100.76888257447968</v>
      </c>
      <c r="E18" s="542">
        <f>'4.1.4'!$D$76*'4.1.4'!D68</f>
        <v>100.76888257447968</v>
      </c>
      <c r="F18" s="543">
        <f>'4.1.4'!$E$76*'4.1.4'!E68</f>
        <v>100.76888257447968</v>
      </c>
    </row>
    <row r="19" spans="2:6" ht="12.75" x14ac:dyDescent="0.2">
      <c r="B19" s="33"/>
      <c r="C19" s="550" t="str">
        <f>'4.1.4'!B96</f>
        <v>Number of officials required to conduct enforcement activities</v>
      </c>
      <c r="D19" s="530">
        <f>'4.1.4'!C96</f>
        <v>33.703392397397437</v>
      </c>
      <c r="E19" s="531">
        <f>'4.1.4'!D96</f>
        <v>33.703392397397437</v>
      </c>
      <c r="F19" s="532">
        <f>'4.1.4'!E96</f>
        <v>33.703392397397437</v>
      </c>
    </row>
    <row r="20" spans="2:6" ht="12.75" x14ac:dyDescent="0.2">
      <c r="B20" s="33" t="s">
        <v>252</v>
      </c>
      <c r="C20" s="537" t="s">
        <v>85</v>
      </c>
      <c r="D20" s="533"/>
      <c r="E20" s="534"/>
      <c r="F20" s="535"/>
    </row>
    <row r="21" spans="2:6" ht="12.75" x14ac:dyDescent="0.2">
      <c r="B21" s="33"/>
      <c r="C21" s="551" t="s">
        <v>772</v>
      </c>
      <c r="D21" s="527"/>
      <c r="E21" s="528"/>
      <c r="F21" s="529"/>
    </row>
    <row r="22" spans="2:6" ht="12.75" x14ac:dyDescent="0.2">
      <c r="B22" s="33" t="s">
        <v>253</v>
      </c>
      <c r="C22" s="537" t="s">
        <v>104</v>
      </c>
      <c r="D22" s="533"/>
      <c r="E22" s="534"/>
      <c r="F22" s="535"/>
    </row>
    <row r="23" spans="2:6" ht="12.75" x14ac:dyDescent="0.2">
      <c r="B23" s="33"/>
      <c r="C23" s="551" t="s">
        <v>772</v>
      </c>
      <c r="D23" s="527"/>
      <c r="E23" s="528"/>
      <c r="F23" s="529"/>
    </row>
    <row r="24" spans="2:6" ht="12.75" x14ac:dyDescent="0.2">
      <c r="B24" s="33" t="s">
        <v>254</v>
      </c>
      <c r="C24" s="537" t="s">
        <v>112</v>
      </c>
      <c r="D24" s="541"/>
      <c r="E24" s="542"/>
      <c r="F24" s="543"/>
    </row>
    <row r="25" spans="2:6" ht="12.75" x14ac:dyDescent="0.2">
      <c r="B25" s="33"/>
      <c r="C25" s="161" t="str">
        <f>'4.1.7'!B19</f>
        <v>Number of facilitators required</v>
      </c>
      <c r="D25" s="530">
        <f>'4.1.7'!C19</f>
        <v>1033.8887352141614</v>
      </c>
      <c r="E25" s="531">
        <f>'4.1.7'!D19</f>
        <v>1033.8887352141614</v>
      </c>
      <c r="F25" s="532">
        <f>'4.1.7'!E19</f>
        <v>1033.8887352141614</v>
      </c>
    </row>
    <row r="26" spans="2:6" ht="12.75" x14ac:dyDescent="0.2">
      <c r="B26" s="33" t="s">
        <v>255</v>
      </c>
      <c r="C26" s="537" t="s">
        <v>119</v>
      </c>
      <c r="D26" s="533"/>
      <c r="E26" s="534"/>
      <c r="F26" s="535"/>
    </row>
    <row r="27" spans="2:6" ht="12.75" x14ac:dyDescent="0.2">
      <c r="B27" s="33"/>
      <c r="C27" s="130" t="str">
        <f>'4.1.8'!B24</f>
        <v>Number of coordinators required</v>
      </c>
      <c r="D27" s="541">
        <f>'4.1.8'!C24</f>
        <v>400</v>
      </c>
      <c r="E27" s="542">
        <f>'4.1.8'!D24</f>
        <v>200</v>
      </c>
      <c r="F27" s="543">
        <f>'4.1.8'!E24</f>
        <v>300</v>
      </c>
    </row>
    <row r="28" spans="2:6" ht="12.75" x14ac:dyDescent="0.2">
      <c r="B28" s="33"/>
      <c r="C28" s="161" t="str">
        <f>'4.1.8'!B25</f>
        <v>Number of home visitors required</v>
      </c>
      <c r="D28" s="530">
        <f>'4.1.8'!C25</f>
        <v>8000</v>
      </c>
      <c r="E28" s="531">
        <f>'4.1.8'!D25</f>
        <v>4000</v>
      </c>
      <c r="F28" s="532">
        <f>'4.1.8'!E25</f>
        <v>6000</v>
      </c>
    </row>
    <row r="29" spans="2:6" ht="12.75" x14ac:dyDescent="0.2">
      <c r="B29" s="33" t="s">
        <v>256</v>
      </c>
      <c r="C29" s="537" t="s">
        <v>130</v>
      </c>
      <c r="D29" s="533"/>
      <c r="E29" s="534"/>
      <c r="F29" s="535"/>
    </row>
    <row r="30" spans="2:6" ht="12.75" x14ac:dyDescent="0.2">
      <c r="B30" s="33"/>
      <c r="C30" s="130" t="str">
        <f>'4.1.9'!B23</f>
        <v>Number of ECD administrators required</v>
      </c>
      <c r="D30" s="541">
        <f>'4.1.9'!C23</f>
        <v>200</v>
      </c>
      <c r="E30" s="542">
        <f>'4.1.9'!D23</f>
        <v>200</v>
      </c>
      <c r="F30" s="543">
        <f>'4.1.9'!E23</f>
        <v>200</v>
      </c>
    </row>
    <row r="31" spans="2:6" ht="12.75" x14ac:dyDescent="0.2">
      <c r="B31" s="33"/>
      <c r="C31" s="161" t="str">
        <f>'4.1.9'!B24</f>
        <v>Number of facilitators required</v>
      </c>
      <c r="D31" s="530">
        <f>'4.1.9'!C24</f>
        <v>2000</v>
      </c>
      <c r="E31" s="531">
        <f>'4.1.9'!D24</f>
        <v>2000</v>
      </c>
      <c r="F31" s="532">
        <f>'4.1.9'!E24</f>
        <v>2000</v>
      </c>
    </row>
    <row r="32" spans="2:6" ht="12.75" x14ac:dyDescent="0.2">
      <c r="B32" s="33" t="s">
        <v>257</v>
      </c>
      <c r="C32" s="537" t="s">
        <v>138</v>
      </c>
      <c r="D32" s="533"/>
      <c r="E32" s="534"/>
      <c r="F32" s="535"/>
    </row>
    <row r="33" spans="2:6" ht="12.75" x14ac:dyDescent="0.2">
      <c r="B33" s="33"/>
      <c r="C33" s="161" t="str">
        <f>'4.1.10'!B35</f>
        <v>Number of toy librarians</v>
      </c>
      <c r="D33" s="530">
        <f>'4.1.10'!C35</f>
        <v>1557</v>
      </c>
      <c r="E33" s="531">
        <f>'4.1.10'!D35</f>
        <v>1557</v>
      </c>
      <c r="F33" s="532">
        <f>'4.1.10'!E35</f>
        <v>1557</v>
      </c>
    </row>
    <row r="34" spans="2:6" ht="12.75" x14ac:dyDescent="0.2">
      <c r="B34" s="552" t="s">
        <v>259</v>
      </c>
      <c r="C34" s="265"/>
      <c r="D34" s="556"/>
      <c r="E34" s="557"/>
      <c r="F34" s="558"/>
    </row>
    <row r="35" spans="2:6" ht="12.75" x14ac:dyDescent="0.2">
      <c r="B35" s="34" t="s">
        <v>260</v>
      </c>
      <c r="C35" s="537" t="s">
        <v>154</v>
      </c>
      <c r="D35" s="533"/>
      <c r="E35" s="534"/>
      <c r="F35" s="535"/>
    </row>
    <row r="36" spans="2:6" ht="12.75" x14ac:dyDescent="0.2">
      <c r="B36" s="34"/>
      <c r="C36" s="551" t="s">
        <v>772</v>
      </c>
      <c r="D36" s="527">
        <f>'4.2.1'!C9</f>
        <v>40307.553029791874</v>
      </c>
      <c r="E36" s="528">
        <f>'4.2.1'!D9</f>
        <v>40307.553029791874</v>
      </c>
      <c r="F36" s="529">
        <f>'4.2.1'!E9</f>
        <v>40307.553029791874</v>
      </c>
    </row>
    <row r="37" spans="2:6" ht="12.75" x14ac:dyDescent="0.2">
      <c r="B37" s="34" t="s">
        <v>261</v>
      </c>
      <c r="C37" s="537" t="s">
        <v>158</v>
      </c>
      <c r="D37" s="533"/>
      <c r="E37" s="534"/>
      <c r="F37" s="535"/>
    </row>
    <row r="38" spans="2:6" ht="12.75" x14ac:dyDescent="0.2">
      <c r="B38" s="34"/>
      <c r="C38" s="551" t="s">
        <v>772</v>
      </c>
      <c r="D38" s="527">
        <f>'4.2.2'!C9</f>
        <v>11635.635062646408</v>
      </c>
      <c r="E38" s="528">
        <f>'4.2.2'!D9</f>
        <v>11635.635062646408</v>
      </c>
      <c r="F38" s="529">
        <f>'4.2.2'!E9</f>
        <v>11635.635062646408</v>
      </c>
    </row>
    <row r="39" spans="2:6" ht="12.75" x14ac:dyDescent="0.2">
      <c r="B39" s="34" t="s">
        <v>262</v>
      </c>
      <c r="C39" s="537" t="s">
        <v>161</v>
      </c>
      <c r="D39" s="533"/>
      <c r="E39" s="534"/>
      <c r="F39" s="535"/>
    </row>
    <row r="40" spans="2:6" ht="12.75" x14ac:dyDescent="0.2">
      <c r="B40" s="34"/>
      <c r="C40" s="161" t="str">
        <f>'4.2.3'!B55</f>
        <v>Number of Grade R Educators required</v>
      </c>
      <c r="D40" s="530">
        <f>'4.2.3'!C55</f>
        <v>24522.779193704468</v>
      </c>
      <c r="E40" s="531">
        <f>'4.2.3'!D55</f>
        <v>24522.779193704468</v>
      </c>
      <c r="F40" s="532">
        <f>'4.2.3'!E55</f>
        <v>24522.779193704468</v>
      </c>
    </row>
    <row r="41" spans="2:6" ht="12.75" x14ac:dyDescent="0.2">
      <c r="B41" s="552" t="s">
        <v>263</v>
      </c>
      <c r="C41" s="552"/>
      <c r="D41" s="553"/>
      <c r="E41" s="554"/>
      <c r="F41" s="555"/>
    </row>
    <row r="42" spans="2:6" ht="12.75" x14ac:dyDescent="0.2">
      <c r="B42" s="35" t="s">
        <v>264</v>
      </c>
      <c r="C42" s="537" t="s">
        <v>184</v>
      </c>
      <c r="D42" s="541"/>
      <c r="E42" s="542"/>
      <c r="F42" s="543"/>
    </row>
    <row r="43" spans="2:6" ht="12.75" x14ac:dyDescent="0.2">
      <c r="B43" s="35"/>
      <c r="C43" s="130" t="str">
        <f>'4.3.1'!B9</f>
        <v>Number of nurses (FTE) performing check ups on pregnant women</v>
      </c>
      <c r="D43" s="533">
        <f>'4.3.1'!C9</f>
        <v>5826.2590909090914</v>
      </c>
      <c r="E43" s="534">
        <f>'4.3.1'!D9</f>
        <v>5826.2590909090914</v>
      </c>
      <c r="F43" s="535">
        <f>'4.3.1'!E9</f>
        <v>5826.2590909090914</v>
      </c>
    </row>
    <row r="44" spans="2:6" ht="12.75" x14ac:dyDescent="0.2">
      <c r="B44" s="35"/>
      <c r="C44" s="161" t="str">
        <f>'4.3.1'!B10</f>
        <v>Number of nurses (FTE) performing check ups on children</v>
      </c>
      <c r="D44" s="527">
        <f>'4.3.1'!C10</f>
        <v>15334.403743019833</v>
      </c>
      <c r="E44" s="528">
        <f>'4.3.1'!D10</f>
        <v>15334.403743019833</v>
      </c>
      <c r="F44" s="529">
        <f>'4.3.1'!E10</f>
        <v>15334.403743019833</v>
      </c>
    </row>
    <row r="45" spans="2:6" ht="12.75" x14ac:dyDescent="0.2">
      <c r="B45" s="35" t="s">
        <v>265</v>
      </c>
      <c r="C45" s="537" t="s">
        <v>186</v>
      </c>
      <c r="D45" s="541"/>
      <c r="E45" s="542"/>
      <c r="F45" s="543"/>
    </row>
    <row r="46" spans="2:6" ht="12.75" x14ac:dyDescent="0.2">
      <c r="B46" s="35"/>
      <c r="C46" s="551" t="s">
        <v>774</v>
      </c>
      <c r="D46" s="530"/>
      <c r="E46" s="531"/>
      <c r="F46" s="532"/>
    </row>
    <row r="47" spans="2:6" ht="12.75" x14ac:dyDescent="0.2">
      <c r="B47" s="35" t="s">
        <v>266</v>
      </c>
      <c r="C47" s="537" t="s">
        <v>208</v>
      </c>
      <c r="D47" s="541"/>
      <c r="E47" s="542"/>
      <c r="F47" s="543"/>
    </row>
    <row r="48" spans="2:6" ht="12.75" x14ac:dyDescent="0.2">
      <c r="B48" s="35"/>
      <c r="C48" s="551" t="s">
        <v>775</v>
      </c>
      <c r="D48" s="530"/>
      <c r="E48" s="531"/>
      <c r="F48" s="532"/>
    </row>
    <row r="49" spans="2:6" ht="12.75" x14ac:dyDescent="0.2">
      <c r="B49" s="35" t="s">
        <v>267</v>
      </c>
      <c r="C49" s="537" t="s">
        <v>209</v>
      </c>
      <c r="D49" s="541"/>
      <c r="E49" s="542"/>
      <c r="F49" s="543"/>
    </row>
    <row r="50" spans="2:6" ht="12.75" x14ac:dyDescent="0.2">
      <c r="B50" s="35"/>
      <c r="C50" s="545" t="s">
        <v>774</v>
      </c>
      <c r="D50" s="541"/>
      <c r="E50" s="542"/>
      <c r="F50" s="543"/>
    </row>
  </sheetData>
  <sheetProtection sheet="1" objects="1" scenarios="1"/>
  <hyperlinks>
    <hyperlink ref="C6" location="'4.1.2'!A1" display="Registration of ECD programmes"/>
    <hyperlink ref="C8" location="'4.1.3'!A1" display="Subsidies to ECD centres"/>
    <hyperlink ref="C11" location="'4.1.4'!A1" display="Inspection, Monitoring and Assessment of Partial Care and ECD services"/>
    <hyperlink ref="C20" location="'4.1.5'!A1" display="Funding to establish ECD centres and improve infrastructure"/>
    <hyperlink ref="C22" location="'4.1.6'!A1" display="Equipment and LSM materials for ECD centres"/>
    <hyperlink ref="C24" location="'4.1.7'!A1" display="Caregiver capacity building courses"/>
    <hyperlink ref="C26" location="'4.1.8'!A1" display="Home-based visiting programme"/>
    <hyperlink ref="C29" location="'4.1.9'!A1" display="Community based playgroups"/>
    <hyperlink ref="C35" location="'4.2.1'!A1" display="Training of ECD practitioners"/>
    <hyperlink ref="C37" location="'4.2.2'!A1" display="The payment of stipends to those in training"/>
    <hyperlink ref="C39" location="'4.2.3'!A1" display="Services for children in Grade R"/>
    <hyperlink ref="C42" location="'4.3.1'!A1" display="Access to qualified nurses"/>
    <hyperlink ref="C45" location="'4.3.2'!A1" display="Early antenatal care and maternal and child nutrition in the first 1,000 days"/>
    <hyperlink ref="C47" location="'4.3.3'!A1" display="Emergency obstetric care"/>
    <hyperlink ref="C49" location="'4.3.4'!A1" display="Immunisation, deworming and growth monitoring (Road to Health booklet)"/>
    <hyperlink ref="C4" location="'4.1.1'!A1" display="Registration of Partial Care facilities"/>
    <hyperlink ref="C32" location="'4.1.10'!A1" display="Toy libraries"/>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07"/>
  <sheetViews>
    <sheetView showGridLines="0" workbookViewId="0">
      <pane ySplit="1" topLeftCell="A2" activePane="bottomLeft" state="frozen"/>
      <selection pane="bottomLeft"/>
    </sheetView>
  </sheetViews>
  <sheetFormatPr defaultRowHeight="15" x14ac:dyDescent="0.25"/>
  <cols>
    <col min="1" max="1" width="2.140625" customWidth="1"/>
    <col min="2" max="2" width="65.28515625" customWidth="1"/>
    <col min="3" max="5" width="18" customWidth="1"/>
    <col min="6" max="6" width="12.28515625" customWidth="1"/>
    <col min="7" max="7" width="19.42578125" customWidth="1"/>
  </cols>
  <sheetData>
    <row r="1" spans="1:5" ht="15.75" x14ac:dyDescent="0.25">
      <c r="A1" s="3"/>
      <c r="B1" s="335" t="str">
        <f>A26</f>
        <v>Registration of Partial Care facilities</v>
      </c>
      <c r="C1" s="336" t="s">
        <v>335</v>
      </c>
      <c r="D1" s="337" t="s">
        <v>336</v>
      </c>
      <c r="E1" s="338" t="s">
        <v>337</v>
      </c>
    </row>
    <row r="2" spans="1:5" x14ac:dyDescent="0.25">
      <c r="A2" s="3"/>
      <c r="B2" s="123" t="s">
        <v>331</v>
      </c>
      <c r="C2" s="339">
        <f>SUM(C3:C4)</f>
        <v>72714514.765273154</v>
      </c>
      <c r="D2" s="339">
        <f t="shared" ref="D2:E2" si="0">SUM(D3:D4)</f>
        <v>72714514.765273154</v>
      </c>
      <c r="E2" s="339">
        <f t="shared" si="0"/>
        <v>72714514.765273154</v>
      </c>
    </row>
    <row r="3" spans="1:5" x14ac:dyDescent="0.25">
      <c r="A3" s="3"/>
      <c r="B3" s="126" t="s">
        <v>329</v>
      </c>
      <c r="C3" s="340">
        <f>C10+C17</f>
        <v>72714514.765273154</v>
      </c>
      <c r="D3" s="340">
        <f t="shared" ref="D3:E3" si="1">D10+D17</f>
        <v>72714514.765273154</v>
      </c>
      <c r="E3" s="340">
        <f t="shared" si="1"/>
        <v>72714514.765273154</v>
      </c>
    </row>
    <row r="4" spans="1:5" x14ac:dyDescent="0.25">
      <c r="A4" s="3"/>
      <c r="B4" s="128" t="s">
        <v>330</v>
      </c>
      <c r="C4" s="341"/>
      <c r="D4" s="341"/>
      <c r="E4" s="341"/>
    </row>
    <row r="5" spans="1:5" x14ac:dyDescent="0.25">
      <c r="A5" s="3"/>
      <c r="B5" s="130" t="s">
        <v>332</v>
      </c>
      <c r="C5" s="339"/>
      <c r="D5" s="339"/>
      <c r="E5" s="339"/>
    </row>
    <row r="6" spans="1:5" x14ac:dyDescent="0.25">
      <c r="A6" s="3"/>
      <c r="B6" s="123" t="s">
        <v>333</v>
      </c>
      <c r="C6" s="339">
        <f>C13+C20</f>
        <v>0</v>
      </c>
      <c r="D6" s="339">
        <f t="shared" ref="D6:E6" si="2">D13+D20</f>
        <v>0</v>
      </c>
      <c r="E6" s="339">
        <f t="shared" si="2"/>
        <v>0</v>
      </c>
    </row>
    <row r="7" spans="1:5" x14ac:dyDescent="0.25">
      <c r="A7" s="3"/>
      <c r="B7" s="123" t="s">
        <v>626</v>
      </c>
      <c r="C7" s="339">
        <f>C3-C6</f>
        <v>72714514.765273154</v>
      </c>
      <c r="D7" s="339">
        <f t="shared" ref="D7:E7" si="3">D3-D6</f>
        <v>72714514.765273154</v>
      </c>
      <c r="E7" s="339">
        <f t="shared" si="3"/>
        <v>72714514.765273154</v>
      </c>
    </row>
    <row r="8" spans="1:5" x14ac:dyDescent="0.25">
      <c r="A8" s="3"/>
      <c r="B8" s="122" t="s">
        <v>383</v>
      </c>
      <c r="C8" s="342"/>
      <c r="D8" s="342"/>
      <c r="E8" s="342"/>
    </row>
    <row r="9" spans="1:5" x14ac:dyDescent="0.25">
      <c r="A9" s="3"/>
      <c r="B9" s="123" t="s">
        <v>331</v>
      </c>
      <c r="C9" s="339">
        <f>SUM(C10:C11)</f>
        <v>19955956.024774797</v>
      </c>
      <c r="D9" s="339">
        <f t="shared" ref="D9:E9" si="4">SUM(D10:D11)</f>
        <v>19955956.024774797</v>
      </c>
      <c r="E9" s="339">
        <f t="shared" si="4"/>
        <v>19955956.024774797</v>
      </c>
    </row>
    <row r="10" spans="1:5" x14ac:dyDescent="0.25">
      <c r="A10" s="3"/>
      <c r="B10" s="126" t="s">
        <v>329</v>
      </c>
      <c r="C10" s="340">
        <f>C23*C50</f>
        <v>19955956.024774797</v>
      </c>
      <c r="D10" s="340">
        <f t="shared" ref="D10:E10" si="5">D23*D50</f>
        <v>19955956.024774797</v>
      </c>
      <c r="E10" s="340">
        <f t="shared" si="5"/>
        <v>19955956.024774797</v>
      </c>
    </row>
    <row r="11" spans="1:5" x14ac:dyDescent="0.25">
      <c r="A11" s="3"/>
      <c r="B11" s="128" t="s">
        <v>330</v>
      </c>
      <c r="C11" s="129"/>
      <c r="D11" s="129"/>
      <c r="E11" s="129"/>
    </row>
    <row r="12" spans="1:5" x14ac:dyDescent="0.25">
      <c r="A12" s="3"/>
      <c r="B12" s="130" t="s">
        <v>332</v>
      </c>
      <c r="C12" s="124"/>
      <c r="D12" s="124"/>
      <c r="E12" s="124"/>
    </row>
    <row r="13" spans="1:5" x14ac:dyDescent="0.25">
      <c r="A13" s="3"/>
      <c r="B13" s="123" t="s">
        <v>333</v>
      </c>
      <c r="C13" s="171"/>
      <c r="D13" s="171"/>
      <c r="E13" s="171"/>
    </row>
    <row r="14" spans="1:5" x14ac:dyDescent="0.25">
      <c r="A14" s="3"/>
      <c r="B14" s="123" t="s">
        <v>626</v>
      </c>
      <c r="C14" s="339">
        <f>C10-C13</f>
        <v>19955956.024774797</v>
      </c>
      <c r="D14" s="339">
        <f t="shared" ref="D14:E14" si="6">D10-D13</f>
        <v>19955956.024774797</v>
      </c>
      <c r="E14" s="339">
        <f t="shared" si="6"/>
        <v>19955956.024774797</v>
      </c>
    </row>
    <row r="15" spans="1:5" x14ac:dyDescent="0.25">
      <c r="A15" s="3"/>
      <c r="B15" s="122" t="s">
        <v>384</v>
      </c>
      <c r="C15" s="54"/>
      <c r="D15" s="54"/>
      <c r="E15" s="54"/>
    </row>
    <row r="16" spans="1:5" x14ac:dyDescent="0.25">
      <c r="A16" s="3"/>
      <c r="B16" s="123" t="s">
        <v>331</v>
      </c>
      <c r="C16" s="339">
        <f>SUM(C17:C18)</f>
        <v>52758558.740498364</v>
      </c>
      <c r="D16" s="339">
        <f t="shared" ref="D16:E16" si="7">SUM(D17:D18)</f>
        <v>52758558.740498364</v>
      </c>
      <c r="E16" s="339">
        <f t="shared" si="7"/>
        <v>52758558.740498364</v>
      </c>
    </row>
    <row r="17" spans="1:5" x14ac:dyDescent="0.25">
      <c r="A17" s="3"/>
      <c r="B17" s="126" t="s">
        <v>329</v>
      </c>
      <c r="C17" s="340">
        <f>C24*C57+C106*C58</f>
        <v>52758558.740498364</v>
      </c>
      <c r="D17" s="340">
        <f t="shared" ref="D17:E17" si="8">D24*D57+D106*D58</f>
        <v>52758558.740498364</v>
      </c>
      <c r="E17" s="340">
        <f t="shared" si="8"/>
        <v>52758558.740498364</v>
      </c>
    </row>
    <row r="18" spans="1:5" x14ac:dyDescent="0.25">
      <c r="A18" s="3"/>
      <c r="B18" s="128" t="s">
        <v>330</v>
      </c>
      <c r="C18" s="129"/>
      <c r="D18" s="129"/>
      <c r="E18" s="129"/>
    </row>
    <row r="19" spans="1:5" x14ac:dyDescent="0.25">
      <c r="A19" s="3"/>
      <c r="B19" s="130" t="s">
        <v>332</v>
      </c>
      <c r="C19" s="124"/>
      <c r="D19" s="124"/>
      <c r="E19" s="124"/>
    </row>
    <row r="20" spans="1:5" x14ac:dyDescent="0.25">
      <c r="A20" s="3"/>
      <c r="B20" s="123" t="s">
        <v>333</v>
      </c>
      <c r="C20" s="171"/>
      <c r="D20" s="171"/>
      <c r="E20" s="171"/>
    </row>
    <row r="21" spans="1:5" x14ac:dyDescent="0.25">
      <c r="A21" s="3"/>
      <c r="B21" s="123" t="s">
        <v>626</v>
      </c>
      <c r="C21" s="343">
        <f>C17-C20</f>
        <v>52758558.740498364</v>
      </c>
      <c r="D21" s="343">
        <f t="shared" ref="D21:E21" si="9">D17-D20</f>
        <v>52758558.740498364</v>
      </c>
      <c r="E21" s="343">
        <f t="shared" si="9"/>
        <v>52758558.740498364</v>
      </c>
    </row>
    <row r="22" spans="1:5" x14ac:dyDescent="0.25">
      <c r="A22" s="3"/>
      <c r="B22" s="134" t="s">
        <v>562</v>
      </c>
    </row>
    <row r="23" spans="1:5" x14ac:dyDescent="0.25">
      <c r="A23" s="3"/>
      <c r="B23" s="93" t="s">
        <v>642</v>
      </c>
      <c r="C23" s="249">
        <f>C98/C49</f>
        <v>24944.945030968494</v>
      </c>
      <c r="D23" s="249">
        <f t="shared" ref="D23:E23" si="10">D98/D49</f>
        <v>24944.945030968494</v>
      </c>
      <c r="E23" s="249">
        <f t="shared" si="10"/>
        <v>24944.945030968494</v>
      </c>
    </row>
    <row r="24" spans="1:5" ht="20.25" customHeight="1" x14ac:dyDescent="0.25">
      <c r="A24" s="3"/>
      <c r="B24" s="93" t="s">
        <v>643</v>
      </c>
      <c r="C24" s="249">
        <f>C102/C54</f>
        <v>26940.540633445973</v>
      </c>
      <c r="D24" s="249">
        <f t="shared" ref="D24:E24" si="11">D102/D54</f>
        <v>26940.540633445973</v>
      </c>
      <c r="E24" s="249">
        <f t="shared" si="11"/>
        <v>26940.540633445973</v>
      </c>
    </row>
    <row r="25" spans="1:5" x14ac:dyDescent="0.25">
      <c r="A25" s="3"/>
      <c r="B25" s="93"/>
      <c r="C25" s="3"/>
      <c r="D25" s="3"/>
      <c r="E25" s="3"/>
    </row>
    <row r="26" spans="1:5" x14ac:dyDescent="0.25">
      <c r="A26" s="382" t="s">
        <v>19</v>
      </c>
      <c r="B26" s="382"/>
      <c r="C26" s="383"/>
      <c r="D26" s="383"/>
      <c r="E26" s="383"/>
    </row>
    <row r="27" spans="1:5" x14ac:dyDescent="0.25">
      <c r="A27" s="30"/>
      <c r="B27" s="122" t="s">
        <v>22</v>
      </c>
      <c r="C27" s="202"/>
      <c r="D27" s="202"/>
      <c r="E27" s="202"/>
    </row>
    <row r="28" spans="1:5" x14ac:dyDescent="0.25">
      <c r="A28" s="30"/>
      <c r="B28" s="92" t="s">
        <v>4</v>
      </c>
      <c r="C28" s="10"/>
      <c r="D28" s="10"/>
      <c r="E28" s="10"/>
    </row>
    <row r="29" spans="1:5" x14ac:dyDescent="0.25">
      <c r="A29" s="30"/>
      <c r="B29" s="205" t="s">
        <v>385</v>
      </c>
      <c r="C29" s="206">
        <v>0.1</v>
      </c>
      <c r="D29" s="214">
        <v>0.1</v>
      </c>
      <c r="E29" s="214">
        <v>0.1</v>
      </c>
    </row>
    <row r="30" spans="1:5" x14ac:dyDescent="0.25">
      <c r="A30" s="30"/>
      <c r="B30" s="204" t="s">
        <v>386</v>
      </c>
      <c r="C30" s="119">
        <v>0.2</v>
      </c>
      <c r="D30" s="215">
        <v>0.2</v>
      </c>
      <c r="E30" s="215">
        <v>0.2</v>
      </c>
    </row>
    <row r="31" spans="1:5" x14ac:dyDescent="0.25">
      <c r="A31" s="30"/>
      <c r="B31" s="204" t="s">
        <v>387</v>
      </c>
      <c r="C31" s="119">
        <v>0.8</v>
      </c>
      <c r="D31" s="215">
        <v>0.8</v>
      </c>
      <c r="E31" s="215">
        <v>0.8</v>
      </c>
    </row>
    <row r="32" spans="1:5" x14ac:dyDescent="0.25">
      <c r="A32" s="30"/>
      <c r="B32" s="204" t="s">
        <v>388</v>
      </c>
      <c r="C32" s="119">
        <v>0.1</v>
      </c>
      <c r="D32" s="215">
        <v>0.1</v>
      </c>
      <c r="E32" s="215">
        <v>0.1</v>
      </c>
    </row>
    <row r="33" spans="1:5" x14ac:dyDescent="0.25">
      <c r="A33" s="30"/>
      <c r="B33" s="207" t="s">
        <v>389</v>
      </c>
      <c r="C33" s="208">
        <v>0.01</v>
      </c>
      <c r="D33" s="216">
        <v>0.01</v>
      </c>
      <c r="E33" s="216">
        <v>0.01</v>
      </c>
    </row>
    <row r="34" spans="1:5" x14ac:dyDescent="0.25">
      <c r="A34" s="30"/>
      <c r="B34" s="92" t="s">
        <v>5</v>
      </c>
      <c r="C34" s="120"/>
      <c r="D34" s="120"/>
      <c r="E34" s="120"/>
    </row>
    <row r="35" spans="1:5" x14ac:dyDescent="0.25">
      <c r="A35" s="30"/>
      <c r="B35" s="205" t="s">
        <v>385</v>
      </c>
      <c r="C35" s="209">
        <v>10</v>
      </c>
      <c r="D35" s="217">
        <v>10</v>
      </c>
      <c r="E35" s="217">
        <v>10</v>
      </c>
    </row>
    <row r="36" spans="1:5" x14ac:dyDescent="0.25">
      <c r="A36" s="30"/>
      <c r="B36" s="204" t="s">
        <v>386</v>
      </c>
      <c r="C36" s="103">
        <v>15</v>
      </c>
      <c r="D36" s="218">
        <v>15</v>
      </c>
      <c r="E36" s="218">
        <v>15</v>
      </c>
    </row>
    <row r="37" spans="1:5" x14ac:dyDescent="0.25">
      <c r="A37" s="30"/>
      <c r="B37" s="204" t="s">
        <v>387</v>
      </c>
      <c r="C37" s="103">
        <v>60</v>
      </c>
      <c r="D37" s="218">
        <v>60</v>
      </c>
      <c r="E37" s="218">
        <v>60</v>
      </c>
    </row>
    <row r="38" spans="1:5" x14ac:dyDescent="0.25">
      <c r="A38" s="30"/>
      <c r="B38" s="204" t="s">
        <v>388</v>
      </c>
      <c r="C38" s="103">
        <v>60</v>
      </c>
      <c r="D38" s="218">
        <v>60</v>
      </c>
      <c r="E38" s="218">
        <v>60</v>
      </c>
    </row>
    <row r="39" spans="1:5" x14ac:dyDescent="0.25">
      <c r="A39" s="30"/>
      <c r="B39" s="207" t="s">
        <v>389</v>
      </c>
      <c r="C39" s="210">
        <v>50</v>
      </c>
      <c r="D39" s="219">
        <v>50</v>
      </c>
      <c r="E39" s="219">
        <v>50</v>
      </c>
    </row>
    <row r="40" spans="1:5" x14ac:dyDescent="0.25">
      <c r="A40" s="30"/>
      <c r="B40" s="92" t="s">
        <v>536</v>
      </c>
    </row>
    <row r="41" spans="1:5" x14ac:dyDescent="0.25">
      <c r="A41" s="30"/>
      <c r="B41" s="205" t="s">
        <v>385</v>
      </c>
      <c r="C41" s="177">
        <f>C29*Population!$C$66/C35</f>
        <v>10585.023300069379</v>
      </c>
      <c r="D41" s="177">
        <f>D29*Population!$C$66/D35</f>
        <v>10585.023300069379</v>
      </c>
      <c r="E41" s="177">
        <f>E29*Population!$C$66/E35</f>
        <v>10585.023300069379</v>
      </c>
    </row>
    <row r="42" spans="1:5" x14ac:dyDescent="0.25">
      <c r="A42" s="30"/>
      <c r="B42" s="204" t="s">
        <v>386</v>
      </c>
      <c r="C42" s="153">
        <f>C30*Population!$C$66*2/C36</f>
        <v>28226.72880018501</v>
      </c>
      <c r="D42" s="153">
        <f>D30*Population!$C$66*2/D36</f>
        <v>28226.72880018501</v>
      </c>
      <c r="E42" s="153">
        <f>E30*Population!$C$66*2/E36</f>
        <v>28226.72880018501</v>
      </c>
    </row>
    <row r="43" spans="1:5" x14ac:dyDescent="0.25">
      <c r="A43" s="30"/>
      <c r="B43" s="204" t="s">
        <v>387</v>
      </c>
      <c r="C43" s="153">
        <f>Population!$M$46*C31/'4.1.1'!C37</f>
        <v>41803.353959329354</v>
      </c>
      <c r="D43" s="153">
        <f>Population!$M$46*D31/'4.1.1'!D37</f>
        <v>41803.353959329354</v>
      </c>
      <c r="E43" s="153">
        <f>Population!$M$46*E31/'4.1.1'!E37</f>
        <v>41803.353959329354</v>
      </c>
    </row>
    <row r="44" spans="1:5" x14ac:dyDescent="0.25">
      <c r="A44" s="30"/>
      <c r="B44" s="204" t="s">
        <v>388</v>
      </c>
      <c r="C44" s="153">
        <f>Population!$C$68*'4.1.1'!C32/'4.1.1'!C38</f>
        <v>15246.718247727102</v>
      </c>
      <c r="D44" s="153">
        <f>Population!$C$68*'4.1.1'!D32/'4.1.1'!D38</f>
        <v>15246.718247727102</v>
      </c>
      <c r="E44" s="153">
        <f>Population!$C$68*'4.1.1'!E32/'4.1.1'!E38</f>
        <v>15246.718247727102</v>
      </c>
    </row>
    <row r="45" spans="1:5" x14ac:dyDescent="0.25">
      <c r="A45" s="30"/>
      <c r="B45" s="204" t="s">
        <v>389</v>
      </c>
      <c r="C45" s="153">
        <f>Population!$C$69*C33/C39</f>
        <v>3917.9558165631333</v>
      </c>
      <c r="D45" s="153">
        <f>Population!$C$69*D33/D39</f>
        <v>3917.9558165631333</v>
      </c>
      <c r="E45" s="153">
        <f>Population!$C$69*E33/E39</f>
        <v>3917.9558165631333</v>
      </c>
    </row>
    <row r="46" spans="1:5" x14ac:dyDescent="0.25">
      <c r="A46" s="30"/>
      <c r="B46" s="203" t="s">
        <v>535</v>
      </c>
      <c r="C46" s="211">
        <f>SUM(C41:C45)</f>
        <v>99779.780123873978</v>
      </c>
      <c r="D46" s="211">
        <f t="shared" ref="D46:E46" si="12">SUM(D41:D45)</f>
        <v>99779.780123873978</v>
      </c>
      <c r="E46" s="211">
        <f t="shared" si="12"/>
        <v>99779.780123873978</v>
      </c>
    </row>
    <row r="47" spans="1:5" x14ac:dyDescent="0.25">
      <c r="A47" s="30"/>
      <c r="B47" s="122" t="s">
        <v>0</v>
      </c>
      <c r="C47" s="54"/>
      <c r="D47" s="54"/>
      <c r="E47" s="54"/>
    </row>
    <row r="48" spans="1:5" x14ac:dyDescent="0.25">
      <c r="A48" s="30"/>
      <c r="B48" s="92" t="s">
        <v>16</v>
      </c>
      <c r="C48" s="113">
        <v>0.25</v>
      </c>
      <c r="D48" s="197">
        <v>0.25</v>
      </c>
      <c r="E48" s="197">
        <v>0.25</v>
      </c>
    </row>
    <row r="49" spans="1:5" x14ac:dyDescent="0.25">
      <c r="A49" s="30"/>
      <c r="B49" s="92" t="s">
        <v>17</v>
      </c>
      <c r="C49" s="114">
        <v>5</v>
      </c>
      <c r="D49" s="186">
        <v>5</v>
      </c>
      <c r="E49" s="186">
        <v>5</v>
      </c>
    </row>
    <row r="50" spans="1:5" x14ac:dyDescent="0.25">
      <c r="A50" s="30"/>
      <c r="B50" s="92" t="s">
        <v>18</v>
      </c>
      <c r="C50" s="344">
        <v>800</v>
      </c>
      <c r="D50" s="345">
        <v>800</v>
      </c>
      <c r="E50" s="345">
        <v>800</v>
      </c>
    </row>
    <row r="51" spans="1:5" x14ac:dyDescent="0.25">
      <c r="A51" s="30"/>
      <c r="B51" s="122" t="s">
        <v>1</v>
      </c>
      <c r="C51" s="54"/>
      <c r="D51" s="54"/>
      <c r="E51" s="54"/>
    </row>
    <row r="52" spans="1:5" x14ac:dyDescent="0.25">
      <c r="A52" s="30"/>
      <c r="B52" s="92" t="s">
        <v>20</v>
      </c>
      <c r="C52" s="113">
        <v>0.25</v>
      </c>
      <c r="D52" s="197">
        <v>0.25</v>
      </c>
      <c r="E52" s="197">
        <v>0.25</v>
      </c>
    </row>
    <row r="53" spans="1:5" x14ac:dyDescent="0.25">
      <c r="A53" s="30"/>
      <c r="B53" s="92" t="s">
        <v>21</v>
      </c>
      <c r="C53" s="113">
        <v>0.1</v>
      </c>
      <c r="D53" s="197">
        <v>0.1</v>
      </c>
      <c r="E53" s="197">
        <v>0.1</v>
      </c>
    </row>
    <row r="54" spans="1:5" x14ac:dyDescent="0.25">
      <c r="A54" s="30"/>
      <c r="B54" s="212" t="s">
        <v>17</v>
      </c>
      <c r="C54" s="166">
        <v>5</v>
      </c>
      <c r="D54" s="172">
        <v>5</v>
      </c>
      <c r="E54" s="172">
        <v>5</v>
      </c>
    </row>
    <row r="55" spans="1:5" x14ac:dyDescent="0.25">
      <c r="A55" s="30"/>
      <c r="B55" s="92" t="s">
        <v>23</v>
      </c>
      <c r="C55" s="164">
        <v>3</v>
      </c>
      <c r="D55" s="173">
        <v>3</v>
      </c>
      <c r="E55" s="173">
        <v>3</v>
      </c>
    </row>
    <row r="56" spans="1:5" x14ac:dyDescent="0.25">
      <c r="A56" s="30"/>
      <c r="B56" s="213" t="s">
        <v>24</v>
      </c>
      <c r="C56" s="165">
        <v>200</v>
      </c>
      <c r="D56" s="174">
        <v>200</v>
      </c>
      <c r="E56" s="174">
        <v>200</v>
      </c>
    </row>
    <row r="57" spans="1:5" x14ac:dyDescent="0.25">
      <c r="A57" s="30"/>
      <c r="B57" s="212" t="s">
        <v>25</v>
      </c>
      <c r="C57" s="346">
        <v>1800</v>
      </c>
      <c r="D57" s="347">
        <v>1800</v>
      </c>
      <c r="E57" s="347">
        <v>1800</v>
      </c>
    </row>
    <row r="58" spans="1:5" x14ac:dyDescent="0.25">
      <c r="A58" s="3"/>
      <c r="B58" s="149" t="s">
        <v>534</v>
      </c>
      <c r="C58" s="348">
        <v>95000</v>
      </c>
      <c r="D58" s="349">
        <v>95000</v>
      </c>
      <c r="E58" s="349">
        <v>95000</v>
      </c>
    </row>
    <row r="59" spans="1:5" x14ac:dyDescent="0.25">
      <c r="A59" s="3"/>
      <c r="B59" s="167" t="s">
        <v>766</v>
      </c>
      <c r="C59" s="184">
        <f>(ECD_Facilities*(1+C52+C53)/C54)/C56*C55</f>
        <v>404.10810950168968</v>
      </c>
      <c r="D59" s="184">
        <f>(ECD_Facilities*(1+D52+D53)/D54)/D56*D55</f>
        <v>404.10810950168968</v>
      </c>
      <c r="E59" s="184">
        <f>(ECD_Facilities*(1+E52+E53)/E54)/E56*E55</f>
        <v>404.10810950168968</v>
      </c>
    </row>
    <row r="87" spans="1:2" hidden="1" x14ac:dyDescent="0.25">
      <c r="A87" s="2" t="s">
        <v>338</v>
      </c>
      <c r="B87" s="10"/>
    </row>
    <row r="88" spans="1:2" hidden="1" x14ac:dyDescent="0.25">
      <c r="A88" s="10"/>
    </row>
    <row r="89" spans="1:2" hidden="1" x14ac:dyDescent="0.25">
      <c r="A89" s="10"/>
    </row>
    <row r="90" spans="1:2" hidden="1" x14ac:dyDescent="0.25">
      <c r="A90" s="10"/>
    </row>
    <row r="91" spans="1:2" hidden="1" x14ac:dyDescent="0.25">
      <c r="A91" s="10"/>
    </row>
    <row r="92" spans="1:2" hidden="1" x14ac:dyDescent="0.25">
      <c r="A92" s="10"/>
    </row>
    <row r="93" spans="1:2" hidden="1" x14ac:dyDescent="0.25">
      <c r="A93" s="10"/>
    </row>
    <row r="94" spans="1:2" hidden="1" x14ac:dyDescent="0.25">
      <c r="A94" s="10"/>
    </row>
    <row r="95" spans="1:2" hidden="1" x14ac:dyDescent="0.25">
      <c r="A95" s="10"/>
      <c r="B95" s="10"/>
    </row>
    <row r="96" spans="1:2" hidden="1" x14ac:dyDescent="0.25">
      <c r="B96" s="95" t="s">
        <v>392</v>
      </c>
    </row>
    <row r="97" spans="2:5" hidden="1" x14ac:dyDescent="0.25">
      <c r="B97" s="93" t="s">
        <v>393</v>
      </c>
      <c r="C97" s="94">
        <f>C46*C48</f>
        <v>24944.945030968494</v>
      </c>
      <c r="D97" s="94">
        <f t="shared" ref="D97:E97" si="13">D46*D48</f>
        <v>24944.945030968494</v>
      </c>
      <c r="E97" s="94">
        <f t="shared" si="13"/>
        <v>24944.945030968494</v>
      </c>
    </row>
    <row r="98" spans="2:5" hidden="1" x14ac:dyDescent="0.25">
      <c r="B98" s="93" t="s">
        <v>394</v>
      </c>
      <c r="C98" s="94">
        <f>C46+C97</f>
        <v>124724.72515484247</v>
      </c>
      <c r="D98" s="94">
        <f t="shared" ref="D98:E98" si="14">D46+D97</f>
        <v>124724.72515484247</v>
      </c>
      <c r="E98" s="94">
        <f t="shared" si="14"/>
        <v>124724.72515484247</v>
      </c>
    </row>
    <row r="99" spans="2:5" hidden="1" x14ac:dyDescent="0.25"/>
    <row r="100" spans="2:5" hidden="1" x14ac:dyDescent="0.25">
      <c r="B100" s="93"/>
      <c r="C100" s="94"/>
      <c r="D100" s="94"/>
      <c r="E100" s="94"/>
    </row>
    <row r="101" spans="2:5" hidden="1" x14ac:dyDescent="0.25">
      <c r="B101" s="2" t="s">
        <v>1</v>
      </c>
    </row>
    <row r="102" spans="2:5" hidden="1" x14ac:dyDescent="0.25">
      <c r="B102" s="10" t="s">
        <v>395</v>
      </c>
      <c r="C102" s="94">
        <f>C46+C52*C46+C53*C46</f>
        <v>134702.70316722986</v>
      </c>
      <c r="D102" s="94">
        <f t="shared" ref="D102:E102" si="15">D46+D52*D46+D53*D46</f>
        <v>134702.70316722986</v>
      </c>
      <c r="E102" s="94">
        <f t="shared" si="15"/>
        <v>134702.70316722986</v>
      </c>
    </row>
    <row r="103" spans="2:5" hidden="1" x14ac:dyDescent="0.25"/>
    <row r="104" spans="2:5" hidden="1" x14ac:dyDescent="0.25"/>
    <row r="105" spans="2:5" hidden="1" x14ac:dyDescent="0.25">
      <c r="B105" t="s">
        <v>396</v>
      </c>
      <c r="C105" s="94">
        <f>C24/C57</f>
        <v>14.966967018581096</v>
      </c>
      <c r="D105" s="94">
        <f t="shared" ref="D105:E105" si="16">D24/D57</f>
        <v>14.966967018581096</v>
      </c>
      <c r="E105" s="94">
        <f t="shared" si="16"/>
        <v>14.966967018581096</v>
      </c>
    </row>
    <row r="106" spans="2:5" hidden="1" x14ac:dyDescent="0.25">
      <c r="B106" s="106" t="s">
        <v>397</v>
      </c>
      <c r="C106" s="148">
        <f>C105*C55</f>
        <v>44.90090105574329</v>
      </c>
      <c r="D106" s="148">
        <f t="shared" ref="D106:E106" si="17">D105*D55</f>
        <v>44.90090105574329</v>
      </c>
      <c r="E106" s="148">
        <f t="shared" si="17"/>
        <v>44.90090105574329</v>
      </c>
    </row>
    <row r="107" spans="2:5" hidden="1" x14ac:dyDescent="0.25"/>
  </sheetData>
  <sheetProtection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101"/>
  <sheetViews>
    <sheetView showGridLines="0" workbookViewId="0">
      <pane ySplit="1" topLeftCell="A11" activePane="bottomLeft" state="frozen"/>
      <selection pane="bottomLeft" activeCell="C20" sqref="C20"/>
    </sheetView>
  </sheetViews>
  <sheetFormatPr defaultRowHeight="15" x14ac:dyDescent="0.25"/>
  <cols>
    <col min="1" max="1" width="4.140625" style="3" customWidth="1"/>
    <col min="2" max="2" width="61.85546875" customWidth="1"/>
    <col min="3" max="5" width="18" customWidth="1"/>
    <col min="6" max="6" width="12.28515625" style="3" customWidth="1"/>
    <col min="7" max="7" width="19.42578125" style="3" customWidth="1"/>
    <col min="8" max="16384" width="9.140625" style="3"/>
  </cols>
  <sheetData>
    <row r="1" spans="1:5" ht="15.75" x14ac:dyDescent="0.25">
      <c r="B1" s="335" t="str">
        <f>A11</f>
        <v>Registration of ECD programmes</v>
      </c>
      <c r="C1" s="336" t="s">
        <v>335</v>
      </c>
      <c r="D1" s="337" t="s">
        <v>336</v>
      </c>
      <c r="E1" s="338" t="s">
        <v>337</v>
      </c>
    </row>
    <row r="2" spans="1:5" ht="14.25" x14ac:dyDescent="0.2">
      <c r="B2" s="123" t="s">
        <v>331</v>
      </c>
      <c r="C2" s="339">
        <f>SUM(C3:C4)</f>
        <v>64712322.251376048</v>
      </c>
      <c r="D2" s="339">
        <f t="shared" ref="D2:E2" si="0">SUM(D3:D4)</f>
        <v>64712322.251376048</v>
      </c>
      <c r="E2" s="339">
        <f t="shared" si="0"/>
        <v>64712322.251376048</v>
      </c>
    </row>
    <row r="3" spans="1:5" ht="14.25" x14ac:dyDescent="0.2">
      <c r="B3" s="126" t="s">
        <v>329</v>
      </c>
      <c r="C3" s="340">
        <f>C95*C34+C35*C98</f>
        <v>64712322.251376048</v>
      </c>
      <c r="D3" s="340">
        <f t="shared" ref="D3:E3" si="1">D95*D34+D35*D98</f>
        <v>64712322.251376048</v>
      </c>
      <c r="E3" s="340">
        <f t="shared" si="1"/>
        <v>64712322.251376048</v>
      </c>
    </row>
    <row r="4" spans="1:5" ht="14.25" x14ac:dyDescent="0.2">
      <c r="B4" s="128" t="s">
        <v>330</v>
      </c>
      <c r="C4" s="341"/>
      <c r="D4" s="341"/>
      <c r="E4" s="341"/>
    </row>
    <row r="5" spans="1:5" ht="14.25" x14ac:dyDescent="0.2">
      <c r="B5" s="130" t="s">
        <v>332</v>
      </c>
      <c r="C5" s="339"/>
      <c r="D5" s="339"/>
      <c r="E5" s="339"/>
    </row>
    <row r="6" spans="1:5" ht="14.25" x14ac:dyDescent="0.2">
      <c r="B6" s="123" t="s">
        <v>333</v>
      </c>
      <c r="C6" s="171"/>
      <c r="D6" s="171"/>
      <c r="E6" s="171"/>
    </row>
    <row r="7" spans="1:5" ht="14.25" x14ac:dyDescent="0.2">
      <c r="B7" s="123" t="s">
        <v>626</v>
      </c>
      <c r="C7" s="343">
        <f>C3-C6</f>
        <v>64712322.251376048</v>
      </c>
      <c r="D7" s="343">
        <f t="shared" ref="D7:E7" si="2">D3-D6</f>
        <v>64712322.251376048</v>
      </c>
      <c r="E7" s="343">
        <f t="shared" si="2"/>
        <v>64712322.251376048</v>
      </c>
    </row>
    <row r="8" spans="1:5" ht="14.25" x14ac:dyDescent="0.2">
      <c r="B8" s="134" t="s">
        <v>537</v>
      </c>
      <c r="C8" s="125"/>
      <c r="D8" s="125"/>
      <c r="E8" s="125"/>
    </row>
    <row r="9" spans="1:5" ht="14.25" x14ac:dyDescent="0.2">
      <c r="B9" s="149" t="s">
        <v>539</v>
      </c>
      <c r="C9" s="150">
        <f>SUM(C24:C26)*(1-C30)</f>
        <v>72553.59545362537</v>
      </c>
      <c r="D9" s="150">
        <f t="shared" ref="D9:E9" si="3">SUM(D24:D26)*(1-D30)</f>
        <v>72553.59545362537</v>
      </c>
      <c r="E9" s="150">
        <f t="shared" si="3"/>
        <v>72553.59545362537</v>
      </c>
    </row>
    <row r="11" spans="1:5" x14ac:dyDescent="0.25">
      <c r="A11" s="382" t="s">
        <v>26</v>
      </c>
      <c r="B11" s="382"/>
      <c r="C11" s="383"/>
      <c r="D11" s="383"/>
      <c r="E11" s="383"/>
    </row>
    <row r="12" spans="1:5" ht="14.25" x14ac:dyDescent="0.2">
      <c r="B12" s="91" t="s">
        <v>22</v>
      </c>
      <c r="C12" s="10"/>
      <c r="D12" s="10"/>
      <c r="E12" s="10"/>
    </row>
    <row r="13" spans="1:5" ht="14.25" x14ac:dyDescent="0.2">
      <c r="B13" s="221" t="s">
        <v>507</v>
      </c>
      <c r="C13" s="222"/>
      <c r="D13" s="222"/>
      <c r="E13" s="222"/>
    </row>
    <row r="14" spans="1:5" ht="14.25" x14ac:dyDescent="0.2">
      <c r="B14" s="220" t="s">
        <v>385</v>
      </c>
      <c r="C14" s="119">
        <v>0.1</v>
      </c>
      <c r="D14" s="215">
        <v>0.1</v>
      </c>
      <c r="E14" s="215">
        <v>0.1</v>
      </c>
    </row>
    <row r="15" spans="1:5" ht="14.25" x14ac:dyDescent="0.2">
      <c r="B15" s="220" t="s">
        <v>386</v>
      </c>
      <c r="C15" s="119">
        <v>0.2</v>
      </c>
      <c r="D15" s="215">
        <v>0.2</v>
      </c>
      <c r="E15" s="215">
        <v>0.2</v>
      </c>
    </row>
    <row r="16" spans="1:5" ht="14.25" x14ac:dyDescent="0.2">
      <c r="B16" s="220" t="s">
        <v>387</v>
      </c>
      <c r="C16" s="119">
        <v>0.8</v>
      </c>
      <c r="D16" s="215">
        <v>0.8</v>
      </c>
      <c r="E16" s="215">
        <v>0.8</v>
      </c>
    </row>
    <row r="17" spans="2:5" ht="14.25" x14ac:dyDescent="0.2">
      <c r="B17" s="220" t="s">
        <v>398</v>
      </c>
      <c r="C17" s="119">
        <v>0.01</v>
      </c>
      <c r="D17" s="215">
        <v>0.01</v>
      </c>
      <c r="E17" s="215">
        <v>0.01</v>
      </c>
    </row>
    <row r="18" spans="2:5" ht="14.25" x14ac:dyDescent="0.2">
      <c r="B18" s="222" t="s">
        <v>5</v>
      </c>
      <c r="C18" s="224"/>
      <c r="D18" s="224"/>
      <c r="E18" s="224"/>
    </row>
    <row r="19" spans="2:5" ht="14.25" x14ac:dyDescent="0.2">
      <c r="B19" s="220" t="s">
        <v>385</v>
      </c>
      <c r="C19" s="103">
        <v>10</v>
      </c>
      <c r="D19" s="218">
        <v>10</v>
      </c>
      <c r="E19" s="218">
        <v>10</v>
      </c>
    </row>
    <row r="20" spans="2:5" ht="14.25" x14ac:dyDescent="0.2">
      <c r="B20" s="220" t="s">
        <v>386</v>
      </c>
      <c r="C20" s="103">
        <v>15</v>
      </c>
      <c r="D20" s="218">
        <v>15</v>
      </c>
      <c r="E20" s="218">
        <v>15</v>
      </c>
    </row>
    <row r="21" spans="2:5" ht="14.25" x14ac:dyDescent="0.2">
      <c r="B21" s="220" t="s">
        <v>387</v>
      </c>
      <c r="C21" s="103">
        <v>60</v>
      </c>
      <c r="D21" s="218">
        <v>60</v>
      </c>
      <c r="E21" s="218">
        <v>60</v>
      </c>
    </row>
    <row r="22" spans="2:5" ht="14.25" x14ac:dyDescent="0.2">
      <c r="B22" s="220" t="s">
        <v>398</v>
      </c>
      <c r="C22" s="103">
        <v>50</v>
      </c>
      <c r="D22" s="218">
        <v>50</v>
      </c>
      <c r="E22" s="218">
        <v>50</v>
      </c>
    </row>
    <row r="23" spans="2:5" ht="14.25" x14ac:dyDescent="0.2">
      <c r="B23" s="222" t="s">
        <v>538</v>
      </c>
      <c r="C23" s="223"/>
      <c r="D23" s="223"/>
      <c r="E23" s="223"/>
    </row>
    <row r="24" spans="2:5" ht="14.25" x14ac:dyDescent="0.2">
      <c r="B24" s="220" t="s">
        <v>385</v>
      </c>
      <c r="C24" s="133">
        <f>C14*Population!$C$66/C19</f>
        <v>10585.023300069379</v>
      </c>
      <c r="D24" s="133">
        <f>D14*Population!$C$66/D19</f>
        <v>10585.023300069379</v>
      </c>
      <c r="E24" s="133">
        <f>E14*Population!$C$66/E19</f>
        <v>10585.023300069379</v>
      </c>
    </row>
    <row r="25" spans="2:5" ht="14.25" x14ac:dyDescent="0.2">
      <c r="B25" s="220" t="s">
        <v>386</v>
      </c>
      <c r="C25" s="133">
        <f>C15*Population!$C$66*2/'4.1.2'!C20</f>
        <v>28226.72880018501</v>
      </c>
      <c r="D25" s="133">
        <f>D15*Population!$C$66*2/'4.1.2'!D20</f>
        <v>28226.72880018501</v>
      </c>
      <c r="E25" s="133">
        <f>E15*Population!$C$66*2/'4.1.2'!E20</f>
        <v>28226.72880018501</v>
      </c>
    </row>
    <row r="26" spans="2:5" ht="14.25" x14ac:dyDescent="0.2">
      <c r="B26" s="220" t="s">
        <v>387</v>
      </c>
      <c r="C26" s="133">
        <f>C16*Population!$M$46/'4.1.2'!C21</f>
        <v>41803.353959329354</v>
      </c>
      <c r="D26" s="133">
        <f>D16*Population!$M$46/'4.1.2'!D21</f>
        <v>41803.353959329354</v>
      </c>
      <c r="E26" s="133">
        <f>E16*Population!$M$46/'4.1.2'!E21</f>
        <v>41803.353959329354</v>
      </c>
    </row>
    <row r="27" spans="2:5" ht="14.25" x14ac:dyDescent="0.2">
      <c r="B27" s="220" t="s">
        <v>398</v>
      </c>
      <c r="C27" s="133">
        <f>C17*(Population!$C$66*2+Population!$C$59)/C22</f>
        <v>1465.8010847812679</v>
      </c>
      <c r="D27" s="133">
        <f>D17*(Population!$C$66*2+Population!$C$59)/D22</f>
        <v>1465.8010847812679</v>
      </c>
      <c r="E27" s="133">
        <f>E17*(Population!$C$66*2+Population!$C$59)/E22</f>
        <v>1465.8010847812679</v>
      </c>
    </row>
    <row r="28" spans="2:5" ht="14.25" x14ac:dyDescent="0.2">
      <c r="B28" s="229" t="s">
        <v>593</v>
      </c>
      <c r="C28" s="230">
        <f>SUM(C24:C27)</f>
        <v>82080.907144365017</v>
      </c>
      <c r="D28" s="230">
        <f t="shared" ref="D28:E28" si="4">SUM(D24:D27)</f>
        <v>82080.907144365017</v>
      </c>
      <c r="E28" s="230">
        <f t="shared" si="4"/>
        <v>82080.907144365017</v>
      </c>
    </row>
    <row r="29" spans="2:5" ht="14.25" x14ac:dyDescent="0.2">
      <c r="B29" s="225" t="s">
        <v>20</v>
      </c>
      <c r="C29" s="226">
        <v>0.25</v>
      </c>
      <c r="D29" s="239">
        <v>0.25</v>
      </c>
      <c r="E29" s="239">
        <v>0.25</v>
      </c>
    </row>
    <row r="30" spans="2:5" ht="14.25" x14ac:dyDescent="0.2">
      <c r="B30" s="227" t="s">
        <v>21</v>
      </c>
      <c r="C30" s="228">
        <v>0.1</v>
      </c>
      <c r="D30" s="259">
        <v>0.1</v>
      </c>
      <c r="E30" s="259">
        <v>0.1</v>
      </c>
    </row>
    <row r="31" spans="2:5" ht="14.25" x14ac:dyDescent="0.2">
      <c r="B31" s="225" t="s">
        <v>17</v>
      </c>
      <c r="C31" s="166">
        <v>5</v>
      </c>
      <c r="D31" s="172">
        <v>5</v>
      </c>
      <c r="E31" s="172">
        <v>5</v>
      </c>
    </row>
    <row r="32" spans="2:5" ht="14.25" x14ac:dyDescent="0.2">
      <c r="B32" s="227" t="s">
        <v>23</v>
      </c>
      <c r="C32" s="165">
        <v>3</v>
      </c>
      <c r="D32" s="174">
        <v>3</v>
      </c>
      <c r="E32" s="174">
        <v>3</v>
      </c>
    </row>
    <row r="33" spans="2:5" ht="14.25" x14ac:dyDescent="0.2">
      <c r="B33" s="10" t="s">
        <v>24</v>
      </c>
      <c r="C33" s="114">
        <v>200</v>
      </c>
      <c r="D33" s="186">
        <v>200</v>
      </c>
      <c r="E33" s="186">
        <v>200</v>
      </c>
    </row>
    <row r="34" spans="2:5" ht="14.25" x14ac:dyDescent="0.2">
      <c r="B34" s="10" t="s">
        <v>25</v>
      </c>
      <c r="C34" s="368">
        <v>1800</v>
      </c>
      <c r="D34" s="354">
        <v>1800</v>
      </c>
      <c r="E34" s="354">
        <v>1800</v>
      </c>
    </row>
    <row r="35" spans="2:5" ht="14.25" x14ac:dyDescent="0.2">
      <c r="B35" s="227" t="s">
        <v>534</v>
      </c>
      <c r="C35" s="372">
        <v>95000</v>
      </c>
      <c r="D35" s="373">
        <v>95000</v>
      </c>
      <c r="E35" s="373">
        <v>95000</v>
      </c>
    </row>
    <row r="36" spans="2:5" ht="14.25" x14ac:dyDescent="0.2">
      <c r="B36" s="167" t="s">
        <v>770</v>
      </c>
      <c r="C36" s="184">
        <f>(C28*(1+C29+C30)/C31)/C33*C32</f>
        <v>332.42767393467835</v>
      </c>
      <c r="D36" s="184">
        <f t="shared" ref="D36:E36" si="5">(D28*(1+D29+D30)/D31)/D33*D32</f>
        <v>332.42767393467835</v>
      </c>
      <c r="E36" s="184">
        <f t="shared" si="5"/>
        <v>332.42767393467835</v>
      </c>
    </row>
    <row r="84" spans="1:5" hidden="1" x14ac:dyDescent="0.25"/>
    <row r="85" spans="1:5" hidden="1" x14ac:dyDescent="0.25">
      <c r="A85" s="3" t="s">
        <v>338</v>
      </c>
    </row>
    <row r="86" spans="1:5" hidden="1" x14ac:dyDescent="0.25"/>
    <row r="87" spans="1:5" hidden="1" x14ac:dyDescent="0.25"/>
    <row r="88" spans="1:5" hidden="1" x14ac:dyDescent="0.25"/>
    <row r="89" spans="1:5" hidden="1" x14ac:dyDescent="0.25"/>
    <row r="90" spans="1:5" hidden="1" x14ac:dyDescent="0.25"/>
    <row r="91" spans="1:5" hidden="1" x14ac:dyDescent="0.25"/>
    <row r="92" spans="1:5" hidden="1" x14ac:dyDescent="0.25"/>
    <row r="93" spans="1:5" hidden="1" x14ac:dyDescent="0.25">
      <c r="C93" s="88"/>
      <c r="D93" s="88"/>
      <c r="E93" s="88"/>
    </row>
    <row r="94" spans="1:5" ht="14.25" hidden="1" x14ac:dyDescent="0.2">
      <c r="B94" s="3" t="s">
        <v>399</v>
      </c>
      <c r="C94" s="88">
        <f>C28*C29+C9*C30+C9</f>
        <v>100329.18178507916</v>
      </c>
      <c r="D94" s="88">
        <f t="shared" ref="D94:E94" si="6">D28*D29+D9*D30+D9</f>
        <v>100329.18178507916</v>
      </c>
      <c r="E94" s="88">
        <f t="shared" si="6"/>
        <v>100329.18178507916</v>
      </c>
    </row>
    <row r="95" spans="1:5" ht="14.25" hidden="1" x14ac:dyDescent="0.2">
      <c r="B95" s="3" t="s">
        <v>400</v>
      </c>
      <c r="C95" s="88">
        <f>C94/C31</f>
        <v>20065.836357015833</v>
      </c>
      <c r="D95" s="88">
        <f t="shared" ref="D95:E95" si="7">D94/D31</f>
        <v>20065.836357015833</v>
      </c>
      <c r="E95" s="88">
        <f t="shared" si="7"/>
        <v>20065.836357015833</v>
      </c>
    </row>
    <row r="96" spans="1:5" hidden="1" x14ac:dyDescent="0.25"/>
    <row r="97" spans="2:5" ht="14.25" hidden="1" x14ac:dyDescent="0.2">
      <c r="B97" s="3" t="s">
        <v>396</v>
      </c>
      <c r="C97" s="90">
        <f>C95/C33</f>
        <v>100.32918178507916</v>
      </c>
      <c r="D97" s="90">
        <f t="shared" ref="D97:E97" si="8">D95/D33</f>
        <v>100.32918178507916</v>
      </c>
      <c r="E97" s="90">
        <f t="shared" si="8"/>
        <v>100.32918178507916</v>
      </c>
    </row>
    <row r="98" spans="2:5" ht="14.25" hidden="1" x14ac:dyDescent="0.2">
      <c r="B98" s="3" t="s">
        <v>401</v>
      </c>
      <c r="C98" s="90">
        <f>C97*C32</f>
        <v>300.98754535523744</v>
      </c>
      <c r="D98" s="90">
        <f t="shared" ref="D98:E98" si="9">D97*D32</f>
        <v>300.98754535523744</v>
      </c>
      <c r="E98" s="90">
        <f t="shared" si="9"/>
        <v>300.98754535523744</v>
      </c>
    </row>
    <row r="99" spans="2:5" hidden="1" x14ac:dyDescent="0.25"/>
    <row r="100" spans="2:5" hidden="1" x14ac:dyDescent="0.25"/>
    <row r="101" spans="2:5" hidden="1" x14ac:dyDescent="0.25"/>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A96867530E964BB8C2BAD600ADF732" ma:contentTypeVersion="2" ma:contentTypeDescription="Create a new document." ma:contentTypeScope="" ma:versionID="5262bff8fa188cac1fbdfa4eb828ec9a">
  <xsd:schema xmlns:xsd="http://www.w3.org/2001/XMLSchema" xmlns:xs="http://www.w3.org/2001/XMLSchema" xmlns:p="http://schemas.microsoft.com/office/2006/metadata/properties" xmlns:ns2="4f6a6593-3f1a-45db-9fbb-7c2fe78d580d" targetNamespace="http://schemas.microsoft.com/office/2006/metadata/properties" ma:root="true" ma:fieldsID="b14ed4e80aee148ea89719136c6cfe09" ns2:_="">
    <xsd:import namespace="4f6a6593-3f1a-45db-9fbb-7c2fe78d58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6a6593-3f1a-45db-9fbb-7c2fe78d5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763D40-0278-4508-85D9-9A26C3221F78}"/>
</file>

<file path=customXml/itemProps2.xml><?xml version="1.0" encoding="utf-8"?>
<ds:datastoreItem xmlns:ds="http://schemas.openxmlformats.org/officeDocument/2006/customXml" ds:itemID="{301D763A-9C2B-4464-8262-61FE1435EC8B}"/>
</file>

<file path=customXml/itemProps3.xml><?xml version="1.0" encoding="utf-8"?>
<ds:datastoreItem xmlns:ds="http://schemas.openxmlformats.org/officeDocument/2006/customXml" ds:itemID="{4BCE75A6-1FFA-4EDD-B2FE-0A6232681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Front</vt:lpstr>
      <vt:lpstr>Contents</vt:lpstr>
      <vt:lpstr>Service Descriptions</vt:lpstr>
      <vt:lpstr>Summary Opex</vt:lpstr>
      <vt:lpstr>Summary Capex</vt:lpstr>
      <vt:lpstr>Summary Outputs</vt:lpstr>
      <vt:lpstr>Summary Personnel</vt:lpstr>
      <vt:lpstr>4.1.1</vt:lpstr>
      <vt:lpstr>4.1.2</vt:lpstr>
      <vt:lpstr>4.1.3</vt:lpstr>
      <vt:lpstr>4.1.4</vt:lpstr>
      <vt:lpstr>4.1.5</vt:lpstr>
      <vt:lpstr>4.1.6</vt:lpstr>
      <vt:lpstr>4.1.7</vt:lpstr>
      <vt:lpstr>4.1.8</vt:lpstr>
      <vt:lpstr>4.1.9</vt:lpstr>
      <vt:lpstr>4.1.10</vt:lpstr>
      <vt:lpstr>4.2.1</vt:lpstr>
      <vt:lpstr>4.2.2</vt:lpstr>
      <vt:lpstr>4.2.3</vt:lpstr>
      <vt:lpstr>4.3.1</vt:lpstr>
      <vt:lpstr>4.3.2</vt:lpstr>
      <vt:lpstr>4.3.3</vt:lpstr>
      <vt:lpstr>4.3.4</vt:lpstr>
      <vt:lpstr>Population</vt:lpstr>
      <vt:lpstr>IES</vt:lpstr>
      <vt:lpstr>Sheet1</vt:lpstr>
      <vt:lpstr>Sheet4</vt:lpstr>
      <vt:lpstr>Soc Dev (2)</vt:lpstr>
      <vt:lpstr>'Service Descriptions'!_Toc357873800</vt:lpstr>
      <vt:lpstr>'Service Descriptions'!_Toc357873805</vt:lpstr>
      <vt:lpstr>'Service Descriptions'!_Toc357873810</vt:lpstr>
      <vt:lpstr>'Service Descriptions'!_Toc357873818</vt:lpstr>
      <vt:lpstr>'Service Descriptions'!_Toc357873819</vt:lpstr>
      <vt:lpstr>Age_Quin_Matrix</vt:lpstr>
      <vt:lpstr>birth_occurences2013</vt:lpstr>
      <vt:lpstr>ECD_centres_subsidised</vt:lpstr>
      <vt:lpstr>ECD_Facilities</vt:lpstr>
      <vt:lpstr>ECD_Facilities_registered</vt:lpstr>
      <vt:lpstr>'4.3.1'!Print_Area</vt:lpstr>
      <vt:lpstr>'4.3.3'!Print_Area</vt:lpstr>
      <vt:lpstr>'4.3.4'!Print_Area</vt:lpstr>
      <vt:lpstr>Q_0to4_split_by4</vt:lpstr>
      <vt:lpstr>Q_0to5</vt:lpstr>
      <vt:lpstr>Q_2to5</vt:lpstr>
      <vt:lpstr>Q_2to6</vt:lpstr>
      <vt:lpstr>Q_3to5</vt:lpstr>
      <vt:lpstr>Subsidy_tgt_grp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CER002</dc:creator>
  <cp:lastModifiedBy>Conrad</cp:lastModifiedBy>
  <cp:lastPrinted>2013-08-10T05:56:16Z</cp:lastPrinted>
  <dcterms:created xsi:type="dcterms:W3CDTF">2013-06-10T07:12:01Z</dcterms:created>
  <dcterms:modified xsi:type="dcterms:W3CDTF">2016-08-31T18:31:57Z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0x01010077A96867530E964BB8C2BAD600ADF732</vt:lpwstr>
  </property>
</Properties>
</file>