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drawings/drawing3.xml" ContentType="application/vnd.openxmlformats-officedocument.drawingml.chartshapes+xml"/>
  <Override PartName="/xl/drawings/drawing7.xml" ContentType="application/vnd.openxmlformats-officedocument.drawingml.chartshapes+xml"/>
  <Override PartName="/xl/drawings/drawing6.xml" ContentType="application/vnd.openxmlformats-officedocument.drawingml.chartshapes+xml"/>
  <Override PartName="/xl/drawings/drawing8.xml" ContentType="application/vnd.openxmlformats-officedocument.drawingml.chartshapes+xml"/>
  <Override PartName="/xl/drawings/drawing15.xml" ContentType="application/vnd.openxmlformats-officedocument.drawingml.chartshapes+xml"/>
  <Override PartName="/xl/drawings/drawing4.xml" ContentType="application/vnd.openxmlformats-officedocument.drawingml.chartshapes+xml"/>
  <Override PartName="/xl/drawings/drawing16.xml" ContentType="application/vnd.openxmlformats-officedocument.drawingml.chartshapes+xml"/>
  <Override PartName="/xl/drawings/drawing13.xml" ContentType="application/vnd.openxmlformats-officedocument.drawingml.chartshapes+xml"/>
  <Override PartName="/xl/workbook.xml" ContentType="application/vnd.openxmlformats-officedocument.spreadsheetml.sheet.main+xml"/>
  <Override PartName="/xl/worksheets/sheet12.xml" ContentType="application/vnd.openxmlformats-officedocument.spreadsheetml.worksheet+xml"/>
  <Override PartName="/xl/charts/chart23.xml" ContentType="application/vnd.openxmlformats-officedocument.drawingml.chart+xml"/>
  <Override PartName="/xl/drawings/drawing11.xml" ContentType="application/vnd.openxmlformats-officedocument.drawing+xml"/>
  <Override PartName="/xl/drawings/drawing10.xml" ContentType="application/vnd.openxmlformats-officedocument.drawing+xml"/>
  <Override PartName="/xl/drawings/drawing9.xml" ContentType="application/vnd.openxmlformats-officedocument.drawing+xml"/>
  <Override PartName="/xl/drawings/drawing12.xml" ContentType="application/vnd.openxmlformats-officedocument.drawing+xml"/>
  <Override PartName="/xl/charts/chart24.xml" ContentType="application/vnd.openxmlformats-officedocument.drawingml.chart+xml"/>
  <Override PartName="/xl/charts/chart27.xml" ContentType="application/vnd.openxmlformats-officedocument.drawingml.chart+xml"/>
  <Override PartName="/xl/drawings/drawing14.xml" ContentType="application/vnd.openxmlformats-officedocument.drawing+xml"/>
  <Override PartName="/xl/worksheets/sheet6.xml" ContentType="application/vnd.openxmlformats-officedocument.spreadsheetml.worksheet+xml"/>
  <Override PartName="/xl/charts/chart26.xml" ContentType="application/vnd.openxmlformats-officedocument.drawingml.chart+xml"/>
  <Override PartName="/xl/charts/chart25.xml" ContentType="application/vnd.openxmlformats-officedocument.drawingml.chart+xml"/>
  <Override PartName="/xl/worksheets/sheet7.xml" ContentType="application/vnd.openxmlformats-officedocument.spreadsheetml.worksheet+xml"/>
  <Override PartName="/xl/charts/chart22.xml" ContentType="application/vnd.openxmlformats-officedocument.drawingml.chart+xml"/>
  <Override PartName="/xl/charts/chart21.xml" ContentType="application/vnd.openxmlformats-officedocument.drawingml.chart+xml"/>
  <Override PartName="/xl/worksheets/sheet1.xml" ContentType="application/vnd.openxmlformats-officedocument.spreadsheetml.worksheet+xml"/>
  <Override PartName="/xl/charts/chart13.xml" ContentType="application/vnd.openxmlformats-officedocument.drawingml.chart+xml"/>
  <Override PartName="/xl/drawings/drawing5.xml" ContentType="application/vnd.openxmlformats-officedocument.drawing+xml"/>
  <Override PartName="/xl/charts/chart12.xml" ContentType="application/vnd.openxmlformats-officedocument.drawingml.chart+xml"/>
  <Override PartName="/xl/charts/chart11.xml" ContentType="application/vnd.openxmlformats-officedocument.drawingml.chart+xml"/>
  <Override PartName="/xl/charts/chart14.xml" ContentType="application/vnd.openxmlformats-officedocument.drawingml.chart+xml"/>
  <Override PartName="/xl/worksheets/sheet8.xml" ContentType="application/vnd.openxmlformats-officedocument.spreadsheetml.worksheet+xml"/>
  <Override PartName="/xl/charts/chart15.xml" ContentType="application/vnd.openxmlformats-officedocument.drawingml.chart+xml"/>
  <Override PartName="/xl/charts/chart20.xml" ContentType="application/vnd.openxmlformats-officedocument.drawingml.chart+xml"/>
  <Override PartName="/xl/charts/chart19.xml" ContentType="application/vnd.openxmlformats-officedocument.drawingml.chart+xml"/>
  <Override PartName="/xl/charts/chart18.xml" ContentType="application/vnd.openxmlformats-officedocument.drawingml.chart+xml"/>
  <Override PartName="/xl/charts/chart17.xml" ContentType="application/vnd.openxmlformats-officedocument.drawingml.chart+xml"/>
  <Override PartName="/xl/charts/chart16.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worksheets/sheet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chart30.xml" ContentType="application/vnd.openxmlformats-officedocument.drawingml.chart+xml"/>
  <Override PartName="/xl/charts/chart10.xml" ContentType="application/vnd.openxmlformats-officedocument.drawingml.chart+xml"/>
  <Override PartName="/xl/worksheets/sheet9.xml" ContentType="application/vnd.openxmlformats-officedocument.spreadsheetml.worksheet+xml"/>
  <Override PartName="/xl/charts/chart8.xml" ContentType="application/vnd.openxmlformats-officedocument.drawingml.chart+xml"/>
  <Override PartName="/xl/worksheets/sheet35.xml" ContentType="application/vnd.openxmlformats-officedocument.spreadsheetml.worksheet+xml"/>
  <Override PartName="/xl/worksheets/sheet34.xml" ContentType="application/vnd.openxmlformats-officedocument.spreadsheetml.worksheet+xml"/>
  <Override PartName="/xl/worksheets/sheet33.xml" ContentType="application/vnd.openxmlformats-officedocument.spreadsheetml.worksheet+xml"/>
  <Override PartName="/xl/worksheets/sheet32.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drawings/drawing2.xml" ContentType="application/vnd.openxmlformats-officedocument.drawing+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charts/chart3.xml" ContentType="application/vnd.openxmlformats-officedocument.drawingml.chart+xml"/>
  <Override PartName="/xl/charts/chart4.xml" ContentType="application/vnd.openxmlformats-officedocument.drawingml.chart+xml"/>
  <Override PartName="/xl/worksheets/sheet11.xml" ContentType="application/vnd.openxmlformats-officedocument.spreadsheetml.worksheet+xml"/>
  <Override PartName="/xl/charts/chart5.xml" ContentType="application/vnd.openxmlformats-officedocument.drawingml.chart+xml"/>
  <Override PartName="/xl/worksheets/sheet10.xml" ContentType="application/vnd.openxmlformats-officedocument.spreadsheetml.worksheet+xml"/>
  <Override PartName="/xl/charts/chart6.xml" ContentType="application/vnd.openxmlformats-officedocument.drawingml.chart+xml"/>
  <Override PartName="/xl/charts/chart1.xml" ContentType="application/vnd.openxmlformats-officedocument.drawingml.chart+xml"/>
  <Override PartName="/xl/charts/chart7.xml" ContentType="application/vnd.openxmlformats-officedocument.drawingml.chart+xml"/>
  <Override PartName="/xl/charts/chart2.xml" ContentType="application/vnd.openxmlformats-officedocument.drawingml.chart+xml"/>
  <Override PartName="/xl/ctrlProps/ctrlProp13.xml" ContentType="application/vnd.ms-excel.controlproperties+xml"/>
  <Override PartName="/xl/ctrlProps/ctrlProp12.xml" ContentType="application/vnd.ms-excel.controlproperties+xml"/>
  <Override PartName="/xl/ctrlProps/ctrlProp11.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4.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xl/ctrlProps/ctrlProp5.xml" ContentType="application/vnd.ms-excel.controlproperties+xml"/>
  <Override PartName="/xl/comments3.xml" ContentType="application/vnd.openxmlformats-officedocument.spreadsheetml.comments+xml"/>
  <Override PartName="/xl/ctrlProps/ctrlProp4.xml" ContentType="application/vnd.ms-excel.controlproperties+xml"/>
  <Override PartName="/xl/ctrlProps/ctrlProp3.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Override PartName="/xl/externalLinks/externalLink2.xml" ContentType="application/vnd.openxmlformats-officedocument.spreadsheetml.externalLink+xml"/>
  <Override PartName="/xl/ctrlProps/ctrlProp9.xml" ContentType="application/vnd.ms-excel.controlproperties+xml"/>
  <Override PartName="/xl/ctrlProps/ctrlProp8.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ctrlProps/ctrlProp6.xml" ContentType="application/vnd.ms-excel.controlproperties+xml"/>
  <Override PartName="/xl/comments2.xml" ContentType="application/vnd.openxmlformats-officedocument.spreadsheetml.comments+xml"/>
  <Override PartName="/xl/externalLinks/externalLink1.xml" ContentType="application/vnd.openxmlformats-officedocument.spreadsheetml.externalLink+xml"/>
  <Override PartName="/xl/ctrlProps/ctrlProp1.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0" yWindow="60" windowWidth="20730" windowHeight="11700" firstSheet="12" activeTab="18"/>
  </bookViews>
  <sheets>
    <sheet name="Front" sheetId="30" r:id="rId1"/>
    <sheet name="Contents" sheetId="39" r:id="rId2"/>
    <sheet name="Budget Choices" sheetId="40" r:id="rId3"/>
    <sheet name="Budget Choices Workings" sheetId="38" state="hidden" r:id="rId4"/>
    <sheet name="Summary" sheetId="23" r:id="rId5"/>
    <sheet name="Catg-all" sheetId="25" r:id="rId6"/>
    <sheet name="Catg-Health" sheetId="26" r:id="rId7"/>
    <sheet name="Report tables" sheetId="41" state="hidden" r:id="rId8"/>
    <sheet name="Catg-SWelfare" sheetId="27" r:id="rId9"/>
    <sheet name="Catg-Agric" sheetId="28" r:id="rId10"/>
    <sheet name="Intervention List" sheetId="16" r:id="rId11"/>
    <sheet name="Policy Questions" sheetId="17" r:id="rId12"/>
    <sheet name="Health - Flow" sheetId="33" r:id="rId13"/>
    <sheet name="GenAssumptions" sheetId="12" r:id="rId14"/>
    <sheet name="NDOH" sheetId="1" r:id="rId15"/>
    <sheet name="PDOH" sheetId="13" r:id="rId16"/>
    <sheet name="Prev Treat" sheetId="22" r:id="rId17"/>
    <sheet name="Acute Prevalence" sheetId="35" r:id="rId18"/>
    <sheet name="Acute Treat" sheetId="34" r:id="rId19"/>
    <sheet name="Med-Prices" sheetId="32" r:id="rId20"/>
    <sheet name="DM&amp;Metros" sheetId="19" r:id="rId21"/>
    <sheet name="NDSD" sheetId="4" r:id="rId22"/>
    <sheet name="PDSD" sheetId="18" r:id="rId23"/>
    <sheet name="PDSD (2)" sheetId="43" state="hidden" r:id="rId24"/>
    <sheet name="SASSA" sheetId="6" r:id="rId25"/>
    <sheet name="SASSA (2)" sheetId="46" state="hidden" r:id="rId26"/>
    <sheet name="Agriculture" sheetId="5" r:id="rId27"/>
    <sheet name="H&amp;S Demand" sheetId="20" r:id="rId28"/>
    <sheet name="Agric Demand" sheetId="10" r:id="rId29"/>
    <sheet name="District" sheetId="8" state="hidden" r:id="rId30"/>
    <sheet name="Municipal" sheetId="9" state="hidden" r:id="rId31"/>
    <sheet name="IES" sheetId="15" r:id="rId32"/>
    <sheet name="Lists" sheetId="21" state="hidden" r:id="rId33"/>
    <sheet name="Maths Acute Treatment" sheetId="37" r:id="rId34"/>
    <sheet name="Census - years" sheetId="42" r:id="rId35"/>
    <sheet name="CBA" sheetId="44" r:id="rId36"/>
    <sheet name="CBA final" sheetId="45" r:id="rId37"/>
    <sheet name="Scenario" sheetId="24" state="hidden" r:id="rId38"/>
  </sheets>
  <externalReferences>
    <externalReference r:id="rId39"/>
    <externalReference r:id="rId40"/>
  </externalReferences>
  <definedNames>
    <definedName name="List_YesNO">Lists!$B$2:$B$3</definedName>
    <definedName name="Minutes_per_Year">GenAssumptions!$E$47</definedName>
    <definedName name="Policy_categories">Lists!$B$14:$B$18</definedName>
    <definedName name="Provinces">'H&amp;S Demand'!$A$4:$A$13</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E139" i="41" l="1"/>
  <c r="F139" i="41"/>
  <c r="G139" i="41"/>
  <c r="H139" i="41"/>
  <c r="D139" i="41"/>
  <c r="E140" i="41"/>
  <c r="F140" i="41"/>
  <c r="G140" i="41"/>
  <c r="H140" i="41"/>
  <c r="D140" i="41"/>
  <c r="D144" i="41"/>
  <c r="E144" i="41"/>
  <c r="F144" i="41"/>
  <c r="G144" i="41"/>
  <c r="H144" i="41"/>
  <c r="D145" i="41"/>
  <c r="E145" i="41"/>
  <c r="F145" i="41"/>
  <c r="G145" i="41"/>
  <c r="H145" i="41"/>
  <c r="D146" i="41"/>
  <c r="E146" i="41"/>
  <c r="F146" i="41"/>
  <c r="G146" i="41"/>
  <c r="H146" i="41"/>
  <c r="D147" i="41"/>
  <c r="E147" i="41"/>
  <c r="F147" i="41"/>
  <c r="G147" i="41"/>
  <c r="H147" i="41"/>
  <c r="D148" i="41"/>
  <c r="E148" i="41"/>
  <c r="F148" i="41"/>
  <c r="G148" i="41"/>
  <c r="H148" i="41"/>
  <c r="D150" i="41"/>
  <c r="E150" i="41"/>
  <c r="F150" i="41"/>
  <c r="G150" i="41"/>
  <c r="H150" i="41"/>
  <c r="D151" i="41"/>
  <c r="E151" i="41"/>
  <c r="F151" i="41"/>
  <c r="G151" i="41"/>
  <c r="H151" i="41"/>
  <c r="E142" i="41"/>
  <c r="F142" i="41"/>
  <c r="G142" i="41"/>
  <c r="H142" i="41"/>
  <c r="D142" i="41"/>
  <c r="C151" i="41"/>
  <c r="C142" i="41"/>
  <c r="C143" i="41"/>
  <c r="C144" i="41"/>
  <c r="C145" i="41"/>
  <c r="C146" i="41"/>
  <c r="C147" i="41"/>
  <c r="C148" i="41"/>
  <c r="C150" i="41"/>
  <c r="C140" i="41"/>
  <c r="D119" i="41"/>
  <c r="E119" i="41"/>
  <c r="F119" i="41"/>
  <c r="G119" i="41"/>
  <c r="H119" i="41"/>
  <c r="D120" i="41"/>
  <c r="E120" i="41"/>
  <c r="F120" i="41"/>
  <c r="G120" i="41"/>
  <c r="H120" i="41"/>
  <c r="D121" i="41"/>
  <c r="E121" i="41"/>
  <c r="F121" i="41"/>
  <c r="G121" i="41"/>
  <c r="H121" i="41"/>
  <c r="D122" i="41"/>
  <c r="E122" i="41"/>
  <c r="F122" i="41"/>
  <c r="G122" i="41"/>
  <c r="H122" i="41"/>
  <c r="D123" i="41"/>
  <c r="E123" i="41"/>
  <c r="F123" i="41"/>
  <c r="G123" i="41"/>
  <c r="H123" i="41"/>
  <c r="D125" i="41"/>
  <c r="E125" i="41"/>
  <c r="F125" i="41"/>
  <c r="G125" i="41"/>
  <c r="H125" i="41"/>
  <c r="D126" i="41"/>
  <c r="E126" i="41"/>
  <c r="F126" i="41"/>
  <c r="G126" i="41"/>
  <c r="H126" i="41"/>
  <c r="D127" i="41"/>
  <c r="E127" i="41"/>
  <c r="F127" i="41"/>
  <c r="G127" i="41"/>
  <c r="H127" i="41"/>
  <c r="D128" i="41"/>
  <c r="E128" i="41"/>
  <c r="F128" i="41"/>
  <c r="G128" i="41"/>
  <c r="H128" i="41"/>
  <c r="D129" i="41"/>
  <c r="E129" i="41"/>
  <c r="F129" i="41"/>
  <c r="G129" i="41"/>
  <c r="H129" i="41"/>
  <c r="D130" i="41"/>
  <c r="E130" i="41"/>
  <c r="F130" i="41"/>
  <c r="G130" i="41"/>
  <c r="H130" i="41"/>
  <c r="D131" i="41"/>
  <c r="E131" i="41"/>
  <c r="F131" i="41"/>
  <c r="G131" i="41"/>
  <c r="H131" i="41"/>
  <c r="D132" i="41"/>
  <c r="E132" i="41"/>
  <c r="F132" i="41"/>
  <c r="G132" i="41"/>
  <c r="H132" i="41"/>
  <c r="D133" i="41"/>
  <c r="E133" i="41"/>
  <c r="F133" i="41"/>
  <c r="G133" i="41"/>
  <c r="H133" i="41"/>
  <c r="D134" i="41"/>
  <c r="E134" i="41"/>
  <c r="F134" i="41"/>
  <c r="G134" i="41"/>
  <c r="H134" i="41"/>
  <c r="E117" i="41"/>
  <c r="F117" i="41"/>
  <c r="G117" i="41"/>
  <c r="H117" i="41"/>
  <c r="D117" i="41"/>
  <c r="E114" i="41"/>
  <c r="F114" i="41"/>
  <c r="G114" i="41"/>
  <c r="H114" i="41"/>
  <c r="E115" i="41"/>
  <c r="F115" i="41"/>
  <c r="G115" i="41"/>
  <c r="H115" i="41"/>
  <c r="D115" i="41"/>
  <c r="D114" i="41"/>
  <c r="C134" i="41"/>
  <c r="C118" i="41"/>
  <c r="C119" i="41"/>
  <c r="C120" i="41"/>
  <c r="C121" i="41"/>
  <c r="C122" i="41"/>
  <c r="C123" i="41"/>
  <c r="C124" i="41"/>
  <c r="C125" i="41"/>
  <c r="C126" i="41"/>
  <c r="C127" i="41"/>
  <c r="C128" i="41"/>
  <c r="C129" i="41"/>
  <c r="C130" i="41"/>
  <c r="C131" i="41"/>
  <c r="C132" i="41"/>
  <c r="C133" i="41"/>
  <c r="C117" i="41"/>
  <c r="F191" i="38"/>
  <c r="H192" i="38"/>
  <c r="G192" i="38"/>
  <c r="G191" i="38"/>
  <c r="F192" i="38"/>
  <c r="F190" i="38"/>
  <c r="E190" i="38"/>
  <c r="E191" i="38"/>
  <c r="E192" i="38"/>
  <c r="E189" i="38"/>
  <c r="D189" i="38"/>
  <c r="D190" i="38"/>
  <c r="D191" i="38"/>
  <c r="D192" i="38"/>
  <c r="D188" i="38"/>
  <c r="E4" i="20" l="1"/>
  <c r="P4" i="20"/>
  <c r="I12" i="46" l="1"/>
  <c r="J12" i="46"/>
  <c r="K12" i="46"/>
  <c r="L12" i="46"/>
  <c r="I13" i="46"/>
  <c r="J13" i="46"/>
  <c r="K13" i="46"/>
  <c r="L13" i="46"/>
  <c r="H13" i="46"/>
  <c r="H12" i="46"/>
  <c r="I38" i="46"/>
  <c r="J38" i="46"/>
  <c r="K38" i="46"/>
  <c r="L38" i="46"/>
  <c r="I39" i="46"/>
  <c r="J39" i="46"/>
  <c r="K39" i="46"/>
  <c r="L39" i="46"/>
  <c r="I40" i="46"/>
  <c r="J40" i="46"/>
  <c r="K40" i="46"/>
  <c r="L40" i="46"/>
  <c r="I41" i="46"/>
  <c r="J41" i="46"/>
  <c r="K41" i="46"/>
  <c r="L41" i="46"/>
  <c r="I42" i="46"/>
  <c r="J42" i="46"/>
  <c r="K42" i="46"/>
  <c r="L42" i="46"/>
  <c r="H39" i="46"/>
  <c r="H40" i="46"/>
  <c r="H41" i="46"/>
  <c r="H42" i="46"/>
  <c r="H38" i="46"/>
  <c r="I43" i="46"/>
  <c r="J43" i="46"/>
  <c r="K43" i="46"/>
  <c r="L43" i="46"/>
  <c r="H43" i="46"/>
  <c r="S133" i="46"/>
  <c r="S132" i="46"/>
  <c r="S131" i="46"/>
  <c r="S130" i="46"/>
  <c r="S129" i="46"/>
  <c r="S128" i="46"/>
  <c r="S127" i="46"/>
  <c r="L127" i="46"/>
  <c r="K127" i="46"/>
  <c r="J127" i="46"/>
  <c r="I127" i="46"/>
  <c r="H127" i="46"/>
  <c r="S126" i="46"/>
  <c r="S125" i="46"/>
  <c r="S124" i="46"/>
  <c r="S123" i="46"/>
  <c r="S121" i="46"/>
  <c r="S119" i="46"/>
  <c r="S118" i="46"/>
  <c r="S117" i="46"/>
  <c r="S116" i="46"/>
  <c r="S115" i="46"/>
  <c r="S114" i="46"/>
  <c r="S113" i="46"/>
  <c r="S112" i="46"/>
  <c r="L112" i="46"/>
  <c r="K112" i="46"/>
  <c r="J112" i="46"/>
  <c r="I112" i="46"/>
  <c r="H112" i="46"/>
  <c r="S111" i="46"/>
  <c r="S110" i="46"/>
  <c r="S109" i="46"/>
  <c r="S108" i="46"/>
  <c r="L108" i="46"/>
  <c r="K108" i="46"/>
  <c r="K16" i="46" s="1"/>
  <c r="J108" i="46"/>
  <c r="J16" i="46" s="1"/>
  <c r="I108" i="46"/>
  <c r="I16" i="46" s="1"/>
  <c r="H108" i="46"/>
  <c r="S107" i="46"/>
  <c r="S106" i="46"/>
  <c r="S105" i="46"/>
  <c r="L105" i="46"/>
  <c r="K105" i="46"/>
  <c r="J105" i="46"/>
  <c r="I105" i="46"/>
  <c r="H105" i="46"/>
  <c r="M92" i="46"/>
  <c r="M91" i="46"/>
  <c r="M90" i="46"/>
  <c r="M88" i="46"/>
  <c r="M87" i="46"/>
  <c r="M86" i="46"/>
  <c r="M85" i="46"/>
  <c r="M84" i="46"/>
  <c r="M82" i="46"/>
  <c r="M80" i="46"/>
  <c r="M127" i="46" s="1"/>
  <c r="M76" i="46"/>
  <c r="L76" i="46"/>
  <c r="K76" i="46"/>
  <c r="I76" i="46"/>
  <c r="J76" i="46" s="1"/>
  <c r="M75" i="46"/>
  <c r="L75" i="46"/>
  <c r="K75" i="46"/>
  <c r="I75" i="46"/>
  <c r="J75" i="46" s="1"/>
  <c r="M73" i="46"/>
  <c r="M72" i="46"/>
  <c r="M71" i="46"/>
  <c r="M70" i="46"/>
  <c r="M69" i="46"/>
  <c r="M68" i="46"/>
  <c r="M65" i="46"/>
  <c r="M112" i="46" s="1"/>
  <c r="M61" i="46"/>
  <c r="M60" i="46"/>
  <c r="M59" i="46"/>
  <c r="M58" i="46"/>
  <c r="M108" i="46" s="1"/>
  <c r="M16" i="46" s="1"/>
  <c r="M52" i="46"/>
  <c r="M51" i="46"/>
  <c r="M50" i="46"/>
  <c r="M105" i="46" s="1"/>
  <c r="M46" i="46"/>
  <c r="M45" i="46"/>
  <c r="M36" i="46"/>
  <c r="M34" i="46"/>
  <c r="M33" i="46"/>
  <c r="L31" i="46"/>
  <c r="K31" i="46"/>
  <c r="J31" i="46"/>
  <c r="I31" i="46"/>
  <c r="H31" i="46"/>
  <c r="M30" i="46"/>
  <c r="M31" i="46" s="1"/>
  <c r="L28" i="46"/>
  <c r="K28" i="46"/>
  <c r="J28" i="46"/>
  <c r="I28" i="46"/>
  <c r="H28" i="46"/>
  <c r="M27" i="46"/>
  <c r="L16" i="46"/>
  <c r="H16" i="46"/>
  <c r="S8" i="46"/>
  <c r="E1" i="46"/>
  <c r="F134" i="45"/>
  <c r="G134" i="45"/>
  <c r="H134" i="45"/>
  <c r="I134" i="45"/>
  <c r="J134" i="45"/>
  <c r="E134" i="45"/>
  <c r="E135" i="45"/>
  <c r="F135" i="45"/>
  <c r="G135" i="45"/>
  <c r="H135" i="45"/>
  <c r="I135" i="45"/>
  <c r="J135" i="45"/>
  <c r="E136" i="45"/>
  <c r="F136" i="45"/>
  <c r="G136" i="45"/>
  <c r="H136" i="45"/>
  <c r="I136" i="45"/>
  <c r="J136" i="45"/>
  <c r="E137" i="45"/>
  <c r="F137" i="45"/>
  <c r="G137" i="45"/>
  <c r="H137" i="45"/>
  <c r="I137" i="45"/>
  <c r="J137" i="45"/>
  <c r="D136" i="45"/>
  <c r="D137" i="45"/>
  <c r="D135" i="45"/>
  <c r="E128" i="45"/>
  <c r="F128" i="45"/>
  <c r="G128" i="45"/>
  <c r="H128" i="45"/>
  <c r="I128" i="45"/>
  <c r="J128" i="45"/>
  <c r="E129" i="45"/>
  <c r="F129" i="45"/>
  <c r="G129" i="45"/>
  <c r="H129" i="45"/>
  <c r="I129" i="45"/>
  <c r="J129" i="45"/>
  <c r="E130" i="45"/>
  <c r="F130" i="45"/>
  <c r="G130" i="45"/>
  <c r="H130" i="45"/>
  <c r="I130" i="45"/>
  <c r="J130" i="45"/>
  <c r="E131" i="45"/>
  <c r="F131" i="45"/>
  <c r="G131" i="45"/>
  <c r="H131" i="45"/>
  <c r="I131" i="45"/>
  <c r="J131" i="45"/>
  <c r="E132" i="45"/>
  <c r="F132" i="45"/>
  <c r="G132" i="45"/>
  <c r="H132" i="45"/>
  <c r="I132" i="45"/>
  <c r="J132" i="45"/>
  <c r="D129" i="45"/>
  <c r="D132" i="45"/>
  <c r="D131" i="45"/>
  <c r="D130" i="45"/>
  <c r="J122" i="45"/>
  <c r="I122" i="45"/>
  <c r="H122" i="45"/>
  <c r="G122" i="45"/>
  <c r="F122" i="45"/>
  <c r="E122" i="45"/>
  <c r="D122" i="45"/>
  <c r="J117" i="45"/>
  <c r="I117" i="45"/>
  <c r="H117" i="45"/>
  <c r="G117" i="45"/>
  <c r="F117" i="45"/>
  <c r="E117" i="45"/>
  <c r="D117" i="45"/>
  <c r="E112" i="45"/>
  <c r="F112" i="45"/>
  <c r="G112" i="45"/>
  <c r="H112" i="45"/>
  <c r="I112" i="45"/>
  <c r="J112" i="45"/>
  <c r="D112" i="45"/>
  <c r="E123" i="45"/>
  <c r="F123" i="45"/>
  <c r="G123" i="45"/>
  <c r="H123" i="45"/>
  <c r="I123" i="45"/>
  <c r="J123" i="45"/>
  <c r="E124" i="45"/>
  <c r="F124" i="45"/>
  <c r="G124" i="45"/>
  <c r="H124" i="45"/>
  <c r="I124" i="45"/>
  <c r="J124" i="45"/>
  <c r="E125" i="45"/>
  <c r="F125" i="45"/>
  <c r="G125" i="45"/>
  <c r="H125" i="45"/>
  <c r="I125" i="45"/>
  <c r="J125" i="45"/>
  <c r="E126" i="45"/>
  <c r="F126" i="45"/>
  <c r="G126" i="45"/>
  <c r="H126" i="45"/>
  <c r="I126" i="45"/>
  <c r="J126" i="45"/>
  <c r="E118" i="45"/>
  <c r="F118" i="45"/>
  <c r="G118" i="45"/>
  <c r="H118" i="45"/>
  <c r="I118" i="45"/>
  <c r="J118" i="45"/>
  <c r="E119" i="45"/>
  <c r="F119" i="45"/>
  <c r="G119" i="45"/>
  <c r="H119" i="45"/>
  <c r="I119" i="45"/>
  <c r="J119" i="45"/>
  <c r="E120" i="45"/>
  <c r="F120" i="45"/>
  <c r="G120" i="45"/>
  <c r="H120" i="45"/>
  <c r="I120" i="45"/>
  <c r="J120" i="45"/>
  <c r="E121" i="45"/>
  <c r="F121" i="45"/>
  <c r="G121" i="45"/>
  <c r="H121" i="45"/>
  <c r="I121" i="45"/>
  <c r="J121" i="45"/>
  <c r="D124" i="45"/>
  <c r="D125" i="45"/>
  <c r="D126" i="45"/>
  <c r="D123" i="45"/>
  <c r="D119" i="45"/>
  <c r="D120" i="45"/>
  <c r="D121" i="45"/>
  <c r="D118" i="45"/>
  <c r="D113" i="45"/>
  <c r="E113" i="45"/>
  <c r="F113" i="45"/>
  <c r="G113" i="45"/>
  <c r="H113" i="45"/>
  <c r="I113" i="45"/>
  <c r="J113" i="45"/>
  <c r="E114" i="45"/>
  <c r="F114" i="45"/>
  <c r="G114" i="45"/>
  <c r="H114" i="45"/>
  <c r="I114" i="45"/>
  <c r="J114" i="45"/>
  <c r="E115" i="45"/>
  <c r="F115" i="45"/>
  <c r="G115" i="45"/>
  <c r="H115" i="45"/>
  <c r="I115" i="45"/>
  <c r="J115" i="45"/>
  <c r="E116" i="45"/>
  <c r="F116" i="45"/>
  <c r="G116" i="45"/>
  <c r="H116" i="45"/>
  <c r="I116" i="45"/>
  <c r="J116" i="45"/>
  <c r="D114" i="45"/>
  <c r="D115" i="45"/>
  <c r="D116" i="45"/>
  <c r="J110" i="45"/>
  <c r="F97" i="45"/>
  <c r="G97" i="45"/>
  <c r="H97" i="45"/>
  <c r="I97" i="45"/>
  <c r="J97" i="45"/>
  <c r="F98" i="45"/>
  <c r="G98" i="45"/>
  <c r="H98" i="45"/>
  <c r="I98" i="45"/>
  <c r="J98" i="45"/>
  <c r="F99" i="45"/>
  <c r="G99" i="45"/>
  <c r="H99" i="45"/>
  <c r="I99" i="45"/>
  <c r="J99" i="45"/>
  <c r="F100" i="45"/>
  <c r="G100" i="45"/>
  <c r="H100" i="45"/>
  <c r="I100" i="45"/>
  <c r="J100" i="45"/>
  <c r="F102" i="45"/>
  <c r="G102" i="45"/>
  <c r="H102" i="45"/>
  <c r="I102" i="45"/>
  <c r="J102" i="45"/>
  <c r="F103" i="45"/>
  <c r="G103" i="45"/>
  <c r="H103" i="45"/>
  <c r="I103" i="45"/>
  <c r="J103" i="45"/>
  <c r="F104" i="45"/>
  <c r="G104" i="45"/>
  <c r="H104" i="45"/>
  <c r="I104" i="45"/>
  <c r="J104" i="45"/>
  <c r="F105" i="45"/>
  <c r="G105" i="45"/>
  <c r="H105" i="45"/>
  <c r="I105" i="45"/>
  <c r="J105" i="45"/>
  <c r="F107" i="45"/>
  <c r="G107" i="45"/>
  <c r="H107" i="45"/>
  <c r="I107" i="45"/>
  <c r="J107" i="45"/>
  <c r="F108" i="45"/>
  <c r="G108" i="45"/>
  <c r="H108" i="45"/>
  <c r="I108" i="45"/>
  <c r="J108" i="45"/>
  <c r="F109" i="45"/>
  <c r="G109" i="45"/>
  <c r="H109" i="45"/>
  <c r="I109" i="45"/>
  <c r="J109" i="45"/>
  <c r="F110" i="45"/>
  <c r="G110" i="45"/>
  <c r="H110" i="45"/>
  <c r="I110" i="45"/>
  <c r="E108" i="45"/>
  <c r="E109" i="45"/>
  <c r="E110" i="45"/>
  <c r="E107" i="45"/>
  <c r="E103" i="45"/>
  <c r="E104" i="45"/>
  <c r="E105" i="45"/>
  <c r="E102" i="45"/>
  <c r="E98" i="45"/>
  <c r="E99" i="45"/>
  <c r="E100" i="45"/>
  <c r="E97" i="45"/>
  <c r="D108" i="45"/>
  <c r="D109" i="45"/>
  <c r="D110" i="45"/>
  <c r="D107" i="45"/>
  <c r="D103" i="45"/>
  <c r="D104" i="45"/>
  <c r="D105" i="45"/>
  <c r="D102" i="45"/>
  <c r="D98" i="45"/>
  <c r="D99" i="45"/>
  <c r="D100" i="45"/>
  <c r="D97" i="45"/>
  <c r="G93" i="45"/>
  <c r="H93" i="45" s="1"/>
  <c r="I93" i="45" s="1"/>
  <c r="J93" i="45" s="1"/>
  <c r="F93" i="45"/>
  <c r="E93" i="45"/>
  <c r="G91" i="45"/>
  <c r="H91" i="45"/>
  <c r="I91" i="45" s="1"/>
  <c r="J91" i="45" s="1"/>
  <c r="E91" i="45"/>
  <c r="F91" i="45" s="1"/>
  <c r="G89" i="45"/>
  <c r="H89" i="45" s="1"/>
  <c r="I89" i="45" s="1"/>
  <c r="J89" i="45" s="1"/>
  <c r="F89" i="45"/>
  <c r="E89" i="45"/>
  <c r="J87" i="45"/>
  <c r="J86" i="45"/>
  <c r="G86" i="45"/>
  <c r="H86" i="45"/>
  <c r="I86" i="45" s="1"/>
  <c r="F86" i="45"/>
  <c r="E86" i="45"/>
  <c r="D87" i="45"/>
  <c r="D85" i="45"/>
  <c r="E146" i="46" l="1"/>
  <c r="E143" i="46"/>
  <c r="E139" i="46"/>
  <c r="E147" i="46"/>
  <c r="E140" i="46"/>
  <c r="E148" i="46"/>
  <c r="E141" i="46"/>
  <c r="E149" i="46"/>
  <c r="E145" i="46"/>
  <c r="E142" i="46"/>
  <c r="H111" i="46"/>
  <c r="M28" i="46"/>
  <c r="F87" i="45"/>
  <c r="H87" i="45"/>
  <c r="E87" i="45"/>
  <c r="I87" i="45"/>
  <c r="G87" i="45"/>
  <c r="D49" i="45"/>
  <c r="D45" i="45"/>
  <c r="D44" i="45"/>
  <c r="E26" i="44"/>
  <c r="L140" i="46" l="1"/>
  <c r="H140" i="46"/>
  <c r="K140" i="46"/>
  <c r="J140" i="46"/>
  <c r="I140" i="46"/>
  <c r="L147" i="46"/>
  <c r="H147" i="46"/>
  <c r="K147" i="46"/>
  <c r="J147" i="46"/>
  <c r="I147" i="46"/>
  <c r="J142" i="46"/>
  <c r="I142" i="46"/>
  <c r="L142" i="46"/>
  <c r="H142" i="46"/>
  <c r="K142" i="46"/>
  <c r="I148" i="46"/>
  <c r="L148" i="46"/>
  <c r="H148" i="46"/>
  <c r="K148" i="46"/>
  <c r="J148" i="46"/>
  <c r="J145" i="46"/>
  <c r="I145" i="46"/>
  <c r="L145" i="46"/>
  <c r="H145" i="46"/>
  <c r="K145" i="46"/>
  <c r="J149" i="46"/>
  <c r="I149" i="46"/>
  <c r="L149" i="46"/>
  <c r="H149" i="46"/>
  <c r="K149" i="46"/>
  <c r="I141" i="46"/>
  <c r="L141" i="46"/>
  <c r="H141" i="46"/>
  <c r="K141" i="46"/>
  <c r="J141" i="46"/>
  <c r="K139" i="46"/>
  <c r="J139" i="46"/>
  <c r="I139" i="46"/>
  <c r="L139" i="46"/>
  <c r="H139" i="46"/>
  <c r="K143" i="46"/>
  <c r="J143" i="46"/>
  <c r="I143" i="46"/>
  <c r="L143" i="46"/>
  <c r="H143" i="46"/>
  <c r="K146" i="46"/>
  <c r="J146" i="46"/>
  <c r="I146" i="46"/>
  <c r="L146" i="46"/>
  <c r="H146" i="46"/>
  <c r="E68" i="45"/>
  <c r="F68" i="45"/>
  <c r="G68" i="45"/>
  <c r="H68" i="45"/>
  <c r="I68" i="45"/>
  <c r="D68" i="45"/>
  <c r="C37" i="45"/>
  <c r="D80" i="45"/>
  <c r="E37" i="45"/>
  <c r="F37" i="45"/>
  <c r="G37" i="45"/>
  <c r="H37" i="45"/>
  <c r="I37" i="45"/>
  <c r="D37" i="45"/>
  <c r="E36" i="45"/>
  <c r="F36" i="45"/>
  <c r="G36" i="45"/>
  <c r="H36" i="45"/>
  <c r="I36" i="45"/>
  <c r="D36" i="45"/>
  <c r="P10" i="45"/>
  <c r="Q10" i="45"/>
  <c r="R10" i="45"/>
  <c r="S10" i="45"/>
  <c r="T10" i="45"/>
  <c r="O10" i="45"/>
  <c r="P9" i="45"/>
  <c r="Q9" i="45"/>
  <c r="R9" i="45"/>
  <c r="S9" i="45"/>
  <c r="T9" i="45"/>
  <c r="O9" i="45"/>
  <c r="J156" i="46" l="1"/>
  <c r="L162" i="46"/>
  <c r="K156" i="46"/>
  <c r="H161" i="46"/>
  <c r="H144" i="46"/>
  <c r="H155" i="46"/>
  <c r="J155" i="46"/>
  <c r="J161" i="46"/>
  <c r="J144" i="46"/>
  <c r="L161" i="46"/>
  <c r="L144" i="46"/>
  <c r="L155" i="46"/>
  <c r="K155" i="46"/>
  <c r="K161" i="46"/>
  <c r="K144" i="46"/>
  <c r="H156" i="46"/>
  <c r="L150" i="46"/>
  <c r="K162" i="46"/>
  <c r="I161" i="46"/>
  <c r="I144" i="46"/>
  <c r="I155" i="46"/>
  <c r="L156" i="46"/>
  <c r="I150" i="46"/>
  <c r="H162" i="46"/>
  <c r="J162" i="46"/>
  <c r="I156" i="46"/>
  <c r="K150" i="46"/>
  <c r="H150" i="46"/>
  <c r="J150" i="46"/>
  <c r="I162" i="46"/>
  <c r="D73" i="45"/>
  <c r="D67" i="45"/>
  <c r="M12" i="44"/>
  <c r="M13" i="44"/>
  <c r="M14" i="44"/>
  <c r="M11" i="44"/>
  <c r="E73" i="45"/>
  <c r="E67" i="45"/>
  <c r="L14" i="45"/>
  <c r="L13" i="45"/>
  <c r="L12" i="45"/>
  <c r="L11" i="45"/>
  <c r="K11" i="45"/>
  <c r="F10" i="45"/>
  <c r="F11" i="45" s="1"/>
  <c r="F13" i="45" s="1"/>
  <c r="C10" i="45"/>
  <c r="L12" i="44"/>
  <c r="L13" i="44"/>
  <c r="L14" i="44"/>
  <c r="L11" i="44"/>
  <c r="K11" i="44"/>
  <c r="F49" i="44"/>
  <c r="G49" i="44"/>
  <c r="H49" i="44"/>
  <c r="I49" i="44"/>
  <c r="E49" i="44"/>
  <c r="I151" i="46" l="1"/>
  <c r="K151" i="46"/>
  <c r="L151" i="46"/>
  <c r="J151" i="46"/>
  <c r="H151" i="46"/>
  <c r="S12" i="45"/>
  <c r="O12" i="45"/>
  <c r="P12" i="45"/>
  <c r="T12" i="45"/>
  <c r="Q12" i="45"/>
  <c r="R12" i="45"/>
  <c r="R13" i="45"/>
  <c r="P13" i="45"/>
  <c r="T13" i="45"/>
  <c r="S13" i="45"/>
  <c r="O13" i="45"/>
  <c r="Q13" i="45"/>
  <c r="Q14" i="45"/>
  <c r="O14" i="45"/>
  <c r="R14" i="45"/>
  <c r="S14" i="45"/>
  <c r="P14" i="45"/>
  <c r="T14" i="45"/>
  <c r="P11" i="45"/>
  <c r="T11" i="45"/>
  <c r="R11" i="45"/>
  <c r="M11" i="45"/>
  <c r="Q11" i="45"/>
  <c r="S11" i="45"/>
  <c r="O11" i="45"/>
  <c r="D11" i="45"/>
  <c r="D15" i="45" s="1"/>
  <c r="E79" i="45"/>
  <c r="G10" i="45"/>
  <c r="G73" i="45" s="1"/>
  <c r="G67" i="45" s="1"/>
  <c r="D35" i="45"/>
  <c r="F12" i="45"/>
  <c r="E11" i="45"/>
  <c r="F15" i="45"/>
  <c r="D12" i="45"/>
  <c r="F14" i="45"/>
  <c r="G80" i="45"/>
  <c r="E80" i="45"/>
  <c r="M8" i="45"/>
  <c r="F73" i="45"/>
  <c r="F67" i="45" s="1"/>
  <c r="C10" i="44"/>
  <c r="E3" i="44"/>
  <c r="G3" i="44"/>
  <c r="E4" i="44"/>
  <c r="G4" i="44"/>
  <c r="E5" i="44"/>
  <c r="G5" i="44"/>
  <c r="E6" i="44"/>
  <c r="G6" i="44"/>
  <c r="E7" i="44"/>
  <c r="G7" i="44"/>
  <c r="F10" i="44"/>
  <c r="G10" i="44"/>
  <c r="H10" i="44" s="1"/>
  <c r="E55" i="44"/>
  <c r="F55" i="44"/>
  <c r="S148" i="43"/>
  <c r="S147" i="43"/>
  <c r="S146" i="43"/>
  <c r="S145" i="43"/>
  <c r="S144" i="43"/>
  <c r="S143" i="43"/>
  <c r="S142" i="43"/>
  <c r="S141" i="43"/>
  <c r="S140" i="43"/>
  <c r="S139" i="43"/>
  <c r="S138" i="43"/>
  <c r="S137" i="43"/>
  <c r="S136" i="43"/>
  <c r="S135" i="43"/>
  <c r="S134" i="43"/>
  <c r="S133" i="43"/>
  <c r="S132" i="43"/>
  <c r="S131" i="43"/>
  <c r="S130" i="43"/>
  <c r="S129" i="43"/>
  <c r="S128" i="43"/>
  <c r="S127" i="43"/>
  <c r="S126" i="43"/>
  <c r="S125" i="43"/>
  <c r="S124" i="43"/>
  <c r="I123" i="43"/>
  <c r="M106" i="43"/>
  <c r="L106" i="43"/>
  <c r="K106" i="43"/>
  <c r="J106" i="43"/>
  <c r="I106" i="43"/>
  <c r="H106" i="43"/>
  <c r="L100" i="43"/>
  <c r="K100" i="43"/>
  <c r="J100" i="43"/>
  <c r="I100" i="43"/>
  <c r="H100" i="43"/>
  <c r="L94" i="43"/>
  <c r="K94" i="43"/>
  <c r="J94" i="43"/>
  <c r="I94" i="43"/>
  <c r="H94" i="43"/>
  <c r="G94" i="43"/>
  <c r="G100" i="43" s="1"/>
  <c r="M88" i="43"/>
  <c r="L88" i="43"/>
  <c r="K88" i="43"/>
  <c r="J88" i="43"/>
  <c r="I88" i="43"/>
  <c r="H88" i="43"/>
  <c r="G88" i="43"/>
  <c r="M82" i="43"/>
  <c r="L82" i="43"/>
  <c r="K82" i="43"/>
  <c r="J82" i="43"/>
  <c r="I82" i="43"/>
  <c r="H82" i="43"/>
  <c r="M69" i="43"/>
  <c r="M68" i="43"/>
  <c r="M67" i="43"/>
  <c r="M66" i="43"/>
  <c r="M62" i="43"/>
  <c r="M61" i="43"/>
  <c r="M58" i="43"/>
  <c r="M57" i="43"/>
  <c r="M56" i="43"/>
  <c r="M55" i="43"/>
  <c r="M54" i="43"/>
  <c r="M49" i="43"/>
  <c r="M48" i="43"/>
  <c r="M47" i="43"/>
  <c r="M46" i="43"/>
  <c r="M45" i="43"/>
  <c r="M43" i="43"/>
  <c r="M42" i="43"/>
  <c r="M124" i="43" s="1"/>
  <c r="M38" i="43"/>
  <c r="M37" i="43"/>
  <c r="M36" i="43"/>
  <c r="M35" i="43"/>
  <c r="M34" i="43"/>
  <c r="M31" i="43"/>
  <c r="M30" i="43"/>
  <c r="M100" i="43" s="1"/>
  <c r="M29" i="43"/>
  <c r="M94" i="43" s="1"/>
  <c r="M28" i="43"/>
  <c r="M27" i="43"/>
  <c r="M25" i="43"/>
  <c r="M24" i="43"/>
  <c r="E14" i="43"/>
  <c r="E13" i="43"/>
  <c r="E12" i="43"/>
  <c r="E11" i="43"/>
  <c r="E1" i="43"/>
  <c r="M123" i="43" s="1"/>
  <c r="M444" i="13"/>
  <c r="F15" i="35"/>
  <c r="F6" i="35"/>
  <c r="G6" i="35"/>
  <c r="D15" i="35"/>
  <c r="E15" i="35"/>
  <c r="G15" i="35"/>
  <c r="H15" i="35"/>
  <c r="C15" i="35"/>
  <c r="M25" i="1"/>
  <c r="H18" i="45" l="1"/>
  <c r="H38" i="45"/>
  <c r="H24" i="45"/>
  <c r="H30" i="45"/>
  <c r="I38" i="45"/>
  <c r="I30" i="45"/>
  <c r="I24" i="45"/>
  <c r="I18" i="45"/>
  <c r="H41" i="45"/>
  <c r="H33" i="45"/>
  <c r="H27" i="45"/>
  <c r="H21" i="45"/>
  <c r="F26" i="45"/>
  <c r="F20" i="45"/>
  <c r="F40" i="45"/>
  <c r="F32" i="45"/>
  <c r="E32" i="45"/>
  <c r="E26" i="45"/>
  <c r="E40" i="45"/>
  <c r="E20" i="45"/>
  <c r="I25" i="45"/>
  <c r="I19" i="45"/>
  <c r="I39" i="45"/>
  <c r="I31" i="45"/>
  <c r="F18" i="45"/>
  <c r="F24" i="45"/>
  <c r="F38" i="45"/>
  <c r="F30" i="45"/>
  <c r="E38" i="45"/>
  <c r="E30" i="45"/>
  <c r="E24" i="45"/>
  <c r="E18" i="45"/>
  <c r="G41" i="45"/>
  <c r="G33" i="45"/>
  <c r="G27" i="45"/>
  <c r="G21" i="45"/>
  <c r="D26" i="45"/>
  <c r="D53" i="45" s="1"/>
  <c r="D20" i="45"/>
  <c r="D46" i="45" s="1"/>
  <c r="D40" i="45"/>
  <c r="D32" i="45"/>
  <c r="D61" i="45" s="1"/>
  <c r="G40" i="45"/>
  <c r="G32" i="45"/>
  <c r="G26" i="45"/>
  <c r="G20" i="45"/>
  <c r="E39" i="45"/>
  <c r="E31" i="45"/>
  <c r="E25" i="45"/>
  <c r="E19" i="45"/>
  <c r="I27" i="45"/>
  <c r="I21" i="45"/>
  <c r="I41" i="45"/>
  <c r="I33" i="45"/>
  <c r="D41" i="45"/>
  <c r="D33" i="45"/>
  <c r="D62" i="45" s="1"/>
  <c r="D21" i="45"/>
  <c r="D47" i="45" s="1"/>
  <c r="D27" i="45"/>
  <c r="D54" i="45" s="1"/>
  <c r="H26" i="45"/>
  <c r="H20" i="45"/>
  <c r="H40" i="45"/>
  <c r="H32" i="45"/>
  <c r="G25" i="45"/>
  <c r="G19" i="45"/>
  <c r="G39" i="45"/>
  <c r="G31" i="45"/>
  <c r="D39" i="45"/>
  <c r="D31" i="45"/>
  <c r="D60" i="45" s="1"/>
  <c r="D25" i="45"/>
  <c r="D52" i="45" s="1"/>
  <c r="D19" i="45"/>
  <c r="D24" i="45"/>
  <c r="D51" i="45" s="1"/>
  <c r="D18" i="45"/>
  <c r="D48" i="45" s="1"/>
  <c r="D76" i="45" s="1"/>
  <c r="D38" i="45"/>
  <c r="D42" i="45" s="1"/>
  <c r="D30" i="45"/>
  <c r="D59" i="45" s="1"/>
  <c r="D63" i="45" s="1"/>
  <c r="D78" i="45" s="1"/>
  <c r="G24" i="45"/>
  <c r="G38" i="45"/>
  <c r="G30" i="45"/>
  <c r="G18" i="45"/>
  <c r="E27" i="45"/>
  <c r="E21" i="45"/>
  <c r="E33" i="45"/>
  <c r="E41" i="45"/>
  <c r="F41" i="45"/>
  <c r="F33" i="45"/>
  <c r="F27" i="45"/>
  <c r="F21" i="45"/>
  <c r="I40" i="45"/>
  <c r="I26" i="45"/>
  <c r="I32" i="45"/>
  <c r="I20" i="45"/>
  <c r="F39" i="45"/>
  <c r="F31" i="45"/>
  <c r="F25" i="45"/>
  <c r="F19" i="45"/>
  <c r="H39" i="45"/>
  <c r="H31" i="45"/>
  <c r="H25" i="45"/>
  <c r="H19" i="45"/>
  <c r="H10" i="45"/>
  <c r="H11" i="45" s="1"/>
  <c r="H12" i="45" s="1"/>
  <c r="G11" i="45"/>
  <c r="D13" i="45"/>
  <c r="D14" i="45"/>
  <c r="H15" i="45"/>
  <c r="H14" i="45"/>
  <c r="E14" i="45"/>
  <c r="E15" i="45"/>
  <c r="E12" i="45"/>
  <c r="E13" i="45"/>
  <c r="I14" i="45"/>
  <c r="F80" i="45"/>
  <c r="I10" i="45"/>
  <c r="I11" i="45" s="1"/>
  <c r="I15" i="45" s="1"/>
  <c r="F79" i="45"/>
  <c r="I79" i="45"/>
  <c r="H79" i="45"/>
  <c r="G79" i="45"/>
  <c r="M9" i="45"/>
  <c r="M8" i="44"/>
  <c r="E12" i="44"/>
  <c r="C11" i="44"/>
  <c r="D12" i="44"/>
  <c r="F12" i="44"/>
  <c r="G12" i="44"/>
  <c r="I10" i="44"/>
  <c r="I55" i="44" s="1"/>
  <c r="H55" i="44"/>
  <c r="G55" i="44"/>
  <c r="H12" i="44"/>
  <c r="I12" i="44"/>
  <c r="M131" i="43"/>
  <c r="M125" i="43"/>
  <c r="K123" i="43"/>
  <c r="E81" i="43"/>
  <c r="G81" i="43" s="1"/>
  <c r="I131" i="43"/>
  <c r="I125" i="43"/>
  <c r="L123" i="43"/>
  <c r="H123" i="43"/>
  <c r="J123" i="43"/>
  <c r="I124" i="43"/>
  <c r="C16" i="41"/>
  <c r="C15" i="41"/>
  <c r="C14" i="41"/>
  <c r="C13" i="41"/>
  <c r="C12" i="41"/>
  <c r="D64" i="45" l="1"/>
  <c r="D71" i="45" s="1"/>
  <c r="D75" i="45"/>
  <c r="E75" i="45"/>
  <c r="D56" i="45"/>
  <c r="D70" i="45" s="1"/>
  <c r="D69" i="45"/>
  <c r="G42" i="45"/>
  <c r="I42" i="45"/>
  <c r="F42" i="45"/>
  <c r="H42" i="45"/>
  <c r="D55" i="45"/>
  <c r="D77" i="45" s="1"/>
  <c r="E42" i="45"/>
  <c r="M13" i="45"/>
  <c r="M14" i="45"/>
  <c r="M12" i="45"/>
  <c r="G12" i="45"/>
  <c r="G13" i="45"/>
  <c r="G14" i="45"/>
  <c r="G15" i="45"/>
  <c r="I13" i="45"/>
  <c r="H73" i="45"/>
  <c r="H67" i="45" s="1"/>
  <c r="I12" i="45"/>
  <c r="H13" i="45"/>
  <c r="I73" i="45"/>
  <c r="I67" i="45" s="1"/>
  <c r="H80" i="45"/>
  <c r="F62" i="44"/>
  <c r="F50" i="44"/>
  <c r="M9" i="44"/>
  <c r="I61" i="44"/>
  <c r="F61" i="44"/>
  <c r="E61" i="44"/>
  <c r="G61" i="44"/>
  <c r="H61" i="44"/>
  <c r="I62" i="44"/>
  <c r="I50" i="44"/>
  <c r="D13" i="44"/>
  <c r="D14" i="44"/>
  <c r="D15" i="44"/>
  <c r="D16" i="44"/>
  <c r="H62" i="44"/>
  <c r="H50" i="44"/>
  <c r="G62" i="44"/>
  <c r="G50" i="44"/>
  <c r="E50" i="44"/>
  <c r="E62" i="44"/>
  <c r="I13" i="44"/>
  <c r="E33" i="44"/>
  <c r="F33" i="44" s="1"/>
  <c r="H125" i="43"/>
  <c r="H124" i="43"/>
  <c r="H131" i="43"/>
  <c r="L124" i="43"/>
  <c r="L131" i="43"/>
  <c r="L125" i="43"/>
  <c r="J124" i="43"/>
  <c r="J131" i="43"/>
  <c r="J125" i="43"/>
  <c r="K131" i="43"/>
  <c r="K125" i="43"/>
  <c r="K124" i="43"/>
  <c r="J111" i="43"/>
  <c r="L110" i="43"/>
  <c r="H110" i="43"/>
  <c r="J109" i="43"/>
  <c r="L108" i="43"/>
  <c r="H108" i="43"/>
  <c r="J107" i="43"/>
  <c r="J105" i="43"/>
  <c r="L104" i="43"/>
  <c r="H104" i="43"/>
  <c r="J103" i="43"/>
  <c r="L102" i="43"/>
  <c r="H102" i="43"/>
  <c r="J101" i="43"/>
  <c r="K99" i="43"/>
  <c r="M98" i="43"/>
  <c r="I98" i="43"/>
  <c r="J97" i="43"/>
  <c r="K96" i="43"/>
  <c r="L95" i="43"/>
  <c r="H95" i="43"/>
  <c r="M93" i="43"/>
  <c r="I93" i="43"/>
  <c r="K92" i="43"/>
  <c r="I91" i="43"/>
  <c r="K90" i="43"/>
  <c r="M111" i="43"/>
  <c r="H111" i="43"/>
  <c r="I110" i="43"/>
  <c r="I109" i="43"/>
  <c r="J108" i="43"/>
  <c r="K107" i="43"/>
  <c r="I105" i="43"/>
  <c r="J104" i="43"/>
  <c r="K103" i="43"/>
  <c r="K102" i="43"/>
  <c r="L101" i="43"/>
  <c r="L99" i="43"/>
  <c r="L98" i="43"/>
  <c r="K97" i="43"/>
  <c r="I96" i="43"/>
  <c r="K93" i="43"/>
  <c r="L92" i="43"/>
  <c r="L91" i="43"/>
  <c r="H90" i="43"/>
  <c r="K111" i="43"/>
  <c r="K110" i="43"/>
  <c r="L109" i="43"/>
  <c r="H107" i="43"/>
  <c r="L105" i="43"/>
  <c r="M104" i="43"/>
  <c r="H103" i="43"/>
  <c r="I102" i="43"/>
  <c r="I101" i="43"/>
  <c r="I99" i="43"/>
  <c r="J98" i="43"/>
  <c r="H97" i="43"/>
  <c r="L96" i="43"/>
  <c r="J95" i="43"/>
  <c r="H93" i="43"/>
  <c r="I92" i="43"/>
  <c r="J91" i="43"/>
  <c r="J90" i="43"/>
  <c r="I111" i="43"/>
  <c r="J110" i="43"/>
  <c r="K109" i="43"/>
  <c r="K108" i="43"/>
  <c r="L107" i="43"/>
  <c r="K105" i="43"/>
  <c r="K104" i="43"/>
  <c r="L103" i="43"/>
  <c r="H101" i="43"/>
  <c r="M99" i="43"/>
  <c r="H99" i="43"/>
  <c r="H98" i="43"/>
  <c r="L97" i="43"/>
  <c r="J96" i="43"/>
  <c r="I95" i="43"/>
  <c r="L93" i="43"/>
  <c r="M92" i="43"/>
  <c r="H92" i="43"/>
  <c r="H91" i="43"/>
  <c r="I90" i="43"/>
  <c r="I104" i="43"/>
  <c r="I97" i="43"/>
  <c r="K91" i="43"/>
  <c r="L111" i="43"/>
  <c r="I108" i="43"/>
  <c r="M105" i="43"/>
  <c r="J102" i="43"/>
  <c r="K98" i="43"/>
  <c r="H96" i="43"/>
  <c r="J93" i="43"/>
  <c r="M110" i="43"/>
  <c r="I107" i="43"/>
  <c r="H105" i="43"/>
  <c r="K101" i="43"/>
  <c r="K95" i="43"/>
  <c r="J92" i="43"/>
  <c r="H109" i="43"/>
  <c r="I103" i="43"/>
  <c r="J99" i="43"/>
  <c r="L90" i="43"/>
  <c r="K33" i="20"/>
  <c r="K34" i="20"/>
  <c r="L34" i="20"/>
  <c r="M34" i="20"/>
  <c r="N34" i="20"/>
  <c r="O34" i="20"/>
  <c r="K35" i="20"/>
  <c r="L35" i="20"/>
  <c r="M35" i="20"/>
  <c r="M42" i="20" s="1"/>
  <c r="N35" i="20"/>
  <c r="O35" i="20"/>
  <c r="K36" i="20"/>
  <c r="L36" i="20"/>
  <c r="M36" i="20"/>
  <c r="N36" i="20"/>
  <c r="O36" i="20"/>
  <c r="K37" i="20"/>
  <c r="L37" i="20"/>
  <c r="M37" i="20"/>
  <c r="N37" i="20"/>
  <c r="O37" i="20"/>
  <c r="K38" i="20"/>
  <c r="L38" i="20"/>
  <c r="M38" i="20"/>
  <c r="N38" i="20"/>
  <c r="O38" i="20"/>
  <c r="K39" i="20"/>
  <c r="L39" i="20"/>
  <c r="M39" i="20"/>
  <c r="N39" i="20"/>
  <c r="O39" i="20"/>
  <c r="K40" i="20"/>
  <c r="L40" i="20"/>
  <c r="M40" i="20"/>
  <c r="N40" i="20"/>
  <c r="O40" i="20"/>
  <c r="K41" i="20"/>
  <c r="L41" i="20"/>
  <c r="M41" i="20"/>
  <c r="N41" i="20"/>
  <c r="O41" i="20"/>
  <c r="L33" i="20"/>
  <c r="M33" i="20"/>
  <c r="N33" i="20"/>
  <c r="O33" i="20"/>
  <c r="K18" i="20"/>
  <c r="M43" i="6"/>
  <c r="K117" i="43" l="1"/>
  <c r="K118" i="43"/>
  <c r="L119" i="43"/>
  <c r="L117" i="43"/>
  <c r="I80" i="45"/>
  <c r="E15" i="44"/>
  <c r="E28" i="44"/>
  <c r="F28" i="44" s="1"/>
  <c r="G28" i="44" s="1"/>
  <c r="H28" i="44" s="1"/>
  <c r="I28" i="44" s="1"/>
  <c r="I15" i="44"/>
  <c r="E35" i="44"/>
  <c r="F35" i="44" s="1"/>
  <c r="G35" i="44" s="1"/>
  <c r="H35" i="44" s="1"/>
  <c r="I35" i="44" s="1"/>
  <c r="G15" i="44"/>
  <c r="F15" i="44"/>
  <c r="H15" i="44"/>
  <c r="E43" i="44"/>
  <c r="F43" i="44" s="1"/>
  <c r="G43" i="44" s="1"/>
  <c r="H43" i="44" s="1"/>
  <c r="I43" i="44" s="1"/>
  <c r="E27" i="44"/>
  <c r="F27" i="44" s="1"/>
  <c r="G27" i="44" s="1"/>
  <c r="H27" i="44" s="1"/>
  <c r="I27" i="44" s="1"/>
  <c r="E42" i="44"/>
  <c r="F42" i="44" s="1"/>
  <c r="G42" i="44" s="1"/>
  <c r="H42" i="44" s="1"/>
  <c r="I42" i="44" s="1"/>
  <c r="G14" i="44"/>
  <c r="H14" i="44"/>
  <c r="E14" i="44"/>
  <c r="F14" i="44"/>
  <c r="I14" i="44"/>
  <c r="E34" i="44"/>
  <c r="F34" i="44" s="1"/>
  <c r="G34" i="44" s="1"/>
  <c r="H34" i="44" s="1"/>
  <c r="I34" i="44" s="1"/>
  <c r="E13" i="44"/>
  <c r="E24" i="44" s="1"/>
  <c r="E41" i="44"/>
  <c r="F13" i="44"/>
  <c r="F24" i="44" s="1"/>
  <c r="H13" i="44"/>
  <c r="H24" i="44" s="1"/>
  <c r="G13" i="44"/>
  <c r="E16" i="44"/>
  <c r="E29" i="44"/>
  <c r="F29" i="44" s="1"/>
  <c r="G29" i="44" s="1"/>
  <c r="H29" i="44" s="1"/>
  <c r="I29" i="44" s="1"/>
  <c r="F16" i="44"/>
  <c r="G16" i="44"/>
  <c r="I16" i="44"/>
  <c r="E36" i="44"/>
  <c r="F36" i="44" s="1"/>
  <c r="G36" i="44" s="1"/>
  <c r="H36" i="44" s="1"/>
  <c r="I36" i="44" s="1"/>
  <c r="E44" i="44"/>
  <c r="F44" i="44" s="1"/>
  <c r="G44" i="44" s="1"/>
  <c r="H44" i="44" s="1"/>
  <c r="I44" i="44" s="1"/>
  <c r="H16" i="44"/>
  <c r="G33" i="44"/>
  <c r="F37" i="44"/>
  <c r="J117" i="43"/>
  <c r="H118" i="43"/>
  <c r="K119" i="43"/>
  <c r="J119" i="43"/>
  <c r="I118" i="43"/>
  <c r="J118" i="43"/>
  <c r="H119" i="43"/>
  <c r="L118" i="43"/>
  <c r="I119" i="43"/>
  <c r="I117" i="43"/>
  <c r="H117" i="43"/>
  <c r="O42" i="20"/>
  <c r="L42" i="20"/>
  <c r="K42" i="20"/>
  <c r="N42" i="20"/>
  <c r="C52" i="41"/>
  <c r="C53" i="41"/>
  <c r="C54" i="41"/>
  <c r="C51" i="41"/>
  <c r="E61" i="45" l="1"/>
  <c r="E60" i="45"/>
  <c r="E62" i="45"/>
  <c r="E59" i="45"/>
  <c r="E63" i="45" s="1"/>
  <c r="E64" i="45" s="1"/>
  <c r="E52" i="45"/>
  <c r="E53" i="45"/>
  <c r="E54" i="45"/>
  <c r="E51" i="45"/>
  <c r="E55" i="45" s="1"/>
  <c r="E56" i="45" s="1"/>
  <c r="E46" i="45"/>
  <c r="E47" i="45"/>
  <c r="E45" i="45"/>
  <c r="E44" i="45"/>
  <c r="F75" i="45"/>
  <c r="G75" i="45"/>
  <c r="I75" i="45"/>
  <c r="H75" i="45"/>
  <c r="F57" i="44"/>
  <c r="H57" i="44"/>
  <c r="E57" i="44"/>
  <c r="E46" i="44"/>
  <c r="E53" i="44" s="1"/>
  <c r="I57" i="44"/>
  <c r="G57" i="44"/>
  <c r="E31" i="44"/>
  <c r="E51" i="44" s="1"/>
  <c r="G24" i="44"/>
  <c r="F41" i="44"/>
  <c r="E45" i="44"/>
  <c r="E60" i="44" s="1"/>
  <c r="I24" i="44"/>
  <c r="E37" i="44"/>
  <c r="E30" i="44"/>
  <c r="E58" i="44" s="1"/>
  <c r="F26" i="44"/>
  <c r="F38" i="44"/>
  <c r="F52" i="44" s="1"/>
  <c r="F59" i="44"/>
  <c r="G37" i="44"/>
  <c r="H33" i="44"/>
  <c r="M44" i="6"/>
  <c r="F60" i="45" l="1"/>
  <c r="F62" i="45"/>
  <c r="F61" i="45"/>
  <c r="E71" i="45"/>
  <c r="E78" i="45"/>
  <c r="F59" i="45"/>
  <c r="F53" i="45"/>
  <c r="F54" i="45"/>
  <c r="F52" i="45"/>
  <c r="E70" i="45"/>
  <c r="E77" i="45"/>
  <c r="F51" i="45"/>
  <c r="F45" i="45"/>
  <c r="E48" i="45"/>
  <c r="E49" i="45" s="1"/>
  <c r="E69" i="45" s="1"/>
  <c r="F47" i="45"/>
  <c r="F46" i="45"/>
  <c r="F44" i="45"/>
  <c r="G26" i="44"/>
  <c r="F30" i="44"/>
  <c r="G41" i="44"/>
  <c r="F45" i="44"/>
  <c r="E59" i="44"/>
  <c r="E38" i="44"/>
  <c r="E52" i="44" s="1"/>
  <c r="G38" i="44"/>
  <c r="G52" i="44" s="1"/>
  <c r="G59" i="44"/>
  <c r="I33" i="44"/>
  <c r="I37" i="44" s="1"/>
  <c r="H37" i="44"/>
  <c r="S8" i="6"/>
  <c r="G62" i="45" l="1"/>
  <c r="F63" i="45"/>
  <c r="G61" i="45"/>
  <c r="G60" i="45"/>
  <c r="G59" i="45"/>
  <c r="F78" i="45"/>
  <c r="G54" i="45"/>
  <c r="F55" i="45"/>
  <c r="F77" i="45" s="1"/>
  <c r="G52" i="45"/>
  <c r="G53" i="45"/>
  <c r="G51" i="45"/>
  <c r="E76" i="45"/>
  <c r="G47" i="45"/>
  <c r="F48" i="45"/>
  <c r="G46" i="45"/>
  <c r="G45" i="45"/>
  <c r="G44" i="45"/>
  <c r="F60" i="44"/>
  <c r="F46" i="44"/>
  <c r="F53" i="44" s="1"/>
  <c r="H41" i="44"/>
  <c r="G45" i="44"/>
  <c r="F31" i="44"/>
  <c r="F51" i="44" s="1"/>
  <c r="F58" i="44"/>
  <c r="H26" i="44"/>
  <c r="G30" i="44"/>
  <c r="H38" i="44"/>
  <c r="H52" i="44" s="1"/>
  <c r="H59" i="44"/>
  <c r="I38" i="44"/>
  <c r="I52" i="44" s="1"/>
  <c r="I59" i="44"/>
  <c r="M138" i="13"/>
  <c r="I114" i="40"/>
  <c r="M40" i="6"/>
  <c r="M41" i="46" s="1"/>
  <c r="M41" i="6"/>
  <c r="M42" i="46" s="1"/>
  <c r="M39" i="6"/>
  <c r="M40" i="46" s="1"/>
  <c r="M38" i="6"/>
  <c r="M39" i="46" s="1"/>
  <c r="M37" i="6"/>
  <c r="M38" i="46" s="1"/>
  <c r="D112" i="40"/>
  <c r="D111" i="40"/>
  <c r="M35" i="6"/>
  <c r="W27" i="40"/>
  <c r="M207" i="13"/>
  <c r="M206" i="13"/>
  <c r="I16" i="12"/>
  <c r="I17" i="12"/>
  <c r="I18" i="12"/>
  <c r="I19" i="12"/>
  <c r="I20" i="12"/>
  <c r="I21" i="12"/>
  <c r="I22" i="12"/>
  <c r="I23" i="12"/>
  <c r="I24" i="12"/>
  <c r="I25" i="12"/>
  <c r="I26" i="12"/>
  <c r="I27" i="12"/>
  <c r="I28" i="12"/>
  <c r="I29" i="12"/>
  <c r="I30" i="12"/>
  <c r="I31" i="12"/>
  <c r="I32" i="12"/>
  <c r="I33" i="12"/>
  <c r="I34" i="12"/>
  <c r="I35" i="12"/>
  <c r="I36" i="12"/>
  <c r="I37" i="12"/>
  <c r="I38" i="12"/>
  <c r="I39" i="12"/>
  <c r="I40" i="12"/>
  <c r="I15" i="12"/>
  <c r="M163" i="13"/>
  <c r="M157" i="13"/>
  <c r="D26" i="40"/>
  <c r="M160" i="13"/>
  <c r="M143" i="46" l="1"/>
  <c r="M149" i="46"/>
  <c r="M142" i="46"/>
  <c r="M162" i="46" s="1"/>
  <c r="M165" i="46" s="1"/>
  <c r="M148" i="46"/>
  <c r="M147" i="46"/>
  <c r="M141" i="46"/>
  <c r="M156" i="46" s="1"/>
  <c r="M159" i="46" s="1"/>
  <c r="M139" i="46"/>
  <c r="M145" i="46"/>
  <c r="M140" i="46"/>
  <c r="M146" i="46"/>
  <c r="F49" i="45"/>
  <c r="F69" i="45" s="1"/>
  <c r="F64" i="45"/>
  <c r="F71" i="45" s="1"/>
  <c r="F56" i="45"/>
  <c r="F70" i="45" s="1"/>
  <c r="I61" i="45"/>
  <c r="H61" i="45"/>
  <c r="I60" i="45"/>
  <c r="H60" i="45"/>
  <c r="G63" i="45"/>
  <c r="I62" i="45"/>
  <c r="H62" i="45"/>
  <c r="I59" i="45"/>
  <c r="H59" i="45"/>
  <c r="I52" i="45"/>
  <c r="H52" i="45"/>
  <c r="I53" i="45"/>
  <c r="H53" i="45"/>
  <c r="G55" i="45"/>
  <c r="G56" i="45" s="1"/>
  <c r="I54" i="45"/>
  <c r="H54" i="45"/>
  <c r="I51" i="45"/>
  <c r="I55" i="45" s="1"/>
  <c r="H51" i="45"/>
  <c r="G48" i="45"/>
  <c r="F76" i="45"/>
  <c r="I45" i="45"/>
  <c r="H45" i="45"/>
  <c r="I46" i="45"/>
  <c r="H46" i="45"/>
  <c r="I47" i="45"/>
  <c r="H47" i="45"/>
  <c r="G76" i="45"/>
  <c r="I44" i="45"/>
  <c r="H44" i="45"/>
  <c r="G58" i="44"/>
  <c r="G31" i="44"/>
  <c r="G51" i="44" s="1"/>
  <c r="G60" i="44"/>
  <c r="G46" i="44"/>
  <c r="G53" i="44" s="1"/>
  <c r="H30" i="44"/>
  <c r="I26" i="44"/>
  <c r="I30" i="44" s="1"/>
  <c r="H45" i="44"/>
  <c r="I41" i="44"/>
  <c r="I45" i="44" s="1"/>
  <c r="E24" i="12"/>
  <c r="F24" i="12" s="1"/>
  <c r="G24" i="12"/>
  <c r="H24" i="12"/>
  <c r="E25" i="12"/>
  <c r="F25" i="12" s="1"/>
  <c r="G25" i="12"/>
  <c r="H25" i="12"/>
  <c r="M161" i="46" l="1"/>
  <c r="M164" i="46" s="1"/>
  <c r="J174" i="46"/>
  <c r="M144" i="46"/>
  <c r="M155" i="46"/>
  <c r="M150" i="46"/>
  <c r="I56" i="45"/>
  <c r="I70" i="45" s="1"/>
  <c r="I63" i="45"/>
  <c r="G71" i="45"/>
  <c r="G64" i="45"/>
  <c r="G49" i="45"/>
  <c r="G69" i="45" s="1"/>
  <c r="G78" i="45"/>
  <c r="H63" i="45"/>
  <c r="H64" i="45" s="1"/>
  <c r="I77" i="45"/>
  <c r="H55" i="45"/>
  <c r="H56" i="45" s="1"/>
  <c r="G70" i="45"/>
  <c r="G77" i="45"/>
  <c r="H48" i="45"/>
  <c r="H76" i="45"/>
  <c r="I48" i="45"/>
  <c r="I76" i="45" s="1"/>
  <c r="H58" i="44"/>
  <c r="H31" i="44"/>
  <c r="H51" i="44" s="1"/>
  <c r="I60" i="44"/>
  <c r="I46" i="44"/>
  <c r="I53" i="44" s="1"/>
  <c r="H60" i="44"/>
  <c r="H46" i="44"/>
  <c r="H53" i="44" s="1"/>
  <c r="I58" i="44"/>
  <c r="I31" i="44"/>
  <c r="I51" i="44" s="1"/>
  <c r="M121" i="13"/>
  <c r="V121" i="13" s="1"/>
  <c r="M122" i="13"/>
  <c r="V122" i="13" s="1"/>
  <c r="H123" i="13"/>
  <c r="I123" i="13"/>
  <c r="J123" i="13"/>
  <c r="K123" i="13"/>
  <c r="L123" i="13"/>
  <c r="M169" i="13"/>
  <c r="L18" i="20"/>
  <c r="M18" i="20"/>
  <c r="N18" i="20"/>
  <c r="O18" i="20"/>
  <c r="L19" i="20"/>
  <c r="M19" i="20"/>
  <c r="N19" i="20"/>
  <c r="O19" i="20"/>
  <c r="L20" i="20"/>
  <c r="M20" i="20"/>
  <c r="N20" i="20"/>
  <c r="O20" i="20"/>
  <c r="L21" i="20"/>
  <c r="M21" i="20"/>
  <c r="N21" i="20"/>
  <c r="O21" i="20"/>
  <c r="L22" i="20"/>
  <c r="M22" i="20"/>
  <c r="N22" i="20"/>
  <c r="O22" i="20"/>
  <c r="L23" i="20"/>
  <c r="M23" i="20"/>
  <c r="N23" i="20"/>
  <c r="O23" i="20"/>
  <c r="L24" i="20"/>
  <c r="M24" i="20"/>
  <c r="N24" i="20"/>
  <c r="O24" i="20"/>
  <c r="L25" i="20"/>
  <c r="M25" i="20"/>
  <c r="N25" i="20"/>
  <c r="O25" i="20"/>
  <c r="L26" i="20"/>
  <c r="M26" i="20"/>
  <c r="N26" i="20"/>
  <c r="O26" i="20"/>
  <c r="K19" i="20"/>
  <c r="K20" i="20"/>
  <c r="K21" i="20"/>
  <c r="K22" i="20"/>
  <c r="K23" i="20"/>
  <c r="K24" i="20"/>
  <c r="K25" i="20"/>
  <c r="K26" i="20"/>
  <c r="C5" i="20"/>
  <c r="C6" i="20"/>
  <c r="C7" i="20"/>
  <c r="C8" i="20"/>
  <c r="C9" i="20"/>
  <c r="C10" i="20"/>
  <c r="C11" i="20"/>
  <c r="C12" i="20"/>
  <c r="C4" i="20"/>
  <c r="M151" i="46" l="1"/>
  <c r="M153" i="46" s="1"/>
  <c r="M158" i="46"/>
  <c r="J171" i="46"/>
  <c r="H49" i="45"/>
  <c r="H69" i="45" s="1"/>
  <c r="I64" i="45"/>
  <c r="I71" i="45" s="1"/>
  <c r="I78" i="45"/>
  <c r="I49" i="45"/>
  <c r="I69" i="45" s="1"/>
  <c r="H71" i="45"/>
  <c r="H78" i="45"/>
  <c r="H70" i="45"/>
  <c r="H77" i="45"/>
  <c r="N27" i="20"/>
  <c r="M27" i="20"/>
  <c r="K27" i="20"/>
  <c r="L27" i="20"/>
  <c r="O27" i="20"/>
  <c r="M123" i="13"/>
  <c r="V123" i="13" s="1"/>
  <c r="AD12" i="20"/>
  <c r="I5" i="20"/>
  <c r="I6" i="20"/>
  <c r="I7" i="20"/>
  <c r="I8" i="20"/>
  <c r="I9" i="20"/>
  <c r="I10" i="20"/>
  <c r="I11" i="20"/>
  <c r="I12" i="20"/>
  <c r="I4" i="20"/>
  <c r="H5" i="20"/>
  <c r="H6" i="20"/>
  <c r="H7" i="20"/>
  <c r="H8" i="20"/>
  <c r="H9" i="20"/>
  <c r="H10" i="20"/>
  <c r="H11" i="20"/>
  <c r="H12" i="20"/>
  <c r="H4" i="20"/>
  <c r="G5" i="20"/>
  <c r="G6" i="20"/>
  <c r="G7" i="20"/>
  <c r="G8" i="20"/>
  <c r="G9" i="20"/>
  <c r="G10" i="20"/>
  <c r="G11" i="20"/>
  <c r="G12" i="20"/>
  <c r="G4" i="20"/>
  <c r="F5" i="20"/>
  <c r="F6" i="20"/>
  <c r="F7" i="20"/>
  <c r="F8" i="20"/>
  <c r="F9" i="20"/>
  <c r="F10" i="20"/>
  <c r="F11" i="20"/>
  <c r="F12" i="20"/>
  <c r="F4" i="20"/>
  <c r="E5" i="20"/>
  <c r="E6" i="20"/>
  <c r="E7" i="20"/>
  <c r="E8" i="20"/>
  <c r="E9" i="20"/>
  <c r="E10" i="20"/>
  <c r="E11" i="20"/>
  <c r="E12" i="20"/>
  <c r="K4" i="20"/>
  <c r="B5" i="20"/>
  <c r="B6" i="20"/>
  <c r="B7" i="20"/>
  <c r="B8" i="20"/>
  <c r="B9" i="20"/>
  <c r="B10" i="20"/>
  <c r="B11" i="20"/>
  <c r="B12" i="20"/>
  <c r="B4" i="20"/>
  <c r="J173" i="46" l="1"/>
  <c r="J172" i="46"/>
  <c r="J36" i="20"/>
  <c r="J21" i="20"/>
  <c r="H111" i="13" s="1"/>
  <c r="J39" i="20"/>
  <c r="J24" i="20"/>
  <c r="H114" i="13" s="1"/>
  <c r="J33" i="20"/>
  <c r="J18" i="20"/>
  <c r="J38" i="20"/>
  <c r="J23" i="20"/>
  <c r="H113" i="13" s="1"/>
  <c r="J34" i="20"/>
  <c r="J19" i="20"/>
  <c r="H109" i="13" s="1"/>
  <c r="J40" i="20"/>
  <c r="J25" i="20"/>
  <c r="H115" i="13" s="1"/>
  <c r="J20" i="20"/>
  <c r="H110" i="13" s="1"/>
  <c r="J35" i="20"/>
  <c r="J41" i="20"/>
  <c r="J26" i="20"/>
  <c r="H116" i="13" s="1"/>
  <c r="J37" i="20"/>
  <c r="J22" i="20"/>
  <c r="H112" i="13" s="1"/>
  <c r="M221" i="13"/>
  <c r="M222" i="13"/>
  <c r="M223" i="13"/>
  <c r="M224" i="13"/>
  <c r="M225" i="13"/>
  <c r="M226" i="13"/>
  <c r="M228" i="13"/>
  <c r="M229" i="13"/>
  <c r="M230" i="13"/>
  <c r="M231" i="13"/>
  <c r="M232" i="13"/>
  <c r="M233" i="13"/>
  <c r="M234" i="13"/>
  <c r="M115" i="13" l="1"/>
  <c r="I115" i="13"/>
  <c r="L115" i="13"/>
  <c r="K115" i="13"/>
  <c r="K114" i="13"/>
  <c r="I114" i="13"/>
  <c r="M114" i="13"/>
  <c r="L114" i="13"/>
  <c r="K112" i="13"/>
  <c r="L112" i="13"/>
  <c r="I112" i="13"/>
  <c r="M112" i="13"/>
  <c r="M109" i="13"/>
  <c r="K109" i="13"/>
  <c r="L109" i="13"/>
  <c r="I109" i="13"/>
  <c r="H108" i="13"/>
  <c r="J27" i="20"/>
  <c r="M111" i="13"/>
  <c r="I111" i="13"/>
  <c r="K111" i="13"/>
  <c r="L111" i="13"/>
  <c r="K116" i="13"/>
  <c r="I116" i="13"/>
  <c r="M116" i="13"/>
  <c r="L116" i="13"/>
  <c r="M113" i="13"/>
  <c r="L113" i="13"/>
  <c r="I113" i="13"/>
  <c r="K113" i="13"/>
  <c r="K110" i="13"/>
  <c r="I110" i="13"/>
  <c r="L110" i="13"/>
  <c r="M110" i="13"/>
  <c r="J42" i="20"/>
  <c r="D74" i="40"/>
  <c r="D75" i="40"/>
  <c r="D73" i="40"/>
  <c r="L108" i="13" l="1"/>
  <c r="H117" i="13"/>
  <c r="I108" i="13"/>
  <c r="K108" i="13"/>
  <c r="M108" i="13"/>
  <c r="M28" i="18"/>
  <c r="M29" i="18"/>
  <c r="M30" i="18"/>
  <c r="M31" i="18"/>
  <c r="M27" i="18"/>
  <c r="D80" i="40"/>
  <c r="D81" i="40"/>
  <c r="D82" i="40"/>
  <c r="D83" i="40"/>
  <c r="D79" i="40"/>
  <c r="I106" i="18"/>
  <c r="J106" i="18"/>
  <c r="K106" i="18"/>
  <c r="L106" i="18"/>
  <c r="H106" i="18"/>
  <c r="M106" i="18"/>
  <c r="W29" i="20" l="1"/>
  <c r="H11" i="35" l="1"/>
  <c r="G488" i="13"/>
  <c r="G489" i="13"/>
  <c r="G490" i="13"/>
  <c r="G491" i="13"/>
  <c r="G492" i="13"/>
  <c r="G493" i="13"/>
  <c r="G487" i="13"/>
  <c r="M220" i="13"/>
  <c r="S119" i="6" l="1"/>
  <c r="C6" i="35" l="1"/>
  <c r="C6" i="41" l="1"/>
  <c r="C7" i="41"/>
  <c r="C5" i="41"/>
  <c r="C43" i="41"/>
  <c r="C44" i="41"/>
  <c r="C45" i="41"/>
  <c r="C47" i="41"/>
  <c r="C25" i="41"/>
  <c r="C26" i="41"/>
  <c r="C27" i="41"/>
  <c r="C24" i="41"/>
  <c r="E22" i="41"/>
  <c r="E49" i="41" s="1"/>
  <c r="F22" i="41"/>
  <c r="F49" i="41" s="1"/>
  <c r="G22" i="41"/>
  <c r="G49" i="41" s="1"/>
  <c r="H22" i="41"/>
  <c r="H49" i="41" s="1"/>
  <c r="D48" i="41"/>
  <c r="D22" i="41"/>
  <c r="D49" i="41" s="1"/>
  <c r="D76" i="38" l="1"/>
  <c r="M73" i="6"/>
  <c r="E97" i="40"/>
  <c r="M74" i="6"/>
  <c r="D75" i="38"/>
  <c r="B4" i="23"/>
  <c r="M29" i="6"/>
  <c r="M30" i="6" s="1"/>
  <c r="D101" i="40" s="1"/>
  <c r="I74" i="6"/>
  <c r="J74" i="6" s="1"/>
  <c r="K74" i="6"/>
  <c r="L74" i="6"/>
  <c r="L73" i="6"/>
  <c r="K73" i="6"/>
  <c r="I73" i="6"/>
  <c r="J73" i="6" s="1"/>
  <c r="D31" i="38"/>
  <c r="N438" i="13" s="1"/>
  <c r="D30" i="38"/>
  <c r="N437" i="13" s="1"/>
  <c r="D29" i="38"/>
  <c r="N436" i="13" s="1"/>
  <c r="D53" i="38"/>
  <c r="D58" i="38"/>
  <c r="M82" i="18" s="1"/>
  <c r="D54" i="38"/>
  <c r="D55" i="38"/>
  <c r="D59" i="38"/>
  <c r="M88" i="18"/>
  <c r="D60" i="38"/>
  <c r="M94" i="18" s="1"/>
  <c r="D61" i="38"/>
  <c r="M100" i="18"/>
  <c r="D35" i="38"/>
  <c r="D34" i="38"/>
  <c r="D36" i="38"/>
  <c r="K5" i="20"/>
  <c r="K6" i="20"/>
  <c r="K7" i="20"/>
  <c r="K8" i="20"/>
  <c r="K9" i="20"/>
  <c r="K10" i="20"/>
  <c r="K11" i="20"/>
  <c r="K12" i="20"/>
  <c r="L4" i="20"/>
  <c r="L5" i="20"/>
  <c r="L6" i="20"/>
  <c r="L7" i="20"/>
  <c r="L8" i="20"/>
  <c r="L9" i="20"/>
  <c r="L10" i="20"/>
  <c r="L11" i="20"/>
  <c r="L12" i="20"/>
  <c r="M4" i="20"/>
  <c r="M5" i="20"/>
  <c r="M6" i="20"/>
  <c r="M7" i="20"/>
  <c r="M8" i="20"/>
  <c r="M9" i="20"/>
  <c r="M10" i="20"/>
  <c r="M11" i="20"/>
  <c r="M12" i="20"/>
  <c r="N4" i="20"/>
  <c r="N5" i="20"/>
  <c r="N6" i="20"/>
  <c r="N7" i="20"/>
  <c r="N8" i="20"/>
  <c r="N9" i="20"/>
  <c r="N10" i="20"/>
  <c r="N11" i="20"/>
  <c r="N12" i="20"/>
  <c r="O4" i="20"/>
  <c r="O5" i="20"/>
  <c r="O6" i="20"/>
  <c r="O7" i="20"/>
  <c r="O8" i="20"/>
  <c r="O9" i="20"/>
  <c r="O10" i="20"/>
  <c r="O11" i="20"/>
  <c r="O12" i="20"/>
  <c r="P5" i="20"/>
  <c r="P6" i="20"/>
  <c r="P7" i="20"/>
  <c r="P8" i="20"/>
  <c r="P9" i="20"/>
  <c r="P10" i="20"/>
  <c r="P11" i="20"/>
  <c r="P12" i="20"/>
  <c r="Q4" i="20"/>
  <c r="Q6" i="20"/>
  <c r="Q8" i="20"/>
  <c r="Q10" i="20"/>
  <c r="Q12" i="20"/>
  <c r="R4" i="20"/>
  <c r="R6" i="20"/>
  <c r="R8" i="20"/>
  <c r="R10" i="20"/>
  <c r="R12" i="20"/>
  <c r="S4" i="20"/>
  <c r="S6" i="20"/>
  <c r="S8" i="20"/>
  <c r="S10" i="20"/>
  <c r="S12" i="20"/>
  <c r="T4" i="20"/>
  <c r="T6" i="20"/>
  <c r="T8" i="20"/>
  <c r="T10" i="20"/>
  <c r="T12" i="20"/>
  <c r="U4" i="20"/>
  <c r="U5" i="20"/>
  <c r="U6" i="20"/>
  <c r="U7" i="20"/>
  <c r="U8" i="20"/>
  <c r="U9" i="20"/>
  <c r="U10" i="20"/>
  <c r="U11" i="20"/>
  <c r="U12" i="20"/>
  <c r="V5" i="20"/>
  <c r="V7" i="20"/>
  <c r="V9" i="20"/>
  <c r="V11" i="20"/>
  <c r="W5" i="20"/>
  <c r="W7" i="20"/>
  <c r="W9" i="20"/>
  <c r="W11" i="20"/>
  <c r="X5" i="20"/>
  <c r="X7" i="20"/>
  <c r="X9" i="20"/>
  <c r="X11" i="20"/>
  <c r="Y5" i="20"/>
  <c r="Y7" i="20"/>
  <c r="Y9" i="20"/>
  <c r="Y11" i="20"/>
  <c r="Z4" i="20"/>
  <c r="Z5" i="20"/>
  <c r="Z6" i="20"/>
  <c r="Z7" i="20"/>
  <c r="Z8" i="20"/>
  <c r="Z9" i="20"/>
  <c r="Z10" i="20"/>
  <c r="Z11" i="20"/>
  <c r="Z12" i="20"/>
  <c r="AA4" i="20"/>
  <c r="AA5" i="20"/>
  <c r="AA6" i="20"/>
  <c r="AA7" i="20"/>
  <c r="AA8" i="20"/>
  <c r="AA9" i="20"/>
  <c r="AA10" i="20"/>
  <c r="AA11" i="20"/>
  <c r="AA12" i="20"/>
  <c r="AB4" i="20"/>
  <c r="AB5" i="20"/>
  <c r="AB6" i="20"/>
  <c r="AB7" i="20"/>
  <c r="AB8" i="20"/>
  <c r="AB9" i="20"/>
  <c r="AB10" i="20"/>
  <c r="AB11" i="20"/>
  <c r="AB12" i="20"/>
  <c r="AC4" i="20"/>
  <c r="AC5" i="20"/>
  <c r="AC6" i="20"/>
  <c r="AC7" i="20"/>
  <c r="AC8" i="20"/>
  <c r="AC9" i="20"/>
  <c r="AC10" i="20"/>
  <c r="AC11" i="20"/>
  <c r="AC12" i="20"/>
  <c r="AD4" i="20"/>
  <c r="AD5" i="20"/>
  <c r="AD6" i="20"/>
  <c r="AD7" i="20"/>
  <c r="AD8" i="20"/>
  <c r="AD9" i="20"/>
  <c r="AD10" i="20"/>
  <c r="AD11" i="20"/>
  <c r="B13" i="20"/>
  <c r="H30" i="13"/>
  <c r="M30" i="13" s="1"/>
  <c r="V30" i="13" s="1"/>
  <c r="J15" i="22"/>
  <c r="J16" i="22"/>
  <c r="J17" i="22"/>
  <c r="O17" i="22" s="1"/>
  <c r="J18" i="22"/>
  <c r="J19" i="22"/>
  <c r="J20" i="22"/>
  <c r="J21" i="22"/>
  <c r="N21" i="22" s="1"/>
  <c r="J22" i="22"/>
  <c r="J23" i="22"/>
  <c r="AE4" i="20"/>
  <c r="AE5" i="20"/>
  <c r="AE6" i="20"/>
  <c r="AE13" i="20" s="1"/>
  <c r="AE7" i="20"/>
  <c r="AE8" i="20"/>
  <c r="AE9" i="20"/>
  <c r="AE10" i="20"/>
  <c r="AE11" i="20"/>
  <c r="AE12" i="20"/>
  <c r="AF4" i="20"/>
  <c r="AF5" i="20"/>
  <c r="AF6" i="20"/>
  <c r="AF7" i="20"/>
  <c r="AF8" i="20"/>
  <c r="AF9" i="20"/>
  <c r="AF10" i="20"/>
  <c r="AF11" i="20"/>
  <c r="AF12" i="20"/>
  <c r="AG4" i="20"/>
  <c r="AG5" i="20"/>
  <c r="AG6" i="20"/>
  <c r="AG7" i="20"/>
  <c r="AG8" i="20"/>
  <c r="AG9" i="20"/>
  <c r="AG10" i="20"/>
  <c r="AG11" i="20"/>
  <c r="AG12" i="20"/>
  <c r="AH4" i="20"/>
  <c r="AH5" i="20"/>
  <c r="AH6" i="20"/>
  <c r="AH7" i="20"/>
  <c r="AH8" i="20"/>
  <c r="AH9" i="20"/>
  <c r="AH10" i="20"/>
  <c r="AH11" i="20"/>
  <c r="AH12" i="20"/>
  <c r="AI4" i="20"/>
  <c r="AI5" i="20"/>
  <c r="AI6" i="20"/>
  <c r="AI7" i="20"/>
  <c r="AI8" i="20"/>
  <c r="AI9" i="20"/>
  <c r="AI10" i="20"/>
  <c r="AI11" i="20"/>
  <c r="AI12" i="20"/>
  <c r="J24" i="22"/>
  <c r="M32" i="13"/>
  <c r="V32" i="13" s="1"/>
  <c r="M33" i="13"/>
  <c r="M34" i="13"/>
  <c r="M35" i="13"/>
  <c r="V35" i="13" s="1"/>
  <c r="M36" i="13"/>
  <c r="V36" i="13" s="1"/>
  <c r="M185" i="13"/>
  <c r="V185" i="13" s="1"/>
  <c r="O15" i="22"/>
  <c r="M38" i="13"/>
  <c r="V38" i="13" s="1"/>
  <c r="M186" i="13"/>
  <c r="V186" i="13" s="1"/>
  <c r="O16" i="22"/>
  <c r="M187" i="13"/>
  <c r="V187" i="13" s="1"/>
  <c r="M188" i="13"/>
  <c r="V188" i="13" s="1"/>
  <c r="O18" i="22"/>
  <c r="M189" i="13"/>
  <c r="V189" i="13" s="1"/>
  <c r="O19" i="22"/>
  <c r="M190" i="13"/>
  <c r="V190" i="13" s="1"/>
  <c r="O20" i="22"/>
  <c r="M191" i="13"/>
  <c r="V191" i="13" s="1"/>
  <c r="M192" i="13"/>
  <c r="V192" i="13" s="1"/>
  <c r="M193" i="13"/>
  <c r="V193" i="13" s="1"/>
  <c r="O23" i="22"/>
  <c r="M194" i="13"/>
  <c r="V194" i="13" s="1"/>
  <c r="O24" i="22"/>
  <c r="M126" i="13"/>
  <c r="V126" i="13" s="1"/>
  <c r="M127" i="13"/>
  <c r="V127" i="13" s="1"/>
  <c r="M128" i="13"/>
  <c r="V128" i="13" s="1"/>
  <c r="M129" i="13"/>
  <c r="V129" i="13" s="1"/>
  <c r="M130" i="13"/>
  <c r="V130" i="13" s="1"/>
  <c r="M131" i="13"/>
  <c r="V131" i="13" s="1"/>
  <c r="M132" i="13"/>
  <c r="V132" i="13" s="1"/>
  <c r="M133" i="13"/>
  <c r="V133" i="13" s="1"/>
  <c r="M134" i="13"/>
  <c r="V134" i="13" s="1"/>
  <c r="M140" i="13"/>
  <c r="V140" i="13" s="1"/>
  <c r="E43" i="12"/>
  <c r="E44" i="12"/>
  <c r="M24" i="18"/>
  <c r="M25" i="18"/>
  <c r="M166" i="13"/>
  <c r="V166" i="13" s="1"/>
  <c r="M168" i="13"/>
  <c r="V168" i="13" s="1"/>
  <c r="M171" i="13"/>
  <c r="V171" i="13" s="1"/>
  <c r="I60" i="12"/>
  <c r="M164" i="13"/>
  <c r="M159" i="13"/>
  <c r="V159" i="13" s="1"/>
  <c r="M136" i="13"/>
  <c r="V136" i="13" s="1"/>
  <c r="H82" i="18"/>
  <c r="H88" i="18"/>
  <c r="H94" i="18"/>
  <c r="H100" i="18"/>
  <c r="H544" i="13"/>
  <c r="M146" i="13"/>
  <c r="M147" i="13"/>
  <c r="L544" i="13"/>
  <c r="M148" i="13"/>
  <c r="M149" i="13"/>
  <c r="M150" i="13"/>
  <c r="M151" i="13"/>
  <c r="M152" i="13"/>
  <c r="M153" i="13"/>
  <c r="M144" i="13"/>
  <c r="M196" i="13"/>
  <c r="K334" i="13" s="1"/>
  <c r="J12" i="22"/>
  <c r="O12" i="22" s="1"/>
  <c r="M197" i="13"/>
  <c r="M198" i="13"/>
  <c r="V198" i="13" s="1"/>
  <c r="M199" i="13"/>
  <c r="V199" i="13" s="1"/>
  <c r="M200" i="13"/>
  <c r="V200" i="13" s="1"/>
  <c r="M201" i="13"/>
  <c r="V201" i="13" s="1"/>
  <c r="G515" i="13"/>
  <c r="M248" i="13"/>
  <c r="V248" i="13" s="1"/>
  <c r="G516" i="13"/>
  <c r="M249" i="13"/>
  <c r="V249" i="13" s="1"/>
  <c r="G517" i="13"/>
  <c r="M250" i="13"/>
  <c r="V250" i="13" s="1"/>
  <c r="G518" i="13"/>
  <c r="M251" i="13"/>
  <c r="V251" i="13" s="1"/>
  <c r="G519" i="13"/>
  <c r="M252" i="13"/>
  <c r="V252" i="13" s="1"/>
  <c r="G520" i="13"/>
  <c r="M253" i="13"/>
  <c r="V253" i="13" s="1"/>
  <c r="G521" i="13"/>
  <c r="M254" i="13"/>
  <c r="V254" i="13" s="1"/>
  <c r="G522" i="13"/>
  <c r="M255" i="13"/>
  <c r="V255" i="13" s="1"/>
  <c r="G524" i="13"/>
  <c r="M257" i="13"/>
  <c r="V257" i="13" s="1"/>
  <c r="G525" i="13"/>
  <c r="M258" i="13"/>
  <c r="V258" i="13" s="1"/>
  <c r="G526" i="13"/>
  <c r="M259" i="13"/>
  <c r="V259" i="13" s="1"/>
  <c r="G527" i="13"/>
  <c r="M260" i="13"/>
  <c r="V260" i="13" s="1"/>
  <c r="G528" i="13"/>
  <c r="M261" i="13"/>
  <c r="V261" i="13" s="1"/>
  <c r="G529" i="13"/>
  <c r="M262" i="13"/>
  <c r="V262" i="13" s="1"/>
  <c r="G530" i="13"/>
  <c r="M263" i="13"/>
  <c r="V263" i="13" s="1"/>
  <c r="G531" i="13"/>
  <c r="M264" i="13"/>
  <c r="V264" i="13" s="1"/>
  <c r="G504" i="13"/>
  <c r="M237" i="13"/>
  <c r="G505" i="13"/>
  <c r="M238" i="13"/>
  <c r="V238" i="13" s="1"/>
  <c r="G506" i="13"/>
  <c r="M239" i="13"/>
  <c r="V239" i="13" s="1"/>
  <c r="G507" i="13"/>
  <c r="M240" i="13"/>
  <c r="V240" i="13" s="1"/>
  <c r="G508" i="13"/>
  <c r="M241" i="13"/>
  <c r="V241" i="13" s="1"/>
  <c r="G509" i="13"/>
  <c r="M242" i="13"/>
  <c r="V242" i="13" s="1"/>
  <c r="G510" i="13"/>
  <c r="M243" i="13"/>
  <c r="V243" i="13" s="1"/>
  <c r="G511" i="13"/>
  <c r="M244" i="13"/>
  <c r="V244" i="13" s="1"/>
  <c r="G495" i="13"/>
  <c r="G496" i="13"/>
  <c r="G497" i="13"/>
  <c r="G498" i="13"/>
  <c r="G499" i="13"/>
  <c r="G500" i="13"/>
  <c r="G501" i="13"/>
  <c r="G478" i="13"/>
  <c r="G479" i="13"/>
  <c r="G480" i="13"/>
  <c r="G481" i="13"/>
  <c r="G482" i="13"/>
  <c r="G483" i="13"/>
  <c r="AM105" i="38"/>
  <c r="AN101" i="38"/>
  <c r="AO101" i="38"/>
  <c r="AP101" i="38"/>
  <c r="AQ101" i="38"/>
  <c r="AR101" i="38"/>
  <c r="AM102" i="38"/>
  <c r="AM101" i="38"/>
  <c r="AM85" i="38"/>
  <c r="AM86" i="38"/>
  <c r="AP84" i="38"/>
  <c r="AO84" i="38"/>
  <c r="D68" i="40"/>
  <c r="H30" i="6"/>
  <c r="E101" i="40"/>
  <c r="E100" i="40"/>
  <c r="E96" i="40"/>
  <c r="I30" i="6"/>
  <c r="J30" i="6"/>
  <c r="K30" i="6"/>
  <c r="L30" i="6"/>
  <c r="M34" i="18"/>
  <c r="D76" i="26"/>
  <c r="B111" i="38" s="1"/>
  <c r="D75" i="26"/>
  <c r="B110" i="38" s="1"/>
  <c r="D74" i="26"/>
  <c r="B109" i="38" s="1"/>
  <c r="D73" i="26"/>
  <c r="B108" i="38" s="1"/>
  <c r="M211" i="13"/>
  <c r="V211" i="13" s="1"/>
  <c r="M212" i="13"/>
  <c r="V212" i="13" s="1"/>
  <c r="M213" i="13"/>
  <c r="V213" i="13" s="1"/>
  <c r="M214" i="13"/>
  <c r="V214" i="13" s="1"/>
  <c r="M215" i="13"/>
  <c r="V215" i="13" s="1"/>
  <c r="M216" i="13"/>
  <c r="V216" i="13" s="1"/>
  <c r="V229" i="13"/>
  <c r="V230" i="13"/>
  <c r="V231" i="13"/>
  <c r="V232" i="13"/>
  <c r="V233" i="13"/>
  <c r="V234" i="13"/>
  <c r="G16" i="12"/>
  <c r="K103" i="1" s="1"/>
  <c r="M43" i="13"/>
  <c r="V43" i="13" s="1"/>
  <c r="G17" i="12"/>
  <c r="M44" i="13"/>
  <c r="V44" i="13" s="1"/>
  <c r="G18" i="12"/>
  <c r="K80" i="1" s="1"/>
  <c r="M45" i="13"/>
  <c r="V45" i="13" s="1"/>
  <c r="G19" i="12"/>
  <c r="L396" i="13"/>
  <c r="M46" i="13"/>
  <c r="G20" i="12"/>
  <c r="M47" i="13"/>
  <c r="V47" i="13" s="1"/>
  <c r="G21" i="12"/>
  <c r="K398" i="13" s="1"/>
  <c r="L398" i="13"/>
  <c r="M48" i="13"/>
  <c r="V48" i="13" s="1"/>
  <c r="M58" i="13"/>
  <c r="V58" i="13" s="1"/>
  <c r="D18" i="38"/>
  <c r="N403" i="13" s="1"/>
  <c r="E27" i="20"/>
  <c r="M67" i="13"/>
  <c r="M65" i="13"/>
  <c r="V65" i="13" s="1"/>
  <c r="M68" i="13"/>
  <c r="V68" i="13" s="1"/>
  <c r="M69" i="13"/>
  <c r="V69" i="13" s="1"/>
  <c r="M63" i="13"/>
  <c r="M64" i="13"/>
  <c r="M72" i="13"/>
  <c r="M73" i="13"/>
  <c r="V73" i="13" s="1"/>
  <c r="F27" i="20"/>
  <c r="M80" i="13"/>
  <c r="M81" i="13"/>
  <c r="V81" i="13" s="1"/>
  <c r="M83" i="13"/>
  <c r="V83" i="13" s="1"/>
  <c r="M84" i="13"/>
  <c r="V84" i="13" s="1"/>
  <c r="M78" i="13"/>
  <c r="M86" i="13"/>
  <c r="V86" i="13" s="1"/>
  <c r="G27" i="20"/>
  <c r="G8" i="22"/>
  <c r="J8" i="22" s="1"/>
  <c r="J32" i="22"/>
  <c r="O32" i="22"/>
  <c r="M181" i="13"/>
  <c r="H29" i="32"/>
  <c r="C97" i="34"/>
  <c r="J63" i="34" s="1"/>
  <c r="M10" i="34"/>
  <c r="S12" i="34" s="1"/>
  <c r="M12" i="34" s="1"/>
  <c r="J16" i="34"/>
  <c r="P25" i="34" s="1"/>
  <c r="J25" i="34" s="1"/>
  <c r="P22" i="34"/>
  <c r="J22" i="34" s="1"/>
  <c r="K16" i="34"/>
  <c r="Q22" i="34"/>
  <c r="K22" i="34" s="1"/>
  <c r="L16" i="34"/>
  <c r="R22" i="34"/>
  <c r="L22" i="34" s="1"/>
  <c r="M16" i="34"/>
  <c r="S20" i="34" s="1"/>
  <c r="M20" i="34" s="1"/>
  <c r="S22" i="34"/>
  <c r="M22" i="34" s="1"/>
  <c r="N16" i="34"/>
  <c r="T20" i="34" s="1"/>
  <c r="N20" i="34" s="1"/>
  <c r="T22" i="34"/>
  <c r="N22" i="34" s="1"/>
  <c r="P32" i="34"/>
  <c r="J32" i="34" s="1"/>
  <c r="J33" i="34"/>
  <c r="J34" i="34"/>
  <c r="Q32" i="34"/>
  <c r="K32" i="34" s="1"/>
  <c r="K33" i="34"/>
  <c r="K34" i="34"/>
  <c r="R32" i="34"/>
  <c r="L32" i="34" s="1"/>
  <c r="L33" i="34"/>
  <c r="L34" i="34"/>
  <c r="S32" i="34"/>
  <c r="M32" i="34" s="1"/>
  <c r="M91" i="34" s="1"/>
  <c r="C59" i="37" s="1"/>
  <c r="M33" i="34"/>
  <c r="M34" i="34"/>
  <c r="T32" i="34"/>
  <c r="N32" i="34" s="1"/>
  <c r="N33" i="34"/>
  <c r="N34" i="34"/>
  <c r="J43" i="34"/>
  <c r="P56" i="34" s="1"/>
  <c r="J56" i="34" s="1"/>
  <c r="P44" i="34"/>
  <c r="J44" i="34" s="1"/>
  <c r="J46" i="34"/>
  <c r="J47" i="34"/>
  <c r="K43" i="34"/>
  <c r="Q53" i="34" s="1"/>
  <c r="K53" i="34" s="1"/>
  <c r="Q44" i="34"/>
  <c r="K44" i="34" s="1"/>
  <c r="K46" i="34"/>
  <c r="K47" i="34"/>
  <c r="L43" i="34"/>
  <c r="R44" i="34" s="1"/>
  <c r="L44" i="34" s="1"/>
  <c r="L46" i="34"/>
  <c r="L47" i="34"/>
  <c r="M43" i="34"/>
  <c r="S44" i="34" s="1"/>
  <c r="M44" i="34" s="1"/>
  <c r="M46" i="34"/>
  <c r="M47" i="34"/>
  <c r="N43" i="34"/>
  <c r="T56" i="34" s="1"/>
  <c r="N56" i="34" s="1"/>
  <c r="N46" i="34"/>
  <c r="N47" i="34"/>
  <c r="J10" i="34"/>
  <c r="K10" i="34"/>
  <c r="L10" i="34"/>
  <c r="R12" i="34" s="1"/>
  <c r="L12" i="34" s="1"/>
  <c r="N10" i="34"/>
  <c r="T12" i="34" s="1"/>
  <c r="N12" i="34" s="1"/>
  <c r="J26" i="34"/>
  <c r="K26" i="34"/>
  <c r="L26" i="34"/>
  <c r="M26" i="34"/>
  <c r="N26" i="34"/>
  <c r="J31" i="34"/>
  <c r="J38" i="34"/>
  <c r="K31" i="34"/>
  <c r="Q36" i="34" s="1"/>
  <c r="K36" i="34" s="1"/>
  <c r="K38" i="34"/>
  <c r="L31" i="34"/>
  <c r="R37" i="34" s="1"/>
  <c r="L37" i="34" s="1"/>
  <c r="L38" i="34"/>
  <c r="M31" i="34"/>
  <c r="S36" i="34" s="1"/>
  <c r="M36" i="34" s="1"/>
  <c r="M38" i="34"/>
  <c r="N31" i="34"/>
  <c r="T37" i="34" s="1"/>
  <c r="N37" i="34" s="1"/>
  <c r="N38" i="34"/>
  <c r="P51" i="34"/>
  <c r="J51" i="34" s="1"/>
  <c r="P53" i="34"/>
  <c r="J53" i="34" s="1"/>
  <c r="J54" i="34"/>
  <c r="J55" i="34"/>
  <c r="Q49" i="34"/>
  <c r="K49" i="34" s="1"/>
  <c r="Q51" i="34"/>
  <c r="K51" i="34" s="1"/>
  <c r="K54" i="34"/>
  <c r="K55" i="34"/>
  <c r="Q56" i="34"/>
  <c r="K56" i="34" s="1"/>
  <c r="L54" i="34"/>
  <c r="L55" i="34"/>
  <c r="M54" i="34"/>
  <c r="M55" i="34"/>
  <c r="N54" i="34"/>
  <c r="N55" i="34"/>
  <c r="I100" i="12"/>
  <c r="I101" i="12"/>
  <c r="I99" i="12"/>
  <c r="D26" i="38"/>
  <c r="H26" i="38" s="1"/>
  <c r="M203" i="13"/>
  <c r="V203" i="13" s="1"/>
  <c r="H28" i="22"/>
  <c r="J28" i="22" s="1"/>
  <c r="H29" i="22"/>
  <c r="J29" i="22"/>
  <c r="D27" i="38"/>
  <c r="N388" i="13" s="1"/>
  <c r="M54" i="13"/>
  <c r="V54" i="13" s="1"/>
  <c r="I57" i="12"/>
  <c r="M55" i="13"/>
  <c r="V55" i="13" s="1"/>
  <c r="I58" i="12"/>
  <c r="M56" i="13"/>
  <c r="V56" i="13" s="1"/>
  <c r="I59" i="12"/>
  <c r="M50" i="13"/>
  <c r="M405" i="13" s="1"/>
  <c r="I51" i="12"/>
  <c r="M52" i="13"/>
  <c r="V52" i="13" s="1"/>
  <c r="M51" i="13"/>
  <c r="I52" i="12"/>
  <c r="I54" i="12"/>
  <c r="H405" i="13"/>
  <c r="H406" i="13"/>
  <c r="H393" i="13"/>
  <c r="H394" i="13"/>
  <c r="H395" i="13"/>
  <c r="H396" i="13"/>
  <c r="H397" i="13"/>
  <c r="H398" i="13"/>
  <c r="H402" i="13"/>
  <c r="M87" i="13"/>
  <c r="V87" i="13" s="1"/>
  <c r="M88" i="13"/>
  <c r="V88" i="13" s="1"/>
  <c r="M95" i="13"/>
  <c r="V95" i="13" s="1"/>
  <c r="M93" i="13"/>
  <c r="V93" i="13" s="1"/>
  <c r="I67" i="12"/>
  <c r="I69" i="12" s="1"/>
  <c r="L121" i="1" s="1"/>
  <c r="I68" i="12"/>
  <c r="I65" i="12"/>
  <c r="M94" i="13"/>
  <c r="V94" i="13" s="1"/>
  <c r="M99" i="13"/>
  <c r="V99" i="13" s="1"/>
  <c r="M97" i="13"/>
  <c r="V97" i="13" s="1"/>
  <c r="M98" i="13"/>
  <c r="V98" i="13" s="1"/>
  <c r="I74" i="12"/>
  <c r="I76" i="12" s="1"/>
  <c r="I75" i="12"/>
  <c r="I72" i="12"/>
  <c r="M103" i="13"/>
  <c r="V103" i="13" s="1"/>
  <c r="M101" i="13"/>
  <c r="V101" i="13" s="1"/>
  <c r="M102" i="13"/>
  <c r="V102" i="13" s="1"/>
  <c r="V109" i="13"/>
  <c r="V111" i="13"/>
  <c r="V112" i="13"/>
  <c r="V113" i="13"/>
  <c r="V114" i="13"/>
  <c r="V115" i="13"/>
  <c r="V116" i="13"/>
  <c r="V207" i="13"/>
  <c r="M208" i="13"/>
  <c r="V208" i="13" s="1"/>
  <c r="D17" i="38"/>
  <c r="O101" i="1" s="1"/>
  <c r="M31" i="1"/>
  <c r="M93" i="1" s="1"/>
  <c r="M32" i="1"/>
  <c r="I53" i="12"/>
  <c r="M92" i="1"/>
  <c r="I50" i="12"/>
  <c r="M33" i="1"/>
  <c r="M94" i="1"/>
  <c r="M40" i="1"/>
  <c r="M77" i="1"/>
  <c r="M26" i="1"/>
  <c r="M27" i="1"/>
  <c r="M28" i="1"/>
  <c r="M29" i="1"/>
  <c r="M45" i="1"/>
  <c r="M46" i="1"/>
  <c r="M47" i="1"/>
  <c r="M36" i="1"/>
  <c r="M37" i="1"/>
  <c r="M38" i="1"/>
  <c r="M50" i="1"/>
  <c r="M51" i="1"/>
  <c r="M113" i="1" s="1"/>
  <c r="M52" i="1"/>
  <c r="M54" i="1"/>
  <c r="M56" i="1"/>
  <c r="M55" i="1"/>
  <c r="M57" i="1"/>
  <c r="M59" i="1"/>
  <c r="M60" i="1"/>
  <c r="M117" i="1"/>
  <c r="M10" i="1" s="1"/>
  <c r="M63" i="1"/>
  <c r="M64" i="1"/>
  <c r="M65" i="1"/>
  <c r="M121" i="1"/>
  <c r="M67" i="1"/>
  <c r="M68" i="1"/>
  <c r="M71" i="1"/>
  <c r="M122" i="1"/>
  <c r="M69" i="1"/>
  <c r="M70" i="1"/>
  <c r="D8" i="38"/>
  <c r="M26" i="6"/>
  <c r="M66" i="6"/>
  <c r="C27" i="20"/>
  <c r="M69" i="6"/>
  <c r="M68" i="6"/>
  <c r="M67" i="6"/>
  <c r="M70" i="6"/>
  <c r="M71" i="6"/>
  <c r="M80" i="6"/>
  <c r="M33" i="6"/>
  <c r="M82" i="6"/>
  <c r="M83" i="6"/>
  <c r="M84" i="6"/>
  <c r="M88" i="6"/>
  <c r="M32" i="6"/>
  <c r="M89" i="6"/>
  <c r="M48" i="6"/>
  <c r="M49" i="6"/>
  <c r="M50" i="6"/>
  <c r="M56" i="6"/>
  <c r="M57" i="6"/>
  <c r="M58" i="6"/>
  <c r="M59" i="6"/>
  <c r="M63" i="6"/>
  <c r="M78" i="6"/>
  <c r="M90" i="6"/>
  <c r="M85" i="6"/>
  <c r="M86" i="6"/>
  <c r="M27" i="6"/>
  <c r="D68" i="38"/>
  <c r="M45" i="18"/>
  <c r="M47" i="18"/>
  <c r="M46" i="18"/>
  <c r="M55" i="18"/>
  <c r="M56" i="18"/>
  <c r="M58" i="18"/>
  <c r="M42" i="18"/>
  <c r="M43" i="18"/>
  <c r="M54" i="18"/>
  <c r="M37" i="18"/>
  <c r="M38" i="18"/>
  <c r="M61" i="18"/>
  <c r="M62" i="18"/>
  <c r="M48" i="18"/>
  <c r="M49" i="18"/>
  <c r="M57" i="18"/>
  <c r="M66" i="18"/>
  <c r="M67" i="18"/>
  <c r="M69" i="18"/>
  <c r="M36" i="18"/>
  <c r="M35" i="18"/>
  <c r="H26" i="4"/>
  <c r="M26" i="4" s="1"/>
  <c r="H27" i="4"/>
  <c r="M27" i="4" s="1"/>
  <c r="H28" i="4"/>
  <c r="M28" i="4" s="1"/>
  <c r="D69" i="12"/>
  <c r="H36" i="4" s="1"/>
  <c r="H35" i="4"/>
  <c r="D44" i="38"/>
  <c r="D53" i="40"/>
  <c r="D54" i="40" s="1"/>
  <c r="D76" i="12"/>
  <c r="AG5" i="38"/>
  <c r="AG10" i="38" s="1"/>
  <c r="AG24" i="38" s="1"/>
  <c r="E74" i="12"/>
  <c r="F74" i="12"/>
  <c r="E75" i="12"/>
  <c r="E72" i="12"/>
  <c r="F72" i="12"/>
  <c r="E76" i="12"/>
  <c r="F75" i="12"/>
  <c r="G74" i="12"/>
  <c r="G75" i="12"/>
  <c r="G76" i="12" s="1"/>
  <c r="G72" i="12"/>
  <c r="H74" i="12"/>
  <c r="H75" i="12"/>
  <c r="H72" i="12"/>
  <c r="E67" i="12"/>
  <c r="F67" i="12" s="1"/>
  <c r="E68" i="12"/>
  <c r="F68" i="12" s="1"/>
  <c r="E65" i="12"/>
  <c r="F65" i="12" s="1"/>
  <c r="G67" i="12"/>
  <c r="G69" i="12" s="1"/>
  <c r="K128" i="1" s="1"/>
  <c r="G68" i="12"/>
  <c r="G65" i="12"/>
  <c r="H67" i="12"/>
  <c r="H68" i="12"/>
  <c r="H65" i="12"/>
  <c r="E39" i="12"/>
  <c r="F39" i="12" s="1"/>
  <c r="E34" i="12"/>
  <c r="I544" i="13" s="1"/>
  <c r="E29" i="12"/>
  <c r="E36" i="12"/>
  <c r="E32" i="12"/>
  <c r="F32" i="12" s="1"/>
  <c r="E28" i="12"/>
  <c r="E33" i="12"/>
  <c r="E26" i="12"/>
  <c r="F34" i="12"/>
  <c r="J544" i="13" s="1"/>
  <c r="F29" i="12"/>
  <c r="F28" i="12"/>
  <c r="G39" i="12"/>
  <c r="G34" i="12"/>
  <c r="K544" i="13" s="1"/>
  <c r="G29" i="12"/>
  <c r="G36" i="12"/>
  <c r="G32" i="12"/>
  <c r="G28" i="12"/>
  <c r="G33" i="12"/>
  <c r="G26" i="12"/>
  <c r="AH5" i="38"/>
  <c r="AH10" i="38" s="1"/>
  <c r="AH24" i="38" s="1"/>
  <c r="AF5" i="38"/>
  <c r="AF10" i="38" s="1"/>
  <c r="AD5" i="38"/>
  <c r="AD10" i="38"/>
  <c r="AD14" i="38"/>
  <c r="AE5" i="38"/>
  <c r="AE10" i="38" s="1"/>
  <c r="AE14" i="38" s="1"/>
  <c r="AC5" i="38"/>
  <c r="AC10" i="38" s="1"/>
  <c r="AC14" i="38" s="1"/>
  <c r="AA5" i="38"/>
  <c r="AA10" i="38"/>
  <c r="AA14" i="38" s="1"/>
  <c r="AB5" i="38"/>
  <c r="AB10" i="38" s="1"/>
  <c r="AB14" i="38" s="1"/>
  <c r="Z5" i="38"/>
  <c r="Z10" i="38" s="1"/>
  <c r="Z14" i="38" s="1"/>
  <c r="H16" i="12"/>
  <c r="L30" i="4" s="1"/>
  <c r="H17" i="12"/>
  <c r="L81" i="5" s="1"/>
  <c r="L82" i="18"/>
  <c r="L88" i="18"/>
  <c r="L94" i="18"/>
  <c r="L100" i="18"/>
  <c r="H19" i="12"/>
  <c r="L28" i="4" s="1"/>
  <c r="H60" i="12"/>
  <c r="H26" i="12"/>
  <c r="H28" i="12"/>
  <c r="H340" i="13"/>
  <c r="H328" i="13"/>
  <c r="H322" i="13"/>
  <c r="H334" i="13"/>
  <c r="D33" i="38"/>
  <c r="M176" i="13"/>
  <c r="J66" i="26"/>
  <c r="V228" i="13"/>
  <c r="Q273" i="13"/>
  <c r="Q278" i="13"/>
  <c r="Q283" i="13"/>
  <c r="I32" i="37"/>
  <c r="I33" i="37"/>
  <c r="I45" i="37"/>
  <c r="I53" i="37"/>
  <c r="I54" i="37"/>
  <c r="I55" i="37"/>
  <c r="I67" i="37"/>
  <c r="I73" i="37"/>
  <c r="I76" i="37"/>
  <c r="I77" i="37"/>
  <c r="I89" i="37"/>
  <c r="I90" i="37"/>
  <c r="I96" i="37"/>
  <c r="M21" i="4"/>
  <c r="M22" i="4"/>
  <c r="M23" i="4"/>
  <c r="M24" i="4"/>
  <c r="M25" i="4"/>
  <c r="H30" i="4"/>
  <c r="M30" i="4" s="1"/>
  <c r="H31" i="4"/>
  <c r="M31" i="4" s="1"/>
  <c r="H32" i="4"/>
  <c r="M32" i="4" s="1"/>
  <c r="M34" i="4"/>
  <c r="M20" i="4"/>
  <c r="M17" i="4"/>
  <c r="M16" i="4"/>
  <c r="M15" i="4"/>
  <c r="M24" i="19"/>
  <c r="M23" i="19"/>
  <c r="M16" i="19"/>
  <c r="M15" i="19"/>
  <c r="M68" i="18"/>
  <c r="V157" i="13"/>
  <c r="I56" i="38"/>
  <c r="M27" i="19"/>
  <c r="L27" i="19"/>
  <c r="K27" i="19"/>
  <c r="K19" i="19"/>
  <c r="M20" i="19"/>
  <c r="M19" i="19"/>
  <c r="L20" i="19"/>
  <c r="L19" i="19"/>
  <c r="L16" i="19"/>
  <c r="V21" i="13"/>
  <c r="V22" i="13"/>
  <c r="V23" i="13"/>
  <c r="V27" i="13"/>
  <c r="V31" i="13"/>
  <c r="V37" i="13"/>
  <c r="V39" i="13"/>
  <c r="V40" i="13"/>
  <c r="V41" i="13"/>
  <c r="V42" i="13"/>
  <c r="V49" i="13"/>
  <c r="V53" i="13"/>
  <c r="V57" i="13"/>
  <c r="V59" i="13"/>
  <c r="V60" i="13"/>
  <c r="V61" i="13"/>
  <c r="V70" i="13"/>
  <c r="V71" i="13"/>
  <c r="V74" i="13"/>
  <c r="V75" i="13"/>
  <c r="V76" i="13"/>
  <c r="V89" i="13"/>
  <c r="V90" i="13"/>
  <c r="V91" i="13"/>
  <c r="V100" i="13"/>
  <c r="V104" i="13"/>
  <c r="V105" i="13"/>
  <c r="V106" i="13"/>
  <c r="V107" i="13"/>
  <c r="V108" i="13"/>
  <c r="V118" i="13"/>
  <c r="V119" i="13"/>
  <c r="V120" i="13"/>
  <c r="V124" i="13"/>
  <c r="V125" i="13"/>
  <c r="V139" i="13"/>
  <c r="V141" i="13"/>
  <c r="V142" i="13"/>
  <c r="V154" i="13"/>
  <c r="V155" i="13"/>
  <c r="V156" i="13"/>
  <c r="V163" i="13"/>
  <c r="V164" i="13"/>
  <c r="V173" i="13"/>
  <c r="V174" i="13"/>
  <c r="V175" i="13"/>
  <c r="V177" i="13"/>
  <c r="V179" i="13"/>
  <c r="V181" i="13"/>
  <c r="V182" i="13"/>
  <c r="V183" i="13"/>
  <c r="V184" i="13"/>
  <c r="V195" i="13"/>
  <c r="V202" i="13"/>
  <c r="V204" i="13"/>
  <c r="V205" i="13"/>
  <c r="V206" i="13"/>
  <c r="V209" i="13"/>
  <c r="V210" i="13"/>
  <c r="V217" i="13"/>
  <c r="V218" i="13"/>
  <c r="V235" i="13"/>
  <c r="V236" i="13"/>
  <c r="V245" i="13"/>
  <c r="V246" i="13"/>
  <c r="V247" i="13"/>
  <c r="V256" i="13"/>
  <c r="V265" i="13"/>
  <c r="V266" i="13"/>
  <c r="V267" i="13"/>
  <c r="V268" i="13"/>
  <c r="V278" i="13"/>
  <c r="V283" i="13"/>
  <c r="V295" i="13"/>
  <c r="V296" i="13"/>
  <c r="V297" i="13"/>
  <c r="V298" i="13"/>
  <c r="V299" i="13"/>
  <c r="V306" i="13"/>
  <c r="V313" i="13"/>
  <c r="V319" i="13"/>
  <c r="V320" i="13"/>
  <c r="V321" i="13"/>
  <c r="V352" i="13"/>
  <c r="V353" i="13"/>
  <c r="V354" i="13"/>
  <c r="V360" i="13"/>
  <c r="V361" i="13"/>
  <c r="V369" i="13"/>
  <c r="V370" i="13"/>
  <c r="V382" i="13"/>
  <c r="V383" i="13"/>
  <c r="V386" i="13"/>
  <c r="V387" i="13"/>
  <c r="V389" i="13"/>
  <c r="V390" i="13"/>
  <c r="V391" i="13"/>
  <c r="V401" i="13"/>
  <c r="V404" i="13"/>
  <c r="V410" i="13"/>
  <c r="V411" i="13"/>
  <c r="V412" i="13"/>
  <c r="V419" i="13"/>
  <c r="V420" i="13"/>
  <c r="V421" i="13"/>
  <c r="V422" i="13"/>
  <c r="V423" i="13"/>
  <c r="V426" i="13"/>
  <c r="V432" i="13"/>
  <c r="V433" i="13"/>
  <c r="V434" i="13"/>
  <c r="V435" i="13"/>
  <c r="V439" i="13"/>
  <c r="V440" i="13"/>
  <c r="V442" i="13"/>
  <c r="V443" i="13"/>
  <c r="V462" i="13"/>
  <c r="V463" i="13"/>
  <c r="V470" i="13"/>
  <c r="V471" i="13"/>
  <c r="V477" i="13"/>
  <c r="V484" i="13"/>
  <c r="V485" i="13"/>
  <c r="V502" i="13"/>
  <c r="V503" i="13"/>
  <c r="V512" i="13"/>
  <c r="V513" i="13"/>
  <c r="V514" i="13"/>
  <c r="V523" i="13"/>
  <c r="I22" i="28"/>
  <c r="H86" i="41" s="1"/>
  <c r="I17" i="28"/>
  <c r="H73" i="41" s="1"/>
  <c r="H18" i="12"/>
  <c r="L89" i="5"/>
  <c r="L90" i="5"/>
  <c r="Q3" i="10"/>
  <c r="B16" i="10" s="1"/>
  <c r="Q4" i="10"/>
  <c r="Q5" i="10"/>
  <c r="Q6" i="10"/>
  <c r="B19" i="10"/>
  <c r="Q7" i="10"/>
  <c r="B20" i="10" s="1"/>
  <c r="Q8" i="10"/>
  <c r="C21" i="10" s="1"/>
  <c r="B21" i="10"/>
  <c r="Q9" i="10"/>
  <c r="Q10" i="10"/>
  <c r="B23" i="10"/>
  <c r="Q11" i="10"/>
  <c r="C19" i="10"/>
  <c r="C20" i="10"/>
  <c r="C23" i="10"/>
  <c r="B27" i="20"/>
  <c r="L58" i="5"/>
  <c r="L68" i="5"/>
  <c r="I27" i="26"/>
  <c r="H107" i="41" s="1"/>
  <c r="G83" i="37"/>
  <c r="G67" i="37"/>
  <c r="G39" i="37"/>
  <c r="G15" i="37"/>
  <c r="L125" i="6"/>
  <c r="L110" i="6"/>
  <c r="L27" i="6"/>
  <c r="L32" i="4"/>
  <c r="L31" i="4"/>
  <c r="N32" i="22"/>
  <c r="N20" i="22"/>
  <c r="N19" i="22"/>
  <c r="N23" i="22"/>
  <c r="N24" i="22"/>
  <c r="H100" i="12"/>
  <c r="H101" i="12"/>
  <c r="H99" i="12"/>
  <c r="H58" i="12"/>
  <c r="H59" i="12"/>
  <c r="H57" i="12"/>
  <c r="H51" i="12"/>
  <c r="H52" i="12"/>
  <c r="H53" i="12"/>
  <c r="H54" i="12"/>
  <c r="H50" i="12"/>
  <c r="H27" i="12"/>
  <c r="H29" i="12"/>
  <c r="H30" i="12"/>
  <c r="H31" i="12"/>
  <c r="H32" i="12"/>
  <c r="H33" i="12"/>
  <c r="H34" i="12"/>
  <c r="H35" i="12"/>
  <c r="H36" i="12"/>
  <c r="H37" i="12"/>
  <c r="H38" i="12"/>
  <c r="H39" i="12"/>
  <c r="H40" i="12"/>
  <c r="H20" i="12"/>
  <c r="H21" i="12"/>
  <c r="H22" i="12"/>
  <c r="H15" i="12"/>
  <c r="L346" i="13"/>
  <c r="L340" i="13"/>
  <c r="L334" i="13"/>
  <c r="L328" i="13"/>
  <c r="L322" i="13"/>
  <c r="L30" i="13"/>
  <c r="L59" i="1"/>
  <c r="L117" i="1" s="1"/>
  <c r="L10" i="1" s="1"/>
  <c r="C76" i="38"/>
  <c r="C75" i="38"/>
  <c r="C59" i="38"/>
  <c r="C60" i="38"/>
  <c r="C61" i="38"/>
  <c r="C58" i="38"/>
  <c r="C54" i="38"/>
  <c r="C55" i="38"/>
  <c r="C53" i="38"/>
  <c r="D12" i="20"/>
  <c r="D4" i="20"/>
  <c r="D5" i="20"/>
  <c r="D6" i="20"/>
  <c r="D7" i="20"/>
  <c r="D8" i="20"/>
  <c r="D9" i="20"/>
  <c r="D10" i="20"/>
  <c r="D11" i="20"/>
  <c r="M68" i="5"/>
  <c r="K68" i="5"/>
  <c r="M58" i="5"/>
  <c r="K58" i="5"/>
  <c r="K59" i="1"/>
  <c r="G52" i="12"/>
  <c r="G54" i="12"/>
  <c r="G51" i="12"/>
  <c r="K405" i="13" s="1"/>
  <c r="F83" i="37"/>
  <c r="H83" i="37"/>
  <c r="I83" i="37" s="1"/>
  <c r="F61" i="37"/>
  <c r="H61" i="37"/>
  <c r="I61" i="37" s="1"/>
  <c r="F39" i="37"/>
  <c r="H39" i="37"/>
  <c r="I39" i="37" s="1"/>
  <c r="F15" i="37"/>
  <c r="H15" i="37"/>
  <c r="J109" i="13"/>
  <c r="J110" i="13"/>
  <c r="J111" i="13"/>
  <c r="J112" i="13"/>
  <c r="J114" i="13"/>
  <c r="J115" i="13"/>
  <c r="J116" i="13"/>
  <c r="G101" i="12"/>
  <c r="G100" i="12"/>
  <c r="G99" i="12"/>
  <c r="G58" i="12"/>
  <c r="K100" i="1" s="1"/>
  <c r="G59" i="12"/>
  <c r="G60" i="12"/>
  <c r="G57" i="12"/>
  <c r="L405" i="13"/>
  <c r="L406" i="13"/>
  <c r="G53" i="12"/>
  <c r="L92" i="1"/>
  <c r="L93" i="1"/>
  <c r="G50" i="12"/>
  <c r="G27" i="12"/>
  <c r="G30" i="12"/>
  <c r="G31" i="12"/>
  <c r="G35" i="12"/>
  <c r="G37" i="12"/>
  <c r="G38" i="12"/>
  <c r="G40" i="12"/>
  <c r="G22" i="12"/>
  <c r="L83" i="1"/>
  <c r="G15" i="12"/>
  <c r="L77" i="1"/>
  <c r="S284" i="13"/>
  <c r="E99" i="12"/>
  <c r="F99" i="12" s="1"/>
  <c r="D6" i="35"/>
  <c r="E6" i="35"/>
  <c r="H6" i="35"/>
  <c r="Q63" i="34"/>
  <c r="R63" i="34"/>
  <c r="S63" i="34"/>
  <c r="T63" i="34"/>
  <c r="P63" i="34"/>
  <c r="Q54" i="34"/>
  <c r="R54" i="34"/>
  <c r="S54" i="34"/>
  <c r="T54" i="34"/>
  <c r="Q55" i="34"/>
  <c r="R55" i="34"/>
  <c r="S55" i="34"/>
  <c r="T55" i="34"/>
  <c r="Q58" i="34"/>
  <c r="R58" i="34"/>
  <c r="S58" i="34"/>
  <c r="T58" i="34"/>
  <c r="Q46" i="34"/>
  <c r="R46" i="34"/>
  <c r="S46" i="34"/>
  <c r="T46" i="34"/>
  <c r="P46" i="34"/>
  <c r="P54" i="34"/>
  <c r="P55" i="34"/>
  <c r="P58" i="34"/>
  <c r="Q38" i="34"/>
  <c r="R38" i="34"/>
  <c r="S38" i="34"/>
  <c r="T38" i="34"/>
  <c r="Q39" i="34"/>
  <c r="R39" i="34"/>
  <c r="S39" i="34"/>
  <c r="T39" i="34"/>
  <c r="P38" i="34"/>
  <c r="P39" i="34"/>
  <c r="Q33" i="34"/>
  <c r="R33" i="34"/>
  <c r="S33" i="34"/>
  <c r="T33" i="34"/>
  <c r="Q34" i="34"/>
  <c r="R34" i="34"/>
  <c r="S34" i="34"/>
  <c r="T34" i="34"/>
  <c r="P33" i="34"/>
  <c r="P34" i="34"/>
  <c r="Q26" i="34"/>
  <c r="R26" i="34"/>
  <c r="S26" i="34"/>
  <c r="T26" i="34"/>
  <c r="Q27" i="34"/>
  <c r="R27" i="34"/>
  <c r="S27" i="34"/>
  <c r="T27" i="34"/>
  <c r="P27" i="34"/>
  <c r="P26" i="34"/>
  <c r="S180" i="13"/>
  <c r="S287" i="13"/>
  <c r="D23" i="34"/>
  <c r="M32" i="22"/>
  <c r="E30" i="12"/>
  <c r="F30" i="12" s="1"/>
  <c r="E35" i="12"/>
  <c r="F35" i="12"/>
  <c r="S469" i="13"/>
  <c r="S470" i="13"/>
  <c r="S471" i="13"/>
  <c r="S472" i="13"/>
  <c r="S269" i="13"/>
  <c r="S270" i="13"/>
  <c r="S271" i="13"/>
  <c r="S272" i="13"/>
  <c r="S273" i="13"/>
  <c r="S274" i="13"/>
  <c r="S275" i="13"/>
  <c r="S276" i="13"/>
  <c r="S277" i="13"/>
  <c r="S279" i="13"/>
  <c r="S280" i="13"/>
  <c r="S281" i="13"/>
  <c r="S282" i="13"/>
  <c r="S283" i="13"/>
  <c r="D39" i="37"/>
  <c r="D61" i="37"/>
  <c r="G61" i="37" s="1"/>
  <c r="G485" i="13"/>
  <c r="G503" i="13"/>
  <c r="G513" i="13"/>
  <c r="E101" i="12"/>
  <c r="F101" i="12" s="1"/>
  <c r="E100" i="12"/>
  <c r="F100" i="12"/>
  <c r="E31" i="12"/>
  <c r="F31" i="12" s="1"/>
  <c r="E37" i="12"/>
  <c r="F37" i="12" s="1"/>
  <c r="E38" i="12"/>
  <c r="F38" i="12" s="1"/>
  <c r="E40" i="12"/>
  <c r="F40" i="12" s="1"/>
  <c r="F46" i="35"/>
  <c r="C46" i="35"/>
  <c r="F37" i="35"/>
  <c r="S47" i="34"/>
  <c r="R47" i="34"/>
  <c r="P47" i="34"/>
  <c r="Q47" i="34"/>
  <c r="T47" i="34"/>
  <c r="C37" i="35"/>
  <c r="H414" i="13"/>
  <c r="S286" i="13"/>
  <c r="H413" i="13"/>
  <c r="M12" i="22"/>
  <c r="N12" i="22"/>
  <c r="M17" i="22"/>
  <c r="M23" i="22"/>
  <c r="M19" i="22"/>
  <c r="M20" i="22"/>
  <c r="M21" i="22"/>
  <c r="M24" i="22"/>
  <c r="H118" i="1"/>
  <c r="H17" i="1"/>
  <c r="H108" i="1"/>
  <c r="H107" i="1"/>
  <c r="H109" i="1"/>
  <c r="H103" i="1"/>
  <c r="H100" i="1"/>
  <c r="H99" i="1"/>
  <c r="H92" i="1"/>
  <c r="H87" i="1"/>
  <c r="H81" i="1"/>
  <c r="H86" i="1"/>
  <c r="H80" i="1"/>
  <c r="H85" i="1"/>
  <c r="H79" i="1"/>
  <c r="H84" i="1"/>
  <c r="H83" i="1"/>
  <c r="H78" i="1"/>
  <c r="H77" i="1"/>
  <c r="H114" i="1"/>
  <c r="H113" i="1"/>
  <c r="H117" i="1"/>
  <c r="H10" i="1"/>
  <c r="H98" i="1"/>
  <c r="K24" i="22"/>
  <c r="L24" i="22" s="1"/>
  <c r="M346" i="13"/>
  <c r="J346" i="13"/>
  <c r="I346" i="13"/>
  <c r="H346" i="13"/>
  <c r="S90" i="5"/>
  <c r="H90" i="5"/>
  <c r="J27" i="26"/>
  <c r="H27" i="26"/>
  <c r="G107" i="41" s="1"/>
  <c r="G27" i="26"/>
  <c r="F107" i="41" s="1"/>
  <c r="F27" i="26"/>
  <c r="E107" i="41" s="1"/>
  <c r="E27" i="26"/>
  <c r="D107" i="41" s="1"/>
  <c r="J22" i="28"/>
  <c r="H22" i="28"/>
  <c r="G86" i="41" s="1"/>
  <c r="G22" i="28"/>
  <c r="F86" i="41" s="1"/>
  <c r="F22" i="28"/>
  <c r="E86" i="41" s="1"/>
  <c r="E22" i="28"/>
  <c r="D86" i="41" s="1"/>
  <c r="J17" i="28"/>
  <c r="H17" i="28"/>
  <c r="G73" i="41" s="1"/>
  <c r="G17" i="28"/>
  <c r="F73" i="41" s="1"/>
  <c r="F17" i="28"/>
  <c r="E73" i="41" s="1"/>
  <c r="E17" i="28"/>
  <c r="D73" i="41" s="1"/>
  <c r="A31" i="28"/>
  <c r="S83" i="5"/>
  <c r="S84" i="5"/>
  <c r="S85" i="5"/>
  <c r="S86" i="5"/>
  <c r="S87" i="5"/>
  <c r="S88" i="5"/>
  <c r="S89" i="5"/>
  <c r="S91" i="5"/>
  <c r="S92" i="5"/>
  <c r="S93" i="5"/>
  <c r="S94" i="5"/>
  <c r="S95" i="5"/>
  <c r="S96" i="5"/>
  <c r="S97" i="5"/>
  <c r="S98" i="5"/>
  <c r="S99" i="5"/>
  <c r="S100" i="5"/>
  <c r="S101" i="5"/>
  <c r="S102" i="5"/>
  <c r="S103" i="5"/>
  <c r="S104" i="5"/>
  <c r="S105" i="5"/>
  <c r="S106" i="5"/>
  <c r="S107" i="5"/>
  <c r="B18" i="10"/>
  <c r="B22" i="10"/>
  <c r="C18" i="10"/>
  <c r="C22" i="10"/>
  <c r="A30" i="28"/>
  <c r="A29" i="28"/>
  <c r="A28" i="28"/>
  <c r="A26" i="28"/>
  <c r="A25" i="28"/>
  <c r="A24" i="28"/>
  <c r="A23" i="28"/>
  <c r="A21" i="28"/>
  <c r="A20" i="28"/>
  <c r="A19" i="28"/>
  <c r="A18" i="28"/>
  <c r="A16" i="28"/>
  <c r="A15" i="28"/>
  <c r="A14" i="28"/>
  <c r="A13" i="28"/>
  <c r="A11" i="28"/>
  <c r="A10" i="28"/>
  <c r="A9" i="28"/>
  <c r="A8" i="28"/>
  <c r="A31" i="27"/>
  <c r="A30" i="27"/>
  <c r="A29" i="27"/>
  <c r="A28" i="27"/>
  <c r="A26" i="27"/>
  <c r="A25" i="27"/>
  <c r="A24" i="27"/>
  <c r="A23" i="27"/>
  <c r="A21" i="27"/>
  <c r="A20" i="27"/>
  <c r="A19" i="27"/>
  <c r="A18" i="27"/>
  <c r="A16" i="27"/>
  <c r="A15" i="27"/>
  <c r="A14" i="27"/>
  <c r="A13" i="27"/>
  <c r="A11" i="27"/>
  <c r="A10" i="27"/>
  <c r="A9" i="27"/>
  <c r="A8" i="27"/>
  <c r="A31" i="26"/>
  <c r="S82" i="1"/>
  <c r="S91" i="1"/>
  <c r="S92" i="1"/>
  <c r="S93" i="1"/>
  <c r="S94" i="1"/>
  <c r="S95" i="1"/>
  <c r="S96" i="1"/>
  <c r="S97" i="1"/>
  <c r="S98" i="1"/>
  <c r="S99" i="1"/>
  <c r="S100" i="1"/>
  <c r="S101" i="1"/>
  <c r="S102" i="1"/>
  <c r="S103" i="1"/>
  <c r="S104" i="1"/>
  <c r="S105" i="1"/>
  <c r="S106" i="1"/>
  <c r="S112" i="1"/>
  <c r="S113" i="1"/>
  <c r="S114" i="1"/>
  <c r="S115" i="1"/>
  <c r="S116" i="1"/>
  <c r="S117" i="1"/>
  <c r="S118" i="1"/>
  <c r="S119" i="1"/>
  <c r="S120" i="1"/>
  <c r="S121" i="1"/>
  <c r="S122" i="1"/>
  <c r="S123" i="1"/>
  <c r="S124" i="1"/>
  <c r="M83" i="1"/>
  <c r="M118" i="1"/>
  <c r="M17" i="1"/>
  <c r="S285" i="13"/>
  <c r="S365" i="13"/>
  <c r="S366" i="13"/>
  <c r="S368" i="13"/>
  <c r="S369" i="13"/>
  <c r="S370" i="13"/>
  <c r="S371" i="13"/>
  <c r="S372" i="13"/>
  <c r="S373" i="13"/>
  <c r="S374" i="13"/>
  <c r="S375" i="13"/>
  <c r="S376" i="13"/>
  <c r="S377" i="13"/>
  <c r="S378" i="13"/>
  <c r="S379" i="13"/>
  <c r="S381" i="13"/>
  <c r="S382" i="13"/>
  <c r="S383" i="13"/>
  <c r="S384" i="13"/>
  <c r="S385" i="13"/>
  <c r="S388" i="13"/>
  <c r="S389" i="13"/>
  <c r="S390" i="13"/>
  <c r="S391" i="13"/>
  <c r="S392" i="13"/>
  <c r="S393" i="13"/>
  <c r="S394" i="13"/>
  <c r="S395" i="13"/>
  <c r="S396" i="13"/>
  <c r="S397" i="13"/>
  <c r="S398" i="13"/>
  <c r="S399" i="13"/>
  <c r="S400" i="13"/>
  <c r="S401" i="13"/>
  <c r="S402" i="13"/>
  <c r="S403" i="13"/>
  <c r="S404" i="13"/>
  <c r="S405" i="13"/>
  <c r="S406" i="13"/>
  <c r="S407" i="13"/>
  <c r="S408" i="13"/>
  <c r="S409" i="13"/>
  <c r="S410" i="13"/>
  <c r="S411" i="13"/>
  <c r="S412" i="13"/>
  <c r="S413" i="13"/>
  <c r="S414" i="13"/>
  <c r="S415" i="13"/>
  <c r="S416" i="13"/>
  <c r="S418" i="13"/>
  <c r="S419" i="13"/>
  <c r="S420" i="13"/>
  <c r="S421" i="13"/>
  <c r="S422" i="13"/>
  <c r="S423" i="13"/>
  <c r="S424" i="13"/>
  <c r="S425" i="13"/>
  <c r="S426" i="13"/>
  <c r="S427" i="13"/>
  <c r="S428" i="13"/>
  <c r="S429" i="13"/>
  <c r="S430" i="13"/>
  <c r="S431" i="13"/>
  <c r="S432" i="13"/>
  <c r="S433" i="13"/>
  <c r="S434" i="13"/>
  <c r="S435" i="13"/>
  <c r="S436" i="13"/>
  <c r="S437" i="13"/>
  <c r="S438" i="13"/>
  <c r="S439" i="13"/>
  <c r="S440" i="13"/>
  <c r="S441" i="13"/>
  <c r="S442" i="13"/>
  <c r="S443" i="13"/>
  <c r="S444" i="13"/>
  <c r="S445" i="13"/>
  <c r="S447" i="13"/>
  <c r="S450" i="13"/>
  <c r="S451" i="13"/>
  <c r="S452" i="13"/>
  <c r="S453" i="13"/>
  <c r="S454" i="13"/>
  <c r="S455" i="13"/>
  <c r="S456" i="13"/>
  <c r="S457" i="13"/>
  <c r="S458" i="13"/>
  <c r="S459" i="13"/>
  <c r="S460" i="13"/>
  <c r="S461" i="13"/>
  <c r="S462" i="13"/>
  <c r="S463" i="13"/>
  <c r="S464" i="13"/>
  <c r="S466" i="13"/>
  <c r="S467" i="13"/>
  <c r="S468" i="13"/>
  <c r="M322" i="13"/>
  <c r="M328" i="13"/>
  <c r="M334" i="13"/>
  <c r="M340" i="13"/>
  <c r="S34" i="19"/>
  <c r="S35" i="19"/>
  <c r="S36" i="19"/>
  <c r="S37" i="19"/>
  <c r="S38" i="19"/>
  <c r="S39" i="19"/>
  <c r="S40" i="19"/>
  <c r="S41" i="19"/>
  <c r="S42" i="19"/>
  <c r="S43" i="19"/>
  <c r="S44" i="19"/>
  <c r="S45" i="19"/>
  <c r="A30" i="26"/>
  <c r="A29" i="26"/>
  <c r="A28" i="26"/>
  <c r="A26" i="26"/>
  <c r="A25" i="26"/>
  <c r="A24" i="26"/>
  <c r="A23" i="26"/>
  <c r="A21" i="26"/>
  <c r="A20" i="26"/>
  <c r="A19" i="26"/>
  <c r="A18" i="26"/>
  <c r="A16" i="26"/>
  <c r="A15" i="26"/>
  <c r="A14" i="26"/>
  <c r="A13" i="26"/>
  <c r="A11" i="26"/>
  <c r="A10" i="26"/>
  <c r="A9" i="26"/>
  <c r="A8" i="26"/>
  <c r="A31" i="25"/>
  <c r="A30" i="25"/>
  <c r="A29" i="25"/>
  <c r="A28" i="25"/>
  <c r="A26" i="25"/>
  <c r="A25" i="25"/>
  <c r="A24" i="25"/>
  <c r="A23" i="25"/>
  <c r="A21" i="25"/>
  <c r="A20" i="25"/>
  <c r="A19" i="25"/>
  <c r="A18" i="25"/>
  <c r="A16" i="25"/>
  <c r="A15" i="25"/>
  <c r="A14" i="25"/>
  <c r="A13" i="25"/>
  <c r="A11" i="25"/>
  <c r="A10" i="25"/>
  <c r="A9" i="25"/>
  <c r="A8" i="25"/>
  <c r="A38" i="24"/>
  <c r="A39" i="24"/>
  <c r="A40" i="24"/>
  <c r="A37" i="24"/>
  <c r="A33" i="24"/>
  <c r="A34" i="24"/>
  <c r="A35" i="24"/>
  <c r="A32" i="24"/>
  <c r="A28" i="24"/>
  <c r="A29" i="24"/>
  <c r="A30" i="24"/>
  <c r="A27" i="24"/>
  <c r="A23" i="24"/>
  <c r="A24" i="24"/>
  <c r="A25" i="24"/>
  <c r="A22" i="24"/>
  <c r="A18" i="24"/>
  <c r="A19" i="24"/>
  <c r="A20" i="24"/>
  <c r="A17" i="24"/>
  <c r="S104" i="6"/>
  <c r="S105" i="6"/>
  <c r="S106" i="6"/>
  <c r="S107" i="6"/>
  <c r="S108" i="6"/>
  <c r="S109" i="6"/>
  <c r="S110" i="6"/>
  <c r="S111" i="6"/>
  <c r="S112" i="6"/>
  <c r="S113" i="6"/>
  <c r="S114" i="6"/>
  <c r="S115" i="6"/>
  <c r="S116" i="6"/>
  <c r="S117" i="6"/>
  <c r="S121" i="6"/>
  <c r="S122" i="6"/>
  <c r="S123" i="6"/>
  <c r="S124" i="6"/>
  <c r="S125" i="6"/>
  <c r="S126" i="6"/>
  <c r="S127" i="6"/>
  <c r="S128" i="6"/>
  <c r="S129" i="6"/>
  <c r="S130" i="6"/>
  <c r="S131" i="6"/>
  <c r="S103" i="6"/>
  <c r="S135" i="18"/>
  <c r="S136" i="18"/>
  <c r="S137" i="18"/>
  <c r="S138" i="18"/>
  <c r="S139" i="18"/>
  <c r="S140" i="18"/>
  <c r="S141" i="18"/>
  <c r="S142" i="18"/>
  <c r="S143" i="18"/>
  <c r="S144" i="18"/>
  <c r="S145" i="18"/>
  <c r="S146" i="18"/>
  <c r="S147" i="18"/>
  <c r="S148" i="18"/>
  <c r="S125" i="18"/>
  <c r="S126" i="18"/>
  <c r="S127" i="18"/>
  <c r="S128" i="18"/>
  <c r="S129" i="18"/>
  <c r="S130" i="18"/>
  <c r="S131" i="18"/>
  <c r="S132" i="18"/>
  <c r="S133" i="18"/>
  <c r="S134" i="18"/>
  <c r="S124" i="18"/>
  <c r="S35" i="4"/>
  <c r="S29" i="4"/>
  <c r="S34" i="4"/>
  <c r="I68" i="5"/>
  <c r="J68" i="5" s="1"/>
  <c r="I58" i="5"/>
  <c r="J58" i="5" s="1"/>
  <c r="I59" i="1"/>
  <c r="J59" i="1" s="1"/>
  <c r="J117" i="1" s="1"/>
  <c r="J10" i="1" s="1"/>
  <c r="J118" i="1"/>
  <c r="J17" i="1" s="1"/>
  <c r="K93" i="1"/>
  <c r="H94" i="1"/>
  <c r="H93" i="1"/>
  <c r="E54" i="12"/>
  <c r="F54" i="12" s="1"/>
  <c r="J406" i="13" s="1"/>
  <c r="E53" i="12"/>
  <c r="F53" i="12" s="1"/>
  <c r="I27" i="19"/>
  <c r="J27" i="19" s="1"/>
  <c r="I20" i="19"/>
  <c r="J20" i="19"/>
  <c r="K20" i="19" s="1"/>
  <c r="I19" i="19"/>
  <c r="J19" i="19" s="1"/>
  <c r="I16" i="19"/>
  <c r="J16" i="19" s="1"/>
  <c r="K16" i="19" s="1"/>
  <c r="H104" i="1"/>
  <c r="H105" i="1"/>
  <c r="E98" i="12"/>
  <c r="F98" i="12" s="1"/>
  <c r="G98" i="12" s="1"/>
  <c r="I98" i="12"/>
  <c r="H98" i="12" s="1"/>
  <c r="H89" i="5"/>
  <c r="H88" i="5"/>
  <c r="H81" i="5"/>
  <c r="H80" i="5"/>
  <c r="D18" i="20"/>
  <c r="D19" i="20"/>
  <c r="D20" i="20"/>
  <c r="D21" i="20"/>
  <c r="D22" i="20"/>
  <c r="D23" i="20"/>
  <c r="D24" i="20"/>
  <c r="D25" i="20"/>
  <c r="D26" i="20"/>
  <c r="E51" i="12"/>
  <c r="F51" i="12" s="1"/>
  <c r="J405" i="13" s="1"/>
  <c r="E52" i="12"/>
  <c r="E50" i="12"/>
  <c r="F50" i="12"/>
  <c r="J93" i="1"/>
  <c r="I93" i="1"/>
  <c r="E84" i="12"/>
  <c r="E94" i="12"/>
  <c r="F94" i="12"/>
  <c r="G94" i="12" s="1"/>
  <c r="I94" i="12" s="1"/>
  <c r="H94" i="12" s="1"/>
  <c r="F84" i="12"/>
  <c r="G84" i="12" s="1"/>
  <c r="I84" i="12" s="1"/>
  <c r="H84" i="12" s="1"/>
  <c r="K92" i="1"/>
  <c r="H429" i="13"/>
  <c r="H424" i="13"/>
  <c r="K17" i="22"/>
  <c r="L17" i="22" s="1"/>
  <c r="K19" i="22"/>
  <c r="L19" i="22" s="1"/>
  <c r="K20" i="22"/>
  <c r="L20" i="22" s="1"/>
  <c r="K21" i="22"/>
  <c r="L21" i="22" s="1"/>
  <c r="K23" i="22"/>
  <c r="L23" i="22" s="1"/>
  <c r="K12" i="22"/>
  <c r="L12" i="22" s="1"/>
  <c r="I30" i="13"/>
  <c r="J30" i="13"/>
  <c r="K30" i="13"/>
  <c r="J340" i="13"/>
  <c r="I340" i="13"/>
  <c r="J334" i="13"/>
  <c r="I334" i="13"/>
  <c r="K328" i="13"/>
  <c r="J328" i="13"/>
  <c r="I328" i="13"/>
  <c r="G328" i="13"/>
  <c r="G334" i="13" s="1"/>
  <c r="G340" i="13" s="1"/>
  <c r="J322" i="13"/>
  <c r="I322" i="13"/>
  <c r="E58" i="12"/>
  <c r="F58" i="12" s="1"/>
  <c r="J114" i="1" s="1"/>
  <c r="E59" i="12"/>
  <c r="F59" i="12" s="1"/>
  <c r="E60" i="12"/>
  <c r="F60" i="12"/>
  <c r="E57" i="12"/>
  <c r="I99" i="1" s="1"/>
  <c r="H125" i="6"/>
  <c r="H110" i="6"/>
  <c r="H103" i="6"/>
  <c r="I27" i="6"/>
  <c r="J27" i="6"/>
  <c r="K27" i="6"/>
  <c r="H27" i="6"/>
  <c r="E14" i="18"/>
  <c r="E13" i="18"/>
  <c r="E12" i="18"/>
  <c r="E11" i="18"/>
  <c r="E27" i="12"/>
  <c r="H126" i="1"/>
  <c r="H121" i="1"/>
  <c r="H127" i="1"/>
  <c r="H123" i="1"/>
  <c r="H85" i="5"/>
  <c r="H10" i="5" s="1"/>
  <c r="I82" i="18"/>
  <c r="J82" i="18"/>
  <c r="K82" i="18"/>
  <c r="I88" i="18"/>
  <c r="J88" i="18"/>
  <c r="K88" i="18"/>
  <c r="I94" i="18"/>
  <c r="J94" i="18"/>
  <c r="K94" i="18"/>
  <c r="I100" i="18"/>
  <c r="J100" i="18"/>
  <c r="K100" i="18"/>
  <c r="G88" i="18"/>
  <c r="G94" i="18" s="1"/>
  <c r="G100" i="18" s="1"/>
  <c r="E86" i="12"/>
  <c r="F86" i="12"/>
  <c r="G86" i="12" s="1"/>
  <c r="I86" i="12" s="1"/>
  <c r="H86" i="12" s="1"/>
  <c r="E88" i="12"/>
  <c r="F88" i="12" s="1"/>
  <c r="G88" i="12" s="1"/>
  <c r="I88" i="12" s="1"/>
  <c r="H88" i="12"/>
  <c r="E89" i="12"/>
  <c r="E91" i="12"/>
  <c r="F91" i="12"/>
  <c r="G91" i="12"/>
  <c r="I91" i="12" s="1"/>
  <c r="H91" i="12" s="1"/>
  <c r="E92" i="12"/>
  <c r="F92" i="12" s="1"/>
  <c r="G92" i="12" s="1"/>
  <c r="I92" i="12" s="1"/>
  <c r="H92" i="12" s="1"/>
  <c r="E93" i="12"/>
  <c r="F93" i="12" s="1"/>
  <c r="G93" i="12" s="1"/>
  <c r="I93" i="12"/>
  <c r="H93" i="12" s="1"/>
  <c r="E96" i="12"/>
  <c r="F96" i="12" s="1"/>
  <c r="G96" i="12"/>
  <c r="I96" i="12"/>
  <c r="H96" i="12" s="1"/>
  <c r="E97" i="12"/>
  <c r="E82" i="12"/>
  <c r="F82" i="12"/>
  <c r="G82" i="12" s="1"/>
  <c r="E83" i="12"/>
  <c r="E81" i="12"/>
  <c r="E18" i="12"/>
  <c r="I109" i="1" s="1"/>
  <c r="E19" i="12"/>
  <c r="I32" i="4" s="1"/>
  <c r="E20" i="12"/>
  <c r="I81" i="1" s="1"/>
  <c r="E21" i="12"/>
  <c r="I398" i="13" s="1"/>
  <c r="E22" i="12"/>
  <c r="F22" i="12" s="1"/>
  <c r="I90" i="5"/>
  <c r="M100" i="1"/>
  <c r="F89" i="12"/>
  <c r="F97" i="12"/>
  <c r="F81" i="12"/>
  <c r="G81" i="12" s="1"/>
  <c r="I81" i="12" s="1"/>
  <c r="H81" i="12" s="1"/>
  <c r="F83" i="12"/>
  <c r="G83" i="12" s="1"/>
  <c r="I83" i="12" s="1"/>
  <c r="H83" i="12" s="1"/>
  <c r="I396" i="13"/>
  <c r="F16" i="15"/>
  <c r="E16" i="15"/>
  <c r="D16" i="15"/>
  <c r="B16" i="15"/>
  <c r="C16" i="15"/>
  <c r="G16" i="15"/>
  <c r="F19" i="12"/>
  <c r="G89" i="12"/>
  <c r="I89" i="12" s="1"/>
  <c r="H89" i="12" s="1"/>
  <c r="G97" i="12"/>
  <c r="I97" i="12" s="1"/>
  <c r="H97" i="12" s="1"/>
  <c r="C4" i="8"/>
  <c r="C5" i="8"/>
  <c r="C6" i="8"/>
  <c r="C7" i="8"/>
  <c r="C8" i="8"/>
  <c r="C9" i="8"/>
  <c r="C10" i="8"/>
  <c r="C11" i="8"/>
  <c r="C12" i="8"/>
  <c r="C13" i="8"/>
  <c r="C14" i="8"/>
  <c r="C15" i="8"/>
  <c r="C16" i="8"/>
  <c r="C17" i="8"/>
  <c r="C18"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54" i="8"/>
  <c r="C3" i="8"/>
  <c r="D4" i="10"/>
  <c r="D5" i="10"/>
  <c r="D6" i="10"/>
  <c r="D7" i="10"/>
  <c r="D8" i="10"/>
  <c r="D9" i="10"/>
  <c r="D10" i="10"/>
  <c r="D11" i="10"/>
  <c r="D3" i="10"/>
  <c r="E4" i="9"/>
  <c r="E5" i="9"/>
  <c r="E6" i="9"/>
  <c r="E7" i="9"/>
  <c r="E8" i="9"/>
  <c r="E9" i="9"/>
  <c r="E10" i="9"/>
  <c r="E11" i="9"/>
  <c r="E12" i="9"/>
  <c r="E13" i="9"/>
  <c r="E14" i="9"/>
  <c r="E15" i="9"/>
  <c r="E16" i="9"/>
  <c r="E17" i="9"/>
  <c r="E18" i="9"/>
  <c r="E19" i="9"/>
  <c r="E20" i="9"/>
  <c r="E21" i="9"/>
  <c r="E22" i="9"/>
  <c r="E23" i="9"/>
  <c r="E24" i="9"/>
  <c r="E25" i="9"/>
  <c r="E26" i="9"/>
  <c r="E27" i="9"/>
  <c r="E28" i="9"/>
  <c r="E29" i="9"/>
  <c r="E30" i="9"/>
  <c r="E31" i="9"/>
  <c r="E32" i="9"/>
  <c r="E33" i="9"/>
  <c r="E34" i="9"/>
  <c r="E35" i="9"/>
  <c r="E36" i="9"/>
  <c r="E37" i="9"/>
  <c r="E38" i="9"/>
  <c r="E39" i="9"/>
  <c r="E40" i="9"/>
  <c r="E41" i="9"/>
  <c r="E42" i="9"/>
  <c r="E43" i="9"/>
  <c r="E44" i="9"/>
  <c r="E45" i="9"/>
  <c r="E46" i="9"/>
  <c r="E47" i="9"/>
  <c r="E48" i="9"/>
  <c r="E49" i="9"/>
  <c r="E50" i="9"/>
  <c r="E51" i="9"/>
  <c r="E52" i="9"/>
  <c r="E53" i="9"/>
  <c r="E54" i="9"/>
  <c r="E55" i="9"/>
  <c r="E56" i="9"/>
  <c r="E57" i="9"/>
  <c r="E58" i="9"/>
  <c r="E59" i="9"/>
  <c r="E60" i="9"/>
  <c r="E61" i="9"/>
  <c r="E62" i="9"/>
  <c r="E63" i="9"/>
  <c r="E64" i="9"/>
  <c r="E65" i="9"/>
  <c r="E66" i="9"/>
  <c r="E67" i="9"/>
  <c r="E68" i="9"/>
  <c r="E69" i="9"/>
  <c r="E70" i="9"/>
  <c r="E71" i="9"/>
  <c r="E72" i="9"/>
  <c r="E73" i="9"/>
  <c r="E74" i="9"/>
  <c r="E75" i="9"/>
  <c r="E76" i="9"/>
  <c r="E77" i="9"/>
  <c r="E78" i="9"/>
  <c r="E79" i="9"/>
  <c r="E80" i="9"/>
  <c r="E81" i="9"/>
  <c r="E82" i="9"/>
  <c r="E83" i="9"/>
  <c r="E84" i="9"/>
  <c r="E85" i="9"/>
  <c r="E86" i="9"/>
  <c r="E87" i="9"/>
  <c r="E88" i="9"/>
  <c r="E89" i="9"/>
  <c r="E90" i="9"/>
  <c r="E91" i="9"/>
  <c r="E92" i="9"/>
  <c r="E93" i="9"/>
  <c r="E94" i="9"/>
  <c r="E95" i="9"/>
  <c r="E96" i="9"/>
  <c r="E97" i="9"/>
  <c r="E98" i="9"/>
  <c r="E99" i="9"/>
  <c r="E100" i="9"/>
  <c r="E101" i="9"/>
  <c r="E102" i="9"/>
  <c r="E103" i="9"/>
  <c r="E104" i="9"/>
  <c r="E105" i="9"/>
  <c r="E106" i="9"/>
  <c r="E107" i="9"/>
  <c r="E108" i="9"/>
  <c r="E109" i="9"/>
  <c r="E110" i="9"/>
  <c r="E111" i="9"/>
  <c r="E112" i="9"/>
  <c r="E113" i="9"/>
  <c r="E114" i="9"/>
  <c r="E115" i="9"/>
  <c r="E116" i="9"/>
  <c r="E117" i="9"/>
  <c r="E118" i="9"/>
  <c r="E119" i="9"/>
  <c r="E120" i="9"/>
  <c r="E121" i="9"/>
  <c r="E122" i="9"/>
  <c r="E123" i="9"/>
  <c r="E124" i="9"/>
  <c r="E125" i="9"/>
  <c r="E126" i="9"/>
  <c r="E127" i="9"/>
  <c r="E128" i="9"/>
  <c r="E129" i="9"/>
  <c r="E130" i="9"/>
  <c r="E131" i="9"/>
  <c r="E132" i="9"/>
  <c r="E133" i="9"/>
  <c r="E134" i="9"/>
  <c r="E135" i="9"/>
  <c r="E136" i="9"/>
  <c r="E137" i="9"/>
  <c r="E138" i="9"/>
  <c r="E139" i="9"/>
  <c r="E140" i="9"/>
  <c r="E141" i="9"/>
  <c r="E142" i="9"/>
  <c r="E143" i="9"/>
  <c r="E144" i="9"/>
  <c r="E145" i="9"/>
  <c r="E146" i="9"/>
  <c r="E147" i="9"/>
  <c r="E148" i="9"/>
  <c r="E149" i="9"/>
  <c r="E150" i="9"/>
  <c r="E151" i="9"/>
  <c r="E152" i="9"/>
  <c r="E153" i="9"/>
  <c r="E154" i="9"/>
  <c r="E155" i="9"/>
  <c r="E156" i="9"/>
  <c r="E157" i="9"/>
  <c r="E158" i="9"/>
  <c r="E159" i="9"/>
  <c r="E160" i="9"/>
  <c r="E161" i="9"/>
  <c r="E162" i="9"/>
  <c r="E163" i="9"/>
  <c r="E164" i="9"/>
  <c r="E165" i="9"/>
  <c r="E166" i="9"/>
  <c r="E167" i="9"/>
  <c r="E168" i="9"/>
  <c r="E169" i="9"/>
  <c r="E170" i="9"/>
  <c r="E171" i="9"/>
  <c r="E172" i="9"/>
  <c r="E173" i="9"/>
  <c r="E174" i="9"/>
  <c r="E175" i="9"/>
  <c r="E176" i="9"/>
  <c r="E177" i="9"/>
  <c r="E178" i="9"/>
  <c r="E179" i="9"/>
  <c r="E180" i="9"/>
  <c r="E181" i="9"/>
  <c r="E182" i="9"/>
  <c r="E183" i="9"/>
  <c r="E184" i="9"/>
  <c r="E185" i="9"/>
  <c r="E186" i="9"/>
  <c r="E187" i="9"/>
  <c r="E188" i="9"/>
  <c r="E189" i="9"/>
  <c r="E190" i="9"/>
  <c r="E191" i="9"/>
  <c r="E192" i="9"/>
  <c r="E193" i="9"/>
  <c r="E194" i="9"/>
  <c r="E195" i="9"/>
  <c r="E196" i="9"/>
  <c r="E197" i="9"/>
  <c r="E198" i="9"/>
  <c r="E199" i="9"/>
  <c r="E200" i="9"/>
  <c r="E201" i="9"/>
  <c r="E202" i="9"/>
  <c r="E203" i="9"/>
  <c r="E204" i="9"/>
  <c r="E205" i="9"/>
  <c r="E206" i="9"/>
  <c r="E207" i="9"/>
  <c r="E208" i="9"/>
  <c r="E209" i="9"/>
  <c r="E210" i="9"/>
  <c r="E211" i="9"/>
  <c r="E212" i="9"/>
  <c r="E213" i="9"/>
  <c r="E214" i="9"/>
  <c r="E215" i="9"/>
  <c r="E216" i="9"/>
  <c r="E217" i="9"/>
  <c r="E218" i="9"/>
  <c r="E219" i="9"/>
  <c r="E220" i="9"/>
  <c r="E221" i="9"/>
  <c r="E222" i="9"/>
  <c r="E223" i="9"/>
  <c r="E224" i="9"/>
  <c r="E225" i="9"/>
  <c r="E226" i="9"/>
  <c r="E227" i="9"/>
  <c r="E228" i="9"/>
  <c r="E229" i="9"/>
  <c r="E230" i="9"/>
  <c r="E231" i="9"/>
  <c r="E232" i="9"/>
  <c r="E233" i="9"/>
  <c r="E234" i="9"/>
  <c r="E235" i="9"/>
  <c r="E236" i="9"/>
  <c r="E3" i="9"/>
  <c r="G4" i="8"/>
  <c r="G5" i="8"/>
  <c r="G6" i="8"/>
  <c r="G7" i="8"/>
  <c r="G8" i="8"/>
  <c r="G9" i="8"/>
  <c r="G10" i="8"/>
  <c r="G11" i="8"/>
  <c r="G12" i="8"/>
  <c r="G13" i="8"/>
  <c r="G14" i="8"/>
  <c r="G15" i="8"/>
  <c r="G16" i="8"/>
  <c r="G17" i="8"/>
  <c r="G18" i="8"/>
  <c r="G19" i="8"/>
  <c r="G20" i="8"/>
  <c r="G21" i="8"/>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3" i="8"/>
  <c r="K77" i="1"/>
  <c r="K78" i="1"/>
  <c r="K79" i="1"/>
  <c r="K109" i="1"/>
  <c r="K32" i="4"/>
  <c r="K90" i="5"/>
  <c r="K28" i="4"/>
  <c r="I82" i="12"/>
  <c r="H82" i="12"/>
  <c r="K396" i="13"/>
  <c r="E17" i="12"/>
  <c r="I394" i="13" s="1"/>
  <c r="E16" i="12"/>
  <c r="I103" i="1" s="1"/>
  <c r="E15" i="12"/>
  <c r="I84" i="1"/>
  <c r="I107" i="1"/>
  <c r="I77" i="1"/>
  <c r="J58" i="26"/>
  <c r="I26" i="4"/>
  <c r="I89" i="5"/>
  <c r="I88" i="5"/>
  <c r="K83" i="1"/>
  <c r="J43" i="26"/>
  <c r="J42" i="26"/>
  <c r="K30" i="4"/>
  <c r="K89" i="5"/>
  <c r="K85" i="1"/>
  <c r="K31" i="4"/>
  <c r="K108" i="1"/>
  <c r="K110" i="6"/>
  <c r="J59" i="26"/>
  <c r="K394" i="13"/>
  <c r="K125" i="6"/>
  <c r="K81" i="5"/>
  <c r="K414" i="13"/>
  <c r="K27" i="4"/>
  <c r="K104" i="1"/>
  <c r="K413" i="13"/>
  <c r="V476" i="13"/>
  <c r="J60" i="26"/>
  <c r="L113" i="1"/>
  <c r="F57" i="12"/>
  <c r="L94" i="1"/>
  <c r="N28" i="22"/>
  <c r="J108" i="13"/>
  <c r="I94" i="1"/>
  <c r="I92" i="1"/>
  <c r="F52" i="12"/>
  <c r="I83" i="1"/>
  <c r="F15" i="12"/>
  <c r="J77" i="1" s="1"/>
  <c r="N8" i="22"/>
  <c r="N15" i="22"/>
  <c r="M15" i="22"/>
  <c r="K15" i="22"/>
  <c r="L15" i="22" s="1"/>
  <c r="K18" i="22"/>
  <c r="L18" i="22" s="1"/>
  <c r="N29" i="22"/>
  <c r="N16" i="22"/>
  <c r="M16" i="22"/>
  <c r="K16" i="22"/>
  <c r="L16" i="22" s="1"/>
  <c r="F33" i="12"/>
  <c r="F76" i="12"/>
  <c r="K32" i="22"/>
  <c r="L32" i="22" s="1"/>
  <c r="L123" i="1"/>
  <c r="M23" i="18" l="1"/>
  <c r="M23" i="43"/>
  <c r="M22" i="18"/>
  <c r="M22" i="43"/>
  <c r="M21" i="18"/>
  <c r="M21" i="43"/>
  <c r="M23" i="6"/>
  <c r="M24" i="46"/>
  <c r="M24" i="6"/>
  <c r="M25" i="46"/>
  <c r="AH14" i="38"/>
  <c r="K406" i="13"/>
  <c r="K94" i="1"/>
  <c r="AG14" i="38"/>
  <c r="E45" i="12"/>
  <c r="AI13" i="20"/>
  <c r="AG13" i="20"/>
  <c r="K36" i="4"/>
  <c r="K9" i="4" s="1"/>
  <c r="K123" i="1"/>
  <c r="K121" i="1"/>
  <c r="K126" i="1"/>
  <c r="K129" i="1" s="1"/>
  <c r="K18" i="1" s="1"/>
  <c r="K35" i="4"/>
  <c r="K5" i="4" s="1"/>
  <c r="K85" i="5"/>
  <c r="K10" i="5" s="1"/>
  <c r="K127" i="1"/>
  <c r="M85" i="5"/>
  <c r="M10" i="5" s="1"/>
  <c r="M128" i="1"/>
  <c r="M129" i="1" s="1"/>
  <c r="M18" i="1" s="1"/>
  <c r="L126" i="1"/>
  <c r="L128" i="1"/>
  <c r="L122" i="1"/>
  <c r="M123" i="1"/>
  <c r="M124" i="1" s="1"/>
  <c r="M11" i="1" s="1"/>
  <c r="M127" i="1"/>
  <c r="L402" i="13"/>
  <c r="M98" i="1"/>
  <c r="L99" i="1"/>
  <c r="L98" i="1"/>
  <c r="L100" i="1"/>
  <c r="N22" i="22"/>
  <c r="M22" i="22"/>
  <c r="M18" i="22"/>
  <c r="N18" i="22"/>
  <c r="L127" i="1"/>
  <c r="L129" i="1" s="1"/>
  <c r="L18" i="1" s="1"/>
  <c r="K122" i="1"/>
  <c r="K124" i="1" s="1"/>
  <c r="K11" i="1" s="1"/>
  <c r="K22" i="22"/>
  <c r="L22" i="22" s="1"/>
  <c r="B17" i="10"/>
  <c r="C17" i="10"/>
  <c r="AF24" i="38"/>
  <c r="AF14" i="38"/>
  <c r="H69" i="12"/>
  <c r="H76" i="12"/>
  <c r="K28" i="22"/>
  <c r="L28" i="22" s="1"/>
  <c r="L30" i="22" s="1"/>
  <c r="O28" i="22"/>
  <c r="M28" i="22"/>
  <c r="K8" i="22"/>
  <c r="L8" i="22" s="1"/>
  <c r="O8" i="22"/>
  <c r="M8" i="22"/>
  <c r="K429" i="13"/>
  <c r="K81" i="1"/>
  <c r="K87" i="1"/>
  <c r="O22" i="22"/>
  <c r="L114" i="1"/>
  <c r="L26" i="4"/>
  <c r="L29" i="4" s="1"/>
  <c r="L4" i="4" s="1"/>
  <c r="J83" i="1"/>
  <c r="J30" i="22"/>
  <c r="I105" i="1"/>
  <c r="D27" i="20"/>
  <c r="B24" i="10"/>
  <c r="B25" i="10" s="1"/>
  <c r="C24" i="10"/>
  <c r="M126" i="1"/>
  <c r="O29" i="22"/>
  <c r="O30" i="22" s="1"/>
  <c r="M29" i="22"/>
  <c r="K29" i="22"/>
  <c r="L29" i="22" s="1"/>
  <c r="P37" i="34"/>
  <c r="J37" i="34" s="1"/>
  <c r="P36" i="34"/>
  <c r="J36" i="34" s="1"/>
  <c r="H16" i="28"/>
  <c r="AF13" i="20"/>
  <c r="K26" i="4"/>
  <c r="I413" i="13"/>
  <c r="H122" i="1"/>
  <c r="H124" i="1" s="1"/>
  <c r="H128" i="1"/>
  <c r="M114" i="1"/>
  <c r="C16" i="10"/>
  <c r="C25" i="10" s="1"/>
  <c r="J76" i="5" s="1"/>
  <c r="G21" i="28"/>
  <c r="N17" i="22"/>
  <c r="L27" i="4"/>
  <c r="F69" i="12"/>
  <c r="J122" i="1" s="1"/>
  <c r="S51" i="34"/>
  <c r="M51" i="34" s="1"/>
  <c r="O21" i="22"/>
  <c r="AH13" i="20"/>
  <c r="J94" i="1"/>
  <c r="K402" i="13"/>
  <c r="K13" i="20"/>
  <c r="N91" i="34"/>
  <c r="C60" i="37" s="1"/>
  <c r="D60" i="37" s="1"/>
  <c r="E60" i="37" s="1"/>
  <c r="J91" i="34"/>
  <c r="C56" i="37" s="1"/>
  <c r="H56" i="37" s="1"/>
  <c r="I56" i="37" s="1"/>
  <c r="K91" i="34"/>
  <c r="C57" i="37" s="1"/>
  <c r="G57" i="37" s="1"/>
  <c r="L91" i="34"/>
  <c r="C58" i="37" s="1"/>
  <c r="H58" i="37" s="1"/>
  <c r="I58" i="37" s="1"/>
  <c r="E1" i="5"/>
  <c r="H30" i="5" s="1"/>
  <c r="E1" i="6"/>
  <c r="H109" i="6" s="1"/>
  <c r="V346" i="13"/>
  <c r="V144" i="13"/>
  <c r="V340" i="13"/>
  <c r="K346" i="13"/>
  <c r="V152" i="13"/>
  <c r="G1" i="13"/>
  <c r="H392" i="13" s="1"/>
  <c r="H403" i="13" s="1"/>
  <c r="E1" i="18"/>
  <c r="J123" i="18" s="1"/>
  <c r="N99" i="1"/>
  <c r="M99" i="1" s="1"/>
  <c r="H27" i="38"/>
  <c r="N409" i="13"/>
  <c r="N408" i="13"/>
  <c r="N97" i="1"/>
  <c r="N400" i="13"/>
  <c r="M400" i="13" s="1"/>
  <c r="I30" i="5"/>
  <c r="I69" i="5" s="1"/>
  <c r="I107" i="5" s="1"/>
  <c r="N82" i="1"/>
  <c r="D2" i="26"/>
  <c r="D3" i="26" s="1"/>
  <c r="G31" i="26" s="1"/>
  <c r="K30" i="5"/>
  <c r="K69" i="5" s="1"/>
  <c r="K107" i="5" s="1"/>
  <c r="D2" i="25"/>
  <c r="N385" i="13"/>
  <c r="B5" i="23"/>
  <c r="B3" i="38"/>
  <c r="H129" i="1"/>
  <c r="H18" i="1" s="1"/>
  <c r="J98" i="1"/>
  <c r="J100" i="1"/>
  <c r="J113" i="1"/>
  <c r="J123" i="1"/>
  <c r="J36" i="4"/>
  <c r="J9" i="4" s="1"/>
  <c r="J127" i="1"/>
  <c r="J35" i="4"/>
  <c r="J5" i="4" s="1"/>
  <c r="J85" i="5"/>
  <c r="J10" i="5" s="1"/>
  <c r="M110" i="6"/>
  <c r="L85" i="1"/>
  <c r="L394" i="13"/>
  <c r="L79" i="1"/>
  <c r="L108" i="1"/>
  <c r="M125" i="6"/>
  <c r="M85" i="1"/>
  <c r="L104" i="1"/>
  <c r="L414" i="13"/>
  <c r="L80" i="5"/>
  <c r="J99" i="1"/>
  <c r="J92" i="1"/>
  <c r="J95" i="1" s="1"/>
  <c r="J97" i="1" s="1"/>
  <c r="I28" i="4"/>
  <c r="I397" i="13"/>
  <c r="K98" i="1"/>
  <c r="L88" i="5"/>
  <c r="L16" i="5" s="1"/>
  <c r="G81" i="23" s="1"/>
  <c r="L103" i="6"/>
  <c r="I100" i="1"/>
  <c r="F16" i="12"/>
  <c r="J103" i="6" s="1"/>
  <c r="I424" i="13"/>
  <c r="I85" i="1"/>
  <c r="K395" i="13"/>
  <c r="H82" i="1"/>
  <c r="F36" i="12"/>
  <c r="I402" i="13"/>
  <c r="I113" i="1"/>
  <c r="K29" i="4"/>
  <c r="K4" i="4" s="1"/>
  <c r="I27" i="4"/>
  <c r="I29" i="4" s="1"/>
  <c r="I4" i="4" s="1"/>
  <c r="K86" i="1"/>
  <c r="I405" i="13"/>
  <c r="J402" i="13"/>
  <c r="I98" i="1"/>
  <c r="I114" i="1"/>
  <c r="K105" i="1"/>
  <c r="K106" i="1" s="1"/>
  <c r="F27" i="12"/>
  <c r="K95" i="1"/>
  <c r="K97" i="1" s="1"/>
  <c r="E69" i="12"/>
  <c r="I121" i="1" s="1"/>
  <c r="L124" i="1"/>
  <c r="L11" i="1" s="1"/>
  <c r="H33" i="4"/>
  <c r="L33" i="4"/>
  <c r="L8" i="4" s="1"/>
  <c r="H16" i="5"/>
  <c r="C81" i="23" s="1"/>
  <c r="H88" i="1"/>
  <c r="L118" i="1"/>
  <c r="L17" i="1" s="1"/>
  <c r="I95" i="1"/>
  <c r="I97" i="1" s="1"/>
  <c r="H95" i="1"/>
  <c r="H97" i="1" s="1"/>
  <c r="I118" i="1"/>
  <c r="I17" i="1" s="1"/>
  <c r="M30" i="22"/>
  <c r="I16" i="5"/>
  <c r="D81" i="23" s="1"/>
  <c r="J32" i="4"/>
  <c r="J90" i="5"/>
  <c r="I85" i="5"/>
  <c r="I10" i="5" s="1"/>
  <c r="I127" i="1"/>
  <c r="I123" i="1"/>
  <c r="I122" i="1"/>
  <c r="I36" i="4"/>
  <c r="I9" i="4" s="1"/>
  <c r="I126" i="1"/>
  <c r="N30" i="22"/>
  <c r="K33" i="4"/>
  <c r="K8" i="4" s="1"/>
  <c r="K10" i="4" s="1"/>
  <c r="J80" i="5"/>
  <c r="J84" i="1"/>
  <c r="L95" i="1"/>
  <c r="L97" i="1" s="1"/>
  <c r="J396" i="13"/>
  <c r="J28" i="4"/>
  <c r="K82" i="1"/>
  <c r="I108" i="1"/>
  <c r="I110" i="1" s="1"/>
  <c r="I104" i="1"/>
  <c r="I106" i="1" s="1"/>
  <c r="I9" i="1" s="1"/>
  <c r="I125" i="6"/>
  <c r="I86" i="1"/>
  <c r="I80" i="1"/>
  <c r="I395" i="13"/>
  <c r="F18" i="12"/>
  <c r="M413" i="13"/>
  <c r="V413" i="13" s="1"/>
  <c r="K88" i="5"/>
  <c r="K16" i="5" s="1"/>
  <c r="F81" i="23" s="1"/>
  <c r="K393" i="13"/>
  <c r="K99" i="1"/>
  <c r="K113" i="1"/>
  <c r="K103" i="6"/>
  <c r="K424" i="13"/>
  <c r="K84" i="1"/>
  <c r="F17" i="12"/>
  <c r="I414" i="13"/>
  <c r="I81" i="5"/>
  <c r="I31" i="4"/>
  <c r="I117" i="1"/>
  <c r="I10" i="1" s="1"/>
  <c r="K117" i="1"/>
  <c r="K10" i="1" s="1"/>
  <c r="K118" i="1"/>
  <c r="K17" i="1" s="1"/>
  <c r="M79" i="1"/>
  <c r="M104" i="1"/>
  <c r="M81" i="5"/>
  <c r="M89" i="5"/>
  <c r="M108" i="1"/>
  <c r="I429" i="13"/>
  <c r="F20" i="12"/>
  <c r="I87" i="1"/>
  <c r="H110" i="1"/>
  <c r="H16" i="1" s="1"/>
  <c r="M36" i="4"/>
  <c r="M9" i="4" s="1"/>
  <c r="H9" i="4"/>
  <c r="F26" i="12"/>
  <c r="H29" i="4"/>
  <c r="M397" i="13"/>
  <c r="K397" i="13"/>
  <c r="I406" i="13"/>
  <c r="K114" i="1"/>
  <c r="K80" i="5"/>
  <c r="K107" i="1"/>
  <c r="K110" i="1" s="1"/>
  <c r="I110" i="6"/>
  <c r="I79" i="1"/>
  <c r="I30" i="4"/>
  <c r="I78" i="1"/>
  <c r="I80" i="5"/>
  <c r="I393" i="13"/>
  <c r="I103" i="6"/>
  <c r="I417" i="13"/>
  <c r="F21" i="12"/>
  <c r="J398" i="13" s="1"/>
  <c r="M90" i="5"/>
  <c r="H106" i="1"/>
  <c r="M35" i="4"/>
  <c r="M5" i="4" s="1"/>
  <c r="H5" i="4"/>
  <c r="M95" i="1"/>
  <c r="K417" i="13"/>
  <c r="M396" i="13"/>
  <c r="V322" i="13"/>
  <c r="V50" i="13"/>
  <c r="V78" i="13"/>
  <c r="V196" i="13"/>
  <c r="V328" i="13"/>
  <c r="V63" i="13"/>
  <c r="V72" i="13"/>
  <c r="V146" i="13"/>
  <c r="K322" i="13"/>
  <c r="V334" i="13"/>
  <c r="V46" i="13"/>
  <c r="J407" i="13"/>
  <c r="V405" i="13"/>
  <c r="D13" i="20"/>
  <c r="AC13" i="20"/>
  <c r="AB13" i="20"/>
  <c r="X27" i="20"/>
  <c r="X23" i="20"/>
  <c r="AA13" i="20"/>
  <c r="AD13" i="20"/>
  <c r="Z13" i="20"/>
  <c r="X25" i="20"/>
  <c r="X21" i="20"/>
  <c r="AJ11" i="20"/>
  <c r="AJ7" i="20"/>
  <c r="L13" i="20"/>
  <c r="O13" i="20"/>
  <c r="N13" i="20"/>
  <c r="M13" i="20"/>
  <c r="U13" i="20"/>
  <c r="AJ9" i="20"/>
  <c r="AJ5" i="20"/>
  <c r="AJ12" i="20"/>
  <c r="AJ8" i="20"/>
  <c r="P13" i="20"/>
  <c r="AJ4" i="20"/>
  <c r="AJ10" i="20"/>
  <c r="AJ6" i="20"/>
  <c r="Y10" i="20"/>
  <c r="AN10" i="20" s="1"/>
  <c r="Y6" i="20"/>
  <c r="AN6" i="20" s="1"/>
  <c r="X12" i="20"/>
  <c r="AM12" i="20" s="1"/>
  <c r="X8" i="20"/>
  <c r="AM8" i="20" s="1"/>
  <c r="X4" i="20"/>
  <c r="W10" i="20"/>
  <c r="AL10" i="20" s="1"/>
  <c r="W6" i="20"/>
  <c r="AL6" i="20" s="1"/>
  <c r="V12" i="20"/>
  <c r="AK12" i="20" s="1"/>
  <c r="V8" i="20"/>
  <c r="AK8" i="20" s="1"/>
  <c r="V4" i="20"/>
  <c r="X20" i="20" s="1"/>
  <c r="T9" i="20"/>
  <c r="AN9" i="20" s="1"/>
  <c r="T5" i="20"/>
  <c r="AN5" i="20" s="1"/>
  <c r="S11" i="20"/>
  <c r="AM11" i="20" s="1"/>
  <c r="S7" i="20"/>
  <c r="AM7" i="20" s="1"/>
  <c r="R9" i="20"/>
  <c r="AL9" i="20" s="1"/>
  <c r="R5" i="20"/>
  <c r="AL5" i="20" s="1"/>
  <c r="Q11" i="20"/>
  <c r="AK11" i="20" s="1"/>
  <c r="Q7" i="20"/>
  <c r="AK7" i="20" s="1"/>
  <c r="Y12" i="20"/>
  <c r="AN12" i="20" s="1"/>
  <c r="Y8" i="20"/>
  <c r="AN8" i="20" s="1"/>
  <c r="Y4" i="20"/>
  <c r="X10" i="20"/>
  <c r="AM10" i="20" s="1"/>
  <c r="X6" i="20"/>
  <c r="AM6" i="20" s="1"/>
  <c r="W12" i="20"/>
  <c r="AL12" i="20" s="1"/>
  <c r="W8" i="20"/>
  <c r="AL8" i="20" s="1"/>
  <c r="W4" i="20"/>
  <c r="V10" i="20"/>
  <c r="AK10" i="20" s="1"/>
  <c r="V6" i="20"/>
  <c r="AK6" i="20" s="1"/>
  <c r="T11" i="20"/>
  <c r="AN11" i="20" s="1"/>
  <c r="T7" i="20"/>
  <c r="AN7" i="20" s="1"/>
  <c r="S9" i="20"/>
  <c r="AM9" i="20" s="1"/>
  <c r="S5" i="20"/>
  <c r="AM5" i="20" s="1"/>
  <c r="R11" i="20"/>
  <c r="AL11" i="20" s="1"/>
  <c r="R7" i="20"/>
  <c r="AL7" i="20" s="1"/>
  <c r="Q9" i="20"/>
  <c r="AK9" i="20" s="1"/>
  <c r="Q5" i="20"/>
  <c r="AK5" i="20" s="1"/>
  <c r="H105" i="5"/>
  <c r="E12" i="28" s="1"/>
  <c r="D57" i="41" s="1"/>
  <c r="D45" i="41" s="1"/>
  <c r="H69" i="5"/>
  <c r="H107" i="5" s="1"/>
  <c r="M30" i="5"/>
  <c r="J30" i="5"/>
  <c r="K76" i="5"/>
  <c r="E1" i="19"/>
  <c r="D2" i="28"/>
  <c r="D3" i="28" s="1"/>
  <c r="H9" i="28" s="1"/>
  <c r="D2" i="27"/>
  <c r="D3" i="27" s="1"/>
  <c r="T49" i="34"/>
  <c r="N49" i="34" s="1"/>
  <c r="S25" i="34"/>
  <c r="M25" i="34" s="1"/>
  <c r="D55" i="40"/>
  <c r="D59" i="37"/>
  <c r="E59" i="37" s="1"/>
  <c r="F59" i="37"/>
  <c r="R56" i="34"/>
  <c r="L56" i="34" s="1"/>
  <c r="R49" i="34"/>
  <c r="L49" i="34" s="1"/>
  <c r="R53" i="34"/>
  <c r="L53" i="34" s="1"/>
  <c r="P49" i="34"/>
  <c r="J49" i="34" s="1"/>
  <c r="T13" i="34"/>
  <c r="N13" i="34" s="1"/>
  <c r="N85" i="34" s="1"/>
  <c r="S56" i="34"/>
  <c r="M56" i="34" s="1"/>
  <c r="G59" i="37"/>
  <c r="T51" i="34"/>
  <c r="N51" i="34" s="1"/>
  <c r="T36" i="34"/>
  <c r="N36" i="34" s="1"/>
  <c r="S37" i="34"/>
  <c r="M37" i="34" s="1"/>
  <c r="R36" i="34"/>
  <c r="L36" i="34" s="1"/>
  <c r="Q37" i="34"/>
  <c r="K37" i="34" s="1"/>
  <c r="T44" i="34"/>
  <c r="N44" i="34" s="1"/>
  <c r="T53" i="34"/>
  <c r="N53" i="34" s="1"/>
  <c r="R13" i="34"/>
  <c r="L13" i="34" s="1"/>
  <c r="L85" i="34" s="1"/>
  <c r="F60" i="37"/>
  <c r="H60" i="37"/>
  <c r="I60" i="37" s="1"/>
  <c r="G60" i="37"/>
  <c r="D58" i="37"/>
  <c r="E58" i="37" s="1"/>
  <c r="S45" i="34"/>
  <c r="M45" i="34" s="1"/>
  <c r="S62" i="34"/>
  <c r="M62" i="34" s="1"/>
  <c r="S50" i="34"/>
  <c r="M50" i="34" s="1"/>
  <c r="S52" i="34"/>
  <c r="M52" i="34" s="1"/>
  <c r="S57" i="34"/>
  <c r="M57" i="34" s="1"/>
  <c r="T19" i="34"/>
  <c r="N19" i="34" s="1"/>
  <c r="T21" i="34"/>
  <c r="N21" i="34" s="1"/>
  <c r="S53" i="34"/>
  <c r="M53" i="34" s="1"/>
  <c r="S49" i="34"/>
  <c r="M49" i="34" s="1"/>
  <c r="T25" i="34"/>
  <c r="N25" i="34" s="1"/>
  <c r="P12" i="34"/>
  <c r="J12" i="34" s="1"/>
  <c r="P13" i="34"/>
  <c r="J13" i="34" s="1"/>
  <c r="Q45" i="34"/>
  <c r="K45" i="34" s="1"/>
  <c r="Q62" i="34"/>
  <c r="K62" i="34" s="1"/>
  <c r="Q50" i="34"/>
  <c r="K50" i="34" s="1"/>
  <c r="Q52" i="34"/>
  <c r="K52" i="34" s="1"/>
  <c r="Q57" i="34"/>
  <c r="K57" i="34" s="1"/>
  <c r="H59" i="37"/>
  <c r="I59" i="37" s="1"/>
  <c r="S19" i="34"/>
  <c r="M19" i="34" s="1"/>
  <c r="S21" i="34"/>
  <c r="M21" i="34" s="1"/>
  <c r="R45" i="34"/>
  <c r="L45" i="34" s="1"/>
  <c r="R62" i="34"/>
  <c r="L62" i="34" s="1"/>
  <c r="R50" i="34"/>
  <c r="L50" i="34" s="1"/>
  <c r="R52" i="34"/>
  <c r="L52" i="34" s="1"/>
  <c r="R57" i="34"/>
  <c r="L57" i="34" s="1"/>
  <c r="R19" i="34"/>
  <c r="L19" i="34" s="1"/>
  <c r="R21" i="34"/>
  <c r="L21" i="34" s="1"/>
  <c r="R25" i="34"/>
  <c r="L25" i="34" s="1"/>
  <c r="R20" i="34"/>
  <c r="L20" i="34" s="1"/>
  <c r="Q19" i="34"/>
  <c r="K19" i="34" s="1"/>
  <c r="Q21" i="34"/>
  <c r="K21" i="34" s="1"/>
  <c r="Q20" i="34"/>
  <c r="K20" i="34" s="1"/>
  <c r="Q25" i="34"/>
  <c r="K25" i="34" s="1"/>
  <c r="P19" i="34"/>
  <c r="J19" i="34" s="1"/>
  <c r="P21" i="34"/>
  <c r="J21" i="34" s="1"/>
  <c r="P20" i="34"/>
  <c r="J20" i="34" s="1"/>
  <c r="R51" i="34"/>
  <c r="L51" i="34" s="1"/>
  <c r="Q12" i="34"/>
  <c r="K12" i="34" s="1"/>
  <c r="Q13" i="34"/>
  <c r="K13" i="34" s="1"/>
  <c r="T45" i="34"/>
  <c r="N45" i="34" s="1"/>
  <c r="T62" i="34"/>
  <c r="N62" i="34" s="1"/>
  <c r="T50" i="34"/>
  <c r="N50" i="34" s="1"/>
  <c r="T52" i="34"/>
  <c r="N52" i="34" s="1"/>
  <c r="T57" i="34"/>
  <c r="N57" i="34" s="1"/>
  <c r="P45" i="34"/>
  <c r="J45" i="34" s="1"/>
  <c r="P62" i="34"/>
  <c r="J62" i="34" s="1"/>
  <c r="J64" i="34" s="1"/>
  <c r="P50" i="34"/>
  <c r="J50" i="34" s="1"/>
  <c r="P52" i="34"/>
  <c r="J52" i="34" s="1"/>
  <c r="P57" i="34"/>
  <c r="J57" i="34" s="1"/>
  <c r="S13" i="34"/>
  <c r="M13" i="34" s="1"/>
  <c r="M85" i="34" s="1"/>
  <c r="V151" i="13"/>
  <c r="M402" i="13"/>
  <c r="V402" i="13" s="1"/>
  <c r="M117" i="13"/>
  <c r="V117" i="13" s="1"/>
  <c r="M398" i="13"/>
  <c r="V398" i="13" s="1"/>
  <c r="M395" i="13"/>
  <c r="V395" i="13" s="1"/>
  <c r="M394" i="13"/>
  <c r="V394" i="13" s="1"/>
  <c r="V110" i="13"/>
  <c r="H407" i="13"/>
  <c r="J61" i="26"/>
  <c r="L117" i="13"/>
  <c r="V67" i="13"/>
  <c r="V150" i="13"/>
  <c r="V147" i="13"/>
  <c r="V148" i="13"/>
  <c r="L407" i="13"/>
  <c r="K407" i="13"/>
  <c r="J14" i="34"/>
  <c r="L14" i="34"/>
  <c r="N14" i="34"/>
  <c r="K14" i="34"/>
  <c r="M14" i="34"/>
  <c r="L27" i="34"/>
  <c r="J58" i="34"/>
  <c r="K63" i="34"/>
  <c r="M63" i="34"/>
  <c r="K58" i="34"/>
  <c r="L58" i="34"/>
  <c r="N63" i="34"/>
  <c r="L39" i="34"/>
  <c r="M27" i="34"/>
  <c r="N39" i="34"/>
  <c r="N27" i="34"/>
  <c r="K27" i="34"/>
  <c r="M58" i="34"/>
  <c r="K39" i="34"/>
  <c r="M39" i="34"/>
  <c r="L63" i="34"/>
  <c r="J39" i="34"/>
  <c r="V153" i="13"/>
  <c r="V80" i="13"/>
  <c r="J27" i="34"/>
  <c r="J113" i="13"/>
  <c r="J117" i="13" s="1"/>
  <c r="I117" i="13"/>
  <c r="N58" i="34"/>
  <c r="K117" i="13"/>
  <c r="M406" i="13"/>
  <c r="V51" i="13"/>
  <c r="H399" i="13"/>
  <c r="V237" i="13"/>
  <c r="V34" i="13"/>
  <c r="M414" i="13"/>
  <c r="V64" i="13"/>
  <c r="V197" i="13"/>
  <c r="K340" i="13"/>
  <c r="V149" i="13"/>
  <c r="V33" i="13"/>
  <c r="E13" i="28"/>
  <c r="G30" i="28"/>
  <c r="G31" i="28"/>
  <c r="G15" i="28"/>
  <c r="I25" i="28"/>
  <c r="I26" i="28"/>
  <c r="H23" i="28"/>
  <c r="H15" i="28"/>
  <c r="F30" i="28"/>
  <c r="I16" i="28"/>
  <c r="E19" i="28"/>
  <c r="I18" i="28"/>
  <c r="I31" i="28"/>
  <c r="F31" i="28"/>
  <c r="J11" i="28"/>
  <c r="E18" i="28"/>
  <c r="E24" i="28"/>
  <c r="G24" i="28"/>
  <c r="J30" i="28"/>
  <c r="E30" i="28"/>
  <c r="J31" i="28"/>
  <c r="I13" i="28"/>
  <c r="H26" i="28"/>
  <c r="E16" i="28"/>
  <c r="G26" i="28"/>
  <c r="H19" i="28"/>
  <c r="I20" i="28"/>
  <c r="E20" i="28"/>
  <c r="E31" i="28"/>
  <c r="F16" i="28"/>
  <c r="H30" i="28"/>
  <c r="G25" i="28"/>
  <c r="J18" i="28"/>
  <c r="H13" i="28"/>
  <c r="G16" i="28"/>
  <c r="G11" i="28"/>
  <c r="H25" i="28"/>
  <c r="E15" i="28"/>
  <c r="I10" i="28"/>
  <c r="E21" i="28"/>
  <c r="I19" i="28"/>
  <c r="J21" i="28"/>
  <c r="F11" i="28"/>
  <c r="H21" i="28"/>
  <c r="I21" i="28"/>
  <c r="F23" i="28"/>
  <c r="J13" i="28"/>
  <c r="J19" i="28"/>
  <c r="G10" i="28"/>
  <c r="F24" i="28"/>
  <c r="E10" i="28"/>
  <c r="F19" i="28"/>
  <c r="J26" i="28"/>
  <c r="J16" i="28"/>
  <c r="F26" i="28"/>
  <c r="I23" i="28"/>
  <c r="G23" i="28"/>
  <c r="F18" i="28"/>
  <c r="F10" i="28"/>
  <c r="J10" i="28"/>
  <c r="J24" i="28"/>
  <c r="G20" i="28"/>
  <c r="J15" i="28"/>
  <c r="J25" i="28"/>
  <c r="F20" i="28"/>
  <c r="E23" i="28"/>
  <c r="F25" i="28"/>
  <c r="E26" i="28"/>
  <c r="F21" i="28"/>
  <c r="I11" i="28"/>
  <c r="H31" i="28"/>
  <c r="G18" i="28"/>
  <c r="J23" i="28"/>
  <c r="H18" i="28"/>
  <c r="F13" i="28"/>
  <c r="G13" i="28"/>
  <c r="J20" i="28"/>
  <c r="H10" i="28"/>
  <c r="I24" i="28"/>
  <c r="E25" i="28"/>
  <c r="H20" i="28"/>
  <c r="I30" i="28"/>
  <c r="F15" i="28"/>
  <c r="G19" i="28"/>
  <c r="I15" i="28"/>
  <c r="E11" i="28"/>
  <c r="H11" i="28"/>
  <c r="H24" i="28"/>
  <c r="M95" i="43" l="1"/>
  <c r="M101" i="43"/>
  <c r="M107" i="43"/>
  <c r="M97" i="43"/>
  <c r="M91" i="43"/>
  <c r="M103" i="43"/>
  <c r="M109" i="43"/>
  <c r="M90" i="43"/>
  <c r="M108" i="43"/>
  <c r="M96" i="43"/>
  <c r="M102" i="43"/>
  <c r="K86" i="43"/>
  <c r="M86" i="43"/>
  <c r="H86" i="43"/>
  <c r="I86" i="43"/>
  <c r="L86" i="43"/>
  <c r="J86" i="43"/>
  <c r="K87" i="43"/>
  <c r="I87" i="43"/>
  <c r="L87" i="43"/>
  <c r="J87" i="43"/>
  <c r="M87" i="43"/>
  <c r="H87" i="43"/>
  <c r="K83" i="43"/>
  <c r="J83" i="43"/>
  <c r="I83" i="43"/>
  <c r="M83" i="43"/>
  <c r="M115" i="43" s="1"/>
  <c r="L83" i="43"/>
  <c r="H83" i="43"/>
  <c r="K84" i="43"/>
  <c r="J84" i="43"/>
  <c r="I84" i="43"/>
  <c r="M84" i="43"/>
  <c r="L84" i="43"/>
  <c r="H84" i="43"/>
  <c r="Q96" i="43" s="1"/>
  <c r="J85" i="43"/>
  <c r="I85" i="43"/>
  <c r="M85" i="43"/>
  <c r="L85" i="43"/>
  <c r="K85" i="43"/>
  <c r="H85" i="43"/>
  <c r="Q97" i="43" s="1"/>
  <c r="H89" i="43"/>
  <c r="M89" i="43"/>
  <c r="I89" i="43"/>
  <c r="I116" i="43" s="1"/>
  <c r="K89" i="43"/>
  <c r="K116" i="43" s="1"/>
  <c r="J89" i="43"/>
  <c r="J116" i="43" s="1"/>
  <c r="L89" i="43"/>
  <c r="L116" i="43" s="1"/>
  <c r="H11" i="1"/>
  <c r="H5" i="1"/>
  <c r="M75" i="5"/>
  <c r="M77" i="5" s="1"/>
  <c r="M27" i="5" s="1"/>
  <c r="M29" i="5" s="1"/>
  <c r="M98" i="5" s="1"/>
  <c r="M99" i="5" s="1"/>
  <c r="J75" i="5"/>
  <c r="I75" i="5"/>
  <c r="F57" i="37"/>
  <c r="K30" i="22"/>
  <c r="G56" i="37"/>
  <c r="D57" i="37"/>
  <c r="E57" i="37" s="1"/>
  <c r="X28" i="20"/>
  <c r="J126" i="1"/>
  <c r="J128" i="1"/>
  <c r="M76" i="5"/>
  <c r="J124" i="18"/>
  <c r="L35" i="4"/>
  <c r="L5" i="4" s="1"/>
  <c r="G43" i="23" s="1"/>
  <c r="L36" i="4"/>
  <c r="L9" i="4" s="1"/>
  <c r="L10" i="4" s="1"/>
  <c r="L85" i="5"/>
  <c r="L10" i="5" s="1"/>
  <c r="D56" i="37"/>
  <c r="E56" i="37" s="1"/>
  <c r="F56" i="37"/>
  <c r="H57" i="37"/>
  <c r="I57" i="37" s="1"/>
  <c r="I76" i="5"/>
  <c r="I16" i="1"/>
  <c r="I35" i="4"/>
  <c r="I5" i="4" s="1"/>
  <c r="I128" i="1"/>
  <c r="I129" i="1" s="1"/>
  <c r="I18" i="1" s="1"/>
  <c r="J121" i="1"/>
  <c r="J124" i="1" s="1"/>
  <c r="J11" i="1" s="1"/>
  <c r="H74" i="23"/>
  <c r="E46" i="12"/>
  <c r="H417" i="13"/>
  <c r="G58" i="37"/>
  <c r="F58" i="37"/>
  <c r="E147" i="6"/>
  <c r="E143" i="6"/>
  <c r="E146" i="6"/>
  <c r="E145" i="6"/>
  <c r="E144" i="6"/>
  <c r="E137" i="6"/>
  <c r="H137" i="6" s="1"/>
  <c r="I123" i="18"/>
  <c r="I131" i="18" s="1"/>
  <c r="J25" i="13"/>
  <c r="H76" i="5"/>
  <c r="H77" i="5" s="1"/>
  <c r="H27" i="5" s="1"/>
  <c r="H29" i="5" s="1"/>
  <c r="L30" i="5"/>
  <c r="H75" i="5"/>
  <c r="J125" i="18"/>
  <c r="L76" i="5"/>
  <c r="K75" i="5"/>
  <c r="K77" i="5" s="1"/>
  <c r="K27" i="5" s="1"/>
  <c r="K29" i="5" s="1"/>
  <c r="K98" i="5" s="1"/>
  <c r="K99" i="5" s="1"/>
  <c r="L75" i="5"/>
  <c r="J26" i="13"/>
  <c r="J161" i="13" s="1"/>
  <c r="J465" i="13" s="1"/>
  <c r="J441" i="13"/>
  <c r="M25" i="13"/>
  <c r="M26" i="13"/>
  <c r="M162" i="13" s="1"/>
  <c r="AB462" i="13" s="1"/>
  <c r="E139" i="6"/>
  <c r="E141" i="6"/>
  <c r="E138" i="6"/>
  <c r="E140" i="6"/>
  <c r="H140" i="6" s="1"/>
  <c r="I26" i="13"/>
  <c r="I437" i="13" s="1"/>
  <c r="I24" i="13"/>
  <c r="I438" i="13" s="1"/>
  <c r="K26" i="13"/>
  <c r="K437" i="13" s="1"/>
  <c r="K441" i="13"/>
  <c r="L441" i="13"/>
  <c r="V444" i="13"/>
  <c r="E321" i="13"/>
  <c r="G321" i="13" s="1"/>
  <c r="I351" i="13" s="1"/>
  <c r="H441" i="13"/>
  <c r="M544" i="13"/>
  <c r="V397" i="13"/>
  <c r="V396" i="13"/>
  <c r="I407" i="13"/>
  <c r="I408" i="13" s="1"/>
  <c r="J24" i="13"/>
  <c r="K25" i="13"/>
  <c r="K425" i="13" s="1"/>
  <c r="E81" i="18"/>
  <c r="G81" i="18" s="1"/>
  <c r="H108" i="18" s="1"/>
  <c r="J131" i="18"/>
  <c r="I441" i="13"/>
  <c r="H25" i="13"/>
  <c r="H26" i="13"/>
  <c r="H161" i="13" s="1"/>
  <c r="H465" i="13" s="1"/>
  <c r="L24" i="13"/>
  <c r="I25" i="13"/>
  <c r="I431" i="13" s="1"/>
  <c r="K24" i="13"/>
  <c r="K415" i="13" s="1"/>
  <c r="L25" i="13"/>
  <c r="AC29" i="38" s="1"/>
  <c r="AB12" i="38" s="1"/>
  <c r="AR92" i="38" s="1"/>
  <c r="M24" i="13"/>
  <c r="I15" i="26"/>
  <c r="K123" i="18"/>
  <c r="K124" i="18" s="1"/>
  <c r="K89" i="18"/>
  <c r="M123" i="18"/>
  <c r="M131" i="18" s="1"/>
  <c r="L123" i="18"/>
  <c r="L124" i="18" s="1"/>
  <c r="K109" i="18"/>
  <c r="H123" i="18"/>
  <c r="H125" i="18" s="1"/>
  <c r="H28" i="26"/>
  <c r="E13" i="26"/>
  <c r="J29" i="26"/>
  <c r="E31" i="26"/>
  <c r="F30" i="26"/>
  <c r="J26" i="26"/>
  <c r="H31" i="26"/>
  <c r="H26" i="26"/>
  <c r="H24" i="13"/>
  <c r="H452" i="13" s="1"/>
  <c r="L26" i="13"/>
  <c r="G29" i="26"/>
  <c r="H16" i="26"/>
  <c r="F31" i="26"/>
  <c r="H10" i="26"/>
  <c r="G30" i="26"/>
  <c r="K403" i="13"/>
  <c r="I26" i="26"/>
  <c r="E29" i="26"/>
  <c r="I105" i="5"/>
  <c r="F12" i="28" s="1"/>
  <c r="E57" i="41" s="1"/>
  <c r="E45" i="41" s="1"/>
  <c r="J77" i="5"/>
  <c r="J27" i="5" s="1"/>
  <c r="J29" i="5" s="1"/>
  <c r="J98" i="5" s="1"/>
  <c r="J99" i="5" s="1"/>
  <c r="J9" i="28"/>
  <c r="F26" i="26"/>
  <c r="E11" i="26"/>
  <c r="F11" i="26"/>
  <c r="F10" i="26"/>
  <c r="H408" i="13"/>
  <c r="I29" i="26"/>
  <c r="E15" i="26"/>
  <c r="G28" i="26"/>
  <c r="I10" i="26"/>
  <c r="M97" i="1"/>
  <c r="M5" i="1" s="1"/>
  <c r="H17" i="23" s="1"/>
  <c r="V392" i="13"/>
  <c r="K408" i="13"/>
  <c r="J28" i="26"/>
  <c r="I28" i="26"/>
  <c r="G10" i="26"/>
  <c r="H15" i="26"/>
  <c r="F28" i="26"/>
  <c r="J30" i="26"/>
  <c r="J11" i="26"/>
  <c r="G21" i="26"/>
  <c r="H11" i="26"/>
  <c r="G11" i="26"/>
  <c r="I31" i="26"/>
  <c r="G13" i="26"/>
  <c r="H29" i="26"/>
  <c r="I13" i="26"/>
  <c r="E16" i="26"/>
  <c r="J31" i="26"/>
  <c r="L403" i="13"/>
  <c r="I403" i="13"/>
  <c r="E9" i="28"/>
  <c r="I9" i="28"/>
  <c r="F16" i="26"/>
  <c r="J15" i="26"/>
  <c r="J21" i="26"/>
  <c r="H21" i="26"/>
  <c r="E30" i="26"/>
  <c r="I21" i="26"/>
  <c r="E21" i="26"/>
  <c r="I11" i="26"/>
  <c r="L408" i="13"/>
  <c r="J10" i="26"/>
  <c r="E28" i="26"/>
  <c r="I16" i="26"/>
  <c r="H13" i="26"/>
  <c r="G26" i="26"/>
  <c r="G15" i="26"/>
  <c r="I30" i="26"/>
  <c r="E26" i="26"/>
  <c r="J16" i="26"/>
  <c r="F29" i="26"/>
  <c r="G16" i="26"/>
  <c r="F13" i="26"/>
  <c r="E10" i="26"/>
  <c r="H30" i="26"/>
  <c r="J13" i="26"/>
  <c r="F15" i="26"/>
  <c r="F21" i="26"/>
  <c r="J408" i="13"/>
  <c r="H86" i="18"/>
  <c r="M101" i="18"/>
  <c r="I101" i="18"/>
  <c r="I87" i="18"/>
  <c r="I102" i="18"/>
  <c r="E14" i="28"/>
  <c r="M12" i="28" s="1"/>
  <c r="K110" i="18"/>
  <c r="K111" i="18"/>
  <c r="C17" i="23"/>
  <c r="E43" i="23"/>
  <c r="F43" i="23"/>
  <c r="D42" i="23"/>
  <c r="C74" i="23"/>
  <c r="I77" i="5"/>
  <c r="I27" i="5" s="1"/>
  <c r="I29" i="5" s="1"/>
  <c r="I98" i="5" s="1"/>
  <c r="I99" i="5" s="1"/>
  <c r="C43" i="23"/>
  <c r="D74" i="23"/>
  <c r="J403" i="13"/>
  <c r="F74" i="23"/>
  <c r="G74" i="23"/>
  <c r="K161" i="13"/>
  <c r="K465" i="13" s="1"/>
  <c r="G42" i="23"/>
  <c r="K105" i="5"/>
  <c r="H12" i="28" s="1"/>
  <c r="G57" i="41" s="1"/>
  <c r="G45" i="41" s="1"/>
  <c r="H43" i="23"/>
  <c r="F42" i="23"/>
  <c r="E74" i="23"/>
  <c r="J162" i="13"/>
  <c r="J464" i="13" s="1"/>
  <c r="J553" i="13" s="1"/>
  <c r="J557" i="13" s="1"/>
  <c r="G81" i="26" s="1"/>
  <c r="K399" i="13"/>
  <c r="K400" i="13" s="1"/>
  <c r="G9" i="28"/>
  <c r="K88" i="1"/>
  <c r="K15" i="1" s="1"/>
  <c r="I399" i="13"/>
  <c r="I400" i="13" s="1"/>
  <c r="H8" i="1"/>
  <c r="M393" i="13"/>
  <c r="V393" i="13" s="1"/>
  <c r="J424" i="13"/>
  <c r="J88" i="5"/>
  <c r="J103" i="1"/>
  <c r="J78" i="1"/>
  <c r="M417" i="13"/>
  <c r="V417" i="13" s="1"/>
  <c r="M424" i="13"/>
  <c r="V424" i="13" s="1"/>
  <c r="J413" i="13"/>
  <c r="J107" i="1"/>
  <c r="J393" i="13"/>
  <c r="K6" i="4"/>
  <c r="L5" i="1"/>
  <c r="G17" i="23" s="1"/>
  <c r="J26" i="4"/>
  <c r="J30" i="4"/>
  <c r="F9" i="28"/>
  <c r="J5" i="1"/>
  <c r="E17" i="23" s="1"/>
  <c r="H8" i="4"/>
  <c r="H10" i="4" s="1"/>
  <c r="M33" i="4"/>
  <c r="M8" i="4" s="1"/>
  <c r="M10" i="4" s="1"/>
  <c r="K9" i="1"/>
  <c r="N101" i="1"/>
  <c r="K17" i="38" s="1"/>
  <c r="I88" i="1"/>
  <c r="I15" i="1" s="1"/>
  <c r="I124" i="1"/>
  <c r="I11" i="1" s="1"/>
  <c r="H15" i="1"/>
  <c r="H4" i="1"/>
  <c r="H9" i="1"/>
  <c r="I82" i="1"/>
  <c r="I33" i="4"/>
  <c r="I8" i="4" s="1"/>
  <c r="I10" i="4" s="1"/>
  <c r="M80" i="1"/>
  <c r="M105" i="1"/>
  <c r="M86" i="1"/>
  <c r="L109" i="1"/>
  <c r="M109" i="1"/>
  <c r="L417" i="13"/>
  <c r="L105" i="1"/>
  <c r="L86" i="1"/>
  <c r="M82" i="5"/>
  <c r="L80" i="1"/>
  <c r="L395" i="13"/>
  <c r="M81" i="1"/>
  <c r="L397" i="13"/>
  <c r="M87" i="1"/>
  <c r="L429" i="13"/>
  <c r="L81" i="1"/>
  <c r="L87" i="1"/>
  <c r="J87" i="1"/>
  <c r="J81" i="1"/>
  <c r="J429" i="13"/>
  <c r="J397" i="13"/>
  <c r="J108" i="1"/>
  <c r="J125" i="6"/>
  <c r="J104" i="1"/>
  <c r="J394" i="13"/>
  <c r="J31" i="4"/>
  <c r="J33" i="4" s="1"/>
  <c r="J8" i="4" s="1"/>
  <c r="J10" i="4" s="1"/>
  <c r="J79" i="1"/>
  <c r="J81" i="5"/>
  <c r="J85" i="1"/>
  <c r="J414" i="13"/>
  <c r="J110" i="6"/>
  <c r="J27" i="4"/>
  <c r="J29" i="4" s="1"/>
  <c r="J4" i="4" s="1"/>
  <c r="J89" i="5"/>
  <c r="K4" i="1"/>
  <c r="K8" i="1"/>
  <c r="D43" i="23"/>
  <c r="I6" i="4"/>
  <c r="M429" i="13"/>
  <c r="V429" i="13" s="1"/>
  <c r="K16" i="1"/>
  <c r="M29" i="4"/>
  <c r="M4" i="4" s="1"/>
  <c r="H4" i="4"/>
  <c r="K5" i="1"/>
  <c r="F17" i="23" s="1"/>
  <c r="M84" i="1"/>
  <c r="M78" i="1"/>
  <c r="M103" i="1"/>
  <c r="M103" i="6"/>
  <c r="L78" i="1"/>
  <c r="L103" i="1"/>
  <c r="L84" i="1"/>
  <c r="M80" i="5"/>
  <c r="L107" i="1"/>
  <c r="M106" i="6"/>
  <c r="M15" i="6" s="1"/>
  <c r="H67" i="23" s="1"/>
  <c r="M88" i="5"/>
  <c r="M16" i="5" s="1"/>
  <c r="H81" i="23" s="1"/>
  <c r="M107" i="1"/>
  <c r="L424" i="13"/>
  <c r="L413" i="13"/>
  <c r="L393" i="13"/>
  <c r="J109" i="1"/>
  <c r="J417" i="13"/>
  <c r="J105" i="1"/>
  <c r="J80" i="1"/>
  <c r="J395" i="13"/>
  <c r="J86" i="1"/>
  <c r="M441" i="13"/>
  <c r="I323" i="13"/>
  <c r="X13" i="20"/>
  <c r="H85" i="18"/>
  <c r="Y13" i="20"/>
  <c r="AN4" i="20"/>
  <c r="AN13" i="20" s="1"/>
  <c r="S13" i="20"/>
  <c r="AJ13" i="20"/>
  <c r="T13" i="20"/>
  <c r="AM4" i="20"/>
  <c r="AM13" i="20" s="1"/>
  <c r="R13" i="20"/>
  <c r="X22" i="20"/>
  <c r="X26" i="20"/>
  <c r="X24" i="20"/>
  <c r="W13" i="20"/>
  <c r="AL4" i="20"/>
  <c r="AL13" i="20" s="1"/>
  <c r="AK4" i="20"/>
  <c r="AK13" i="20" s="1"/>
  <c r="V13" i="20"/>
  <c r="Q13" i="20"/>
  <c r="J11" i="19"/>
  <c r="L11" i="19"/>
  <c r="I11" i="19"/>
  <c r="M11" i="19"/>
  <c r="H10" i="19"/>
  <c r="M10" i="19"/>
  <c r="K11" i="19"/>
  <c r="H11" i="19"/>
  <c r="K10" i="19"/>
  <c r="L10" i="19"/>
  <c r="I10" i="19"/>
  <c r="J10" i="19"/>
  <c r="J105" i="5"/>
  <c r="J69" i="5"/>
  <c r="J107" i="5" s="1"/>
  <c r="M69" i="5"/>
  <c r="M107" i="5" s="1"/>
  <c r="M105" i="5"/>
  <c r="J95" i="34"/>
  <c r="C84" i="37" s="1"/>
  <c r="H84" i="37" s="1"/>
  <c r="I84" i="37" s="1"/>
  <c r="M88" i="34"/>
  <c r="C37" i="37" s="1"/>
  <c r="D37" i="37" s="1"/>
  <c r="E37" i="37" s="1"/>
  <c r="J85" i="34"/>
  <c r="J94" i="34"/>
  <c r="C78" i="37" s="1"/>
  <c r="G78" i="37" s="1"/>
  <c r="L94" i="34"/>
  <c r="C80" i="37" s="1"/>
  <c r="D80" i="37" s="1"/>
  <c r="E80" i="37" s="1"/>
  <c r="K94" i="34"/>
  <c r="C79" i="37" s="1"/>
  <c r="F79" i="37" s="1"/>
  <c r="K85" i="34"/>
  <c r="H79" i="37"/>
  <c r="I79" i="37" s="1"/>
  <c r="G79" i="37"/>
  <c r="M59" i="34"/>
  <c r="K59" i="34"/>
  <c r="N94" i="34"/>
  <c r="C82" i="37" s="1"/>
  <c r="N88" i="34"/>
  <c r="C38" i="37" s="1"/>
  <c r="M94" i="34"/>
  <c r="C81" i="37" s="1"/>
  <c r="H37" i="37"/>
  <c r="I37" i="37" s="1"/>
  <c r="N59" i="34"/>
  <c r="L59" i="34"/>
  <c r="J59" i="34"/>
  <c r="J88" i="34"/>
  <c r="C34" i="37" s="1"/>
  <c r="K88" i="34"/>
  <c r="C35" i="37" s="1"/>
  <c r="L88" i="34"/>
  <c r="C36" i="37" s="1"/>
  <c r="M403" i="13"/>
  <c r="V403" i="13" s="1"/>
  <c r="K350" i="13"/>
  <c r="M332" i="13"/>
  <c r="M327" i="13"/>
  <c r="H400" i="13"/>
  <c r="V406" i="13"/>
  <c r="M407" i="13"/>
  <c r="J89" i="34"/>
  <c r="C40" i="37" s="1"/>
  <c r="J28" i="34"/>
  <c r="V414" i="13"/>
  <c r="L95" i="34"/>
  <c r="C86" i="37" s="1"/>
  <c r="L64" i="34"/>
  <c r="K89" i="34"/>
  <c r="C41" i="37" s="1"/>
  <c r="K28" i="34"/>
  <c r="L92" i="34"/>
  <c r="C64" i="37" s="1"/>
  <c r="L40" i="34"/>
  <c r="M64" i="34"/>
  <c r="M95" i="34"/>
  <c r="C87" i="37" s="1"/>
  <c r="M15" i="34"/>
  <c r="C13" i="37" s="1"/>
  <c r="C19" i="37"/>
  <c r="M86" i="34"/>
  <c r="C16" i="37"/>
  <c r="J15" i="34"/>
  <c r="C10" i="37" s="1"/>
  <c r="J86" i="34"/>
  <c r="K40" i="34"/>
  <c r="K92" i="34"/>
  <c r="C63" i="37" s="1"/>
  <c r="N40" i="34"/>
  <c r="N92" i="34"/>
  <c r="C66" i="37" s="1"/>
  <c r="C20" i="37"/>
  <c r="N15" i="34"/>
  <c r="C14" i="37" s="1"/>
  <c r="N86" i="34"/>
  <c r="J92" i="34"/>
  <c r="C62" i="37" s="1"/>
  <c r="J40" i="34"/>
  <c r="M89" i="34"/>
  <c r="C43" i="37" s="1"/>
  <c r="M28" i="34"/>
  <c r="L28" i="34"/>
  <c r="L89" i="34"/>
  <c r="C42" i="37" s="1"/>
  <c r="C18" i="37"/>
  <c r="L15" i="34"/>
  <c r="C12" i="37" s="1"/>
  <c r="L86" i="34"/>
  <c r="M92" i="34"/>
  <c r="C65" i="37" s="1"/>
  <c r="M40" i="34"/>
  <c r="N89" i="34"/>
  <c r="C44" i="37" s="1"/>
  <c r="N28" i="34"/>
  <c r="N95" i="34"/>
  <c r="C88" i="37" s="1"/>
  <c r="N64" i="34"/>
  <c r="K95" i="34"/>
  <c r="C85" i="37" s="1"/>
  <c r="K64" i="34"/>
  <c r="K15" i="34"/>
  <c r="C11" i="37" s="1"/>
  <c r="C17" i="37"/>
  <c r="K86" i="34"/>
  <c r="M22" i="28"/>
  <c r="O22" i="28"/>
  <c r="O17" i="28"/>
  <c r="N17" i="28"/>
  <c r="N22" i="28"/>
  <c r="M17" i="28"/>
  <c r="M119" i="43" l="1"/>
  <c r="R97" i="43"/>
  <c r="S97" i="43" s="1"/>
  <c r="M118" i="43"/>
  <c r="Q118" i="43" s="1"/>
  <c r="R96" i="43"/>
  <c r="M117" i="43"/>
  <c r="Q117" i="43" s="1"/>
  <c r="L120" i="43"/>
  <c r="L32" i="43" s="1"/>
  <c r="K120" i="43"/>
  <c r="K32" i="43" s="1"/>
  <c r="K10" i="43" s="1"/>
  <c r="K148" i="43" s="1"/>
  <c r="K6" i="43" s="1"/>
  <c r="S96" i="43"/>
  <c r="H115" i="43"/>
  <c r="Q115" i="43" s="1"/>
  <c r="J115" i="43"/>
  <c r="J120" i="43"/>
  <c r="J32" i="43" s="1"/>
  <c r="J9" i="43" s="1"/>
  <c r="I115" i="43"/>
  <c r="L103" i="46"/>
  <c r="H103" i="46"/>
  <c r="M103" i="46"/>
  <c r="K103" i="46"/>
  <c r="J103" i="46"/>
  <c r="I103" i="46"/>
  <c r="I120" i="43"/>
  <c r="I32" i="43" s="1"/>
  <c r="I10" i="43" s="1"/>
  <c r="I148" i="43" s="1"/>
  <c r="I6" i="43" s="1"/>
  <c r="L115" i="43"/>
  <c r="K115" i="43"/>
  <c r="I33" i="43"/>
  <c r="L10" i="43"/>
  <c r="L33" i="43"/>
  <c r="L9" i="43"/>
  <c r="M116" i="43"/>
  <c r="R95" i="43"/>
  <c r="S95" i="43" s="1"/>
  <c r="K33" i="43"/>
  <c r="K9" i="43"/>
  <c r="J102" i="46"/>
  <c r="J26" i="46" s="1"/>
  <c r="M102" i="46"/>
  <c r="I102" i="46"/>
  <c r="I26" i="46" s="1"/>
  <c r="L102" i="46"/>
  <c r="H102" i="46"/>
  <c r="K102" i="46"/>
  <c r="K26" i="46" s="1"/>
  <c r="L138" i="43"/>
  <c r="L139" i="43" s="1"/>
  <c r="H138" i="43"/>
  <c r="H139" i="43" s="1"/>
  <c r="I138" i="43"/>
  <c r="I139" i="43" s="1"/>
  <c r="J138" i="43"/>
  <c r="J139" i="43" s="1"/>
  <c r="M138" i="43"/>
  <c r="M139" i="43" s="1"/>
  <c r="M140" i="43" s="1"/>
  <c r="M142" i="43" s="1"/>
  <c r="M13" i="43" s="1"/>
  <c r="K138" i="43"/>
  <c r="K139" i="43" s="1"/>
  <c r="J33" i="43"/>
  <c r="Q95" i="43"/>
  <c r="H116" i="43"/>
  <c r="H106" i="6"/>
  <c r="H15" i="6" s="1"/>
  <c r="C67" i="23" s="1"/>
  <c r="L82" i="5"/>
  <c r="L83" i="5" s="1"/>
  <c r="H82" i="5"/>
  <c r="H83" i="5" s="1"/>
  <c r="L106" i="6"/>
  <c r="L15" i="6" s="1"/>
  <c r="G67" i="23" s="1"/>
  <c r="E47" i="12"/>
  <c r="K82" i="5"/>
  <c r="K83" i="5" s="1"/>
  <c r="I106" i="6"/>
  <c r="I15" i="6" s="1"/>
  <c r="D67" i="23" s="1"/>
  <c r="K106" i="6"/>
  <c r="K15" i="6" s="1"/>
  <c r="F67" i="23" s="1"/>
  <c r="I82" i="5"/>
  <c r="I83" i="5" s="1"/>
  <c r="J106" i="6"/>
  <c r="J15" i="6" s="1"/>
  <c r="E67" i="23" s="1"/>
  <c r="J83" i="5"/>
  <c r="J9" i="5" s="1"/>
  <c r="E73" i="23" s="1"/>
  <c r="E72" i="23" s="1"/>
  <c r="J428" i="13"/>
  <c r="L6" i="4"/>
  <c r="M399" i="13"/>
  <c r="I5" i="1"/>
  <c r="D17" i="23" s="1"/>
  <c r="J129" i="1"/>
  <c r="J18" i="1" s="1"/>
  <c r="J82" i="5"/>
  <c r="M428" i="13"/>
  <c r="L103" i="5"/>
  <c r="F80" i="37"/>
  <c r="G80" i="37"/>
  <c r="H78" i="37"/>
  <c r="I78" i="37" s="1"/>
  <c r="H80" i="37"/>
  <c r="I80" i="37" s="1"/>
  <c r="G37" i="37"/>
  <c r="I124" i="18"/>
  <c r="I125" i="18"/>
  <c r="K145" i="6"/>
  <c r="L145" i="6"/>
  <c r="I145" i="6"/>
  <c r="M145" i="6"/>
  <c r="H145" i="6"/>
  <c r="J145" i="6"/>
  <c r="J146" i="6"/>
  <c r="K146" i="6"/>
  <c r="L146" i="6"/>
  <c r="I146" i="6"/>
  <c r="M146" i="6"/>
  <c r="H146" i="6"/>
  <c r="I143" i="6"/>
  <c r="M143" i="6"/>
  <c r="J143" i="6"/>
  <c r="H143" i="6"/>
  <c r="K143" i="6"/>
  <c r="L143" i="6"/>
  <c r="L144" i="6"/>
  <c r="I144" i="6"/>
  <c r="M144" i="6"/>
  <c r="H144" i="6"/>
  <c r="J144" i="6"/>
  <c r="K144" i="6"/>
  <c r="I147" i="6"/>
  <c r="M147" i="6"/>
  <c r="H147" i="6"/>
  <c r="J147" i="6"/>
  <c r="K147" i="6"/>
  <c r="L147" i="6"/>
  <c r="J436" i="13"/>
  <c r="J472" i="13"/>
  <c r="J437" i="13"/>
  <c r="J431" i="13"/>
  <c r="J427" i="13"/>
  <c r="J474" i="13"/>
  <c r="I86" i="18"/>
  <c r="M104" i="18"/>
  <c r="L111" i="18"/>
  <c r="K84" i="18"/>
  <c r="H102" i="18"/>
  <c r="J111" i="18"/>
  <c r="J105" i="18"/>
  <c r="M107" i="18"/>
  <c r="L101" i="18"/>
  <c r="M110" i="18"/>
  <c r="I416" i="13"/>
  <c r="I89" i="18"/>
  <c r="I105" i="18"/>
  <c r="J84" i="18"/>
  <c r="I95" i="18"/>
  <c r="I84" i="18"/>
  <c r="L69" i="5"/>
  <c r="L107" i="5" s="1"/>
  <c r="K105" i="18"/>
  <c r="I415" i="13"/>
  <c r="I418" i="13" s="1"/>
  <c r="I10" i="13" s="1"/>
  <c r="D25" i="23" s="1"/>
  <c r="L85" i="18"/>
  <c r="J103" i="18"/>
  <c r="M427" i="13"/>
  <c r="J110" i="18"/>
  <c r="M103" i="18"/>
  <c r="H89" i="18"/>
  <c r="H110" i="18"/>
  <c r="H111" i="18"/>
  <c r="K86" i="18"/>
  <c r="J86" i="18"/>
  <c r="M102" i="18"/>
  <c r="M473" i="13"/>
  <c r="H28" i="40" s="1"/>
  <c r="I162" i="13"/>
  <c r="I464" i="13" s="1"/>
  <c r="I553" i="13" s="1"/>
  <c r="I557" i="13" s="1"/>
  <c r="F81" i="26" s="1"/>
  <c r="M109" i="18"/>
  <c r="J107" i="18"/>
  <c r="K83" i="18"/>
  <c r="J473" i="13"/>
  <c r="L87" i="18"/>
  <c r="M89" i="18"/>
  <c r="H105" i="18"/>
  <c r="I161" i="13"/>
  <c r="I465" i="13" s="1"/>
  <c r="K101" i="18"/>
  <c r="K102" i="18"/>
  <c r="L86" i="18"/>
  <c r="K87" i="18"/>
  <c r="K108" i="18"/>
  <c r="I110" i="18"/>
  <c r="I103" i="18"/>
  <c r="H84" i="18"/>
  <c r="M86" i="18"/>
  <c r="J425" i="13"/>
  <c r="L77" i="5"/>
  <c r="L27" i="5" s="1"/>
  <c r="L29" i="5" s="1"/>
  <c r="L100" i="5" s="1"/>
  <c r="M161" i="13"/>
  <c r="AB461" i="13" s="1"/>
  <c r="K162" i="13"/>
  <c r="K464" i="13" s="1"/>
  <c r="K553" i="13" s="1"/>
  <c r="K557" i="13" s="1"/>
  <c r="H81" i="26" s="1"/>
  <c r="M325" i="13"/>
  <c r="L105" i="5"/>
  <c r="I14" i="28" s="1"/>
  <c r="K323" i="13"/>
  <c r="J329" i="13"/>
  <c r="J326" i="13"/>
  <c r="K332" i="13"/>
  <c r="H327" i="13"/>
  <c r="V327" i="13" s="1"/>
  <c r="L323" i="13"/>
  <c r="L339" i="13"/>
  <c r="H331" i="13"/>
  <c r="K342" i="13"/>
  <c r="M326" i="13"/>
  <c r="H351" i="13"/>
  <c r="H345" i="13"/>
  <c r="M431" i="13"/>
  <c r="M125" i="18"/>
  <c r="M472" i="13"/>
  <c r="J28" i="40" s="1"/>
  <c r="M329" i="13"/>
  <c r="M341" i="13"/>
  <c r="H324" i="13"/>
  <c r="I344" i="13"/>
  <c r="M345" i="13"/>
  <c r="V345" i="13" s="1"/>
  <c r="I329" i="13"/>
  <c r="H95" i="18"/>
  <c r="I85" i="18"/>
  <c r="H87" i="18"/>
  <c r="L105" i="18"/>
  <c r="L103" i="18"/>
  <c r="M436" i="13"/>
  <c r="AB28" i="38" s="1"/>
  <c r="AA11" i="38" s="1"/>
  <c r="L89" i="18"/>
  <c r="J104" i="18"/>
  <c r="J83" i="18"/>
  <c r="I104" i="18"/>
  <c r="J87" i="18"/>
  <c r="J85" i="18"/>
  <c r="L83" i="18"/>
  <c r="I107" i="18"/>
  <c r="I108" i="18"/>
  <c r="H104" i="18"/>
  <c r="H103" i="18"/>
  <c r="H101" i="18"/>
  <c r="I83" i="18"/>
  <c r="M95" i="18"/>
  <c r="H107" i="18"/>
  <c r="J108" i="18"/>
  <c r="H83" i="18"/>
  <c r="L102" i="18"/>
  <c r="M425" i="13"/>
  <c r="M474" i="13"/>
  <c r="H30" i="40" s="1"/>
  <c r="I452" i="13"/>
  <c r="I460" i="13" s="1"/>
  <c r="J327" i="13"/>
  <c r="J323" i="13"/>
  <c r="K329" i="13"/>
  <c r="M333" i="13"/>
  <c r="L349" i="13"/>
  <c r="M335" i="13"/>
  <c r="J336" i="13"/>
  <c r="L95" i="18"/>
  <c r="J95" i="18"/>
  <c r="H98" i="18"/>
  <c r="M85" i="18"/>
  <c r="K85" i="18"/>
  <c r="J89" i="18"/>
  <c r="J98" i="18"/>
  <c r="L325" i="13"/>
  <c r="V441" i="13"/>
  <c r="I109" i="18"/>
  <c r="J109" i="18"/>
  <c r="K104" i="18"/>
  <c r="M111" i="18"/>
  <c r="M83" i="18"/>
  <c r="L110" i="18"/>
  <c r="M84" i="18"/>
  <c r="K95" i="18"/>
  <c r="K107" i="18"/>
  <c r="L104" i="18"/>
  <c r="L108" i="18"/>
  <c r="L84" i="18"/>
  <c r="M87" i="18"/>
  <c r="K103" i="18"/>
  <c r="L109" i="18"/>
  <c r="M105" i="18"/>
  <c r="H109" i="18"/>
  <c r="J102" i="18"/>
  <c r="I111" i="18"/>
  <c r="M108" i="18"/>
  <c r="J101" i="18"/>
  <c r="I139" i="6"/>
  <c r="K139" i="6"/>
  <c r="M139" i="6"/>
  <c r="L139" i="6"/>
  <c r="H139" i="6"/>
  <c r="J139" i="6"/>
  <c r="I137" i="6"/>
  <c r="K137" i="6"/>
  <c r="L137" i="6"/>
  <c r="M137" i="6"/>
  <c r="J137" i="6"/>
  <c r="M437" i="13"/>
  <c r="AG28" i="38" s="1"/>
  <c r="AD11" i="38" s="1"/>
  <c r="L107" i="18"/>
  <c r="L138" i="6"/>
  <c r="J138" i="6"/>
  <c r="K138" i="6"/>
  <c r="M138" i="6"/>
  <c r="I138" i="6"/>
  <c r="H138" i="6"/>
  <c r="M140" i="6"/>
  <c r="J140" i="6"/>
  <c r="K140" i="6"/>
  <c r="L140" i="6"/>
  <c r="I140" i="6"/>
  <c r="K125" i="18"/>
  <c r="M100" i="5"/>
  <c r="I141" i="6"/>
  <c r="J141" i="6"/>
  <c r="H141" i="6"/>
  <c r="M141" i="6"/>
  <c r="K141" i="6"/>
  <c r="L141" i="6"/>
  <c r="AC31" i="38"/>
  <c r="AH12" i="38" s="1"/>
  <c r="AR90" i="38" s="1"/>
  <c r="L452" i="13"/>
  <c r="J415" i="13"/>
  <c r="J452" i="13"/>
  <c r="I456" i="13"/>
  <c r="I549" i="13" s="1"/>
  <c r="I566" i="13" s="1"/>
  <c r="F90" i="26" s="1"/>
  <c r="H323" i="13"/>
  <c r="L348" i="13"/>
  <c r="J345" i="13"/>
  <c r="I337" i="13"/>
  <c r="I325" i="13"/>
  <c r="M343" i="13"/>
  <c r="I327" i="13"/>
  <c r="L347" i="13"/>
  <c r="J348" i="13"/>
  <c r="L329" i="13"/>
  <c r="I345" i="13"/>
  <c r="K327" i="13"/>
  <c r="J351" i="13"/>
  <c r="L331" i="13"/>
  <c r="L338" i="13"/>
  <c r="I331" i="13"/>
  <c r="L337" i="13"/>
  <c r="I326" i="13"/>
  <c r="J350" i="13"/>
  <c r="J325" i="13"/>
  <c r="H325" i="13"/>
  <c r="H350" i="13"/>
  <c r="H343" i="13"/>
  <c r="J438" i="13"/>
  <c r="M338" i="13"/>
  <c r="L345" i="13"/>
  <c r="K345" i="13"/>
  <c r="K335" i="13"/>
  <c r="M351" i="13"/>
  <c r="K325" i="13"/>
  <c r="J342" i="13"/>
  <c r="AG128" i="38"/>
  <c r="J344" i="13"/>
  <c r="H329" i="13"/>
  <c r="K338" i="13"/>
  <c r="K341" i="13"/>
  <c r="M323" i="13"/>
  <c r="M348" i="13"/>
  <c r="J343" i="13"/>
  <c r="L344" i="13"/>
  <c r="H341" i="13"/>
  <c r="J338" i="13"/>
  <c r="K339" i="13"/>
  <c r="K326" i="13"/>
  <c r="J349" i="13"/>
  <c r="M344" i="13"/>
  <c r="M347" i="13"/>
  <c r="L326" i="13"/>
  <c r="I342" i="13"/>
  <c r="J347" i="13"/>
  <c r="L341" i="13"/>
  <c r="J333" i="13"/>
  <c r="I348" i="13"/>
  <c r="L324" i="13"/>
  <c r="H344" i="13"/>
  <c r="I347" i="13"/>
  <c r="J330" i="13"/>
  <c r="I349" i="13"/>
  <c r="K347" i="13"/>
  <c r="H349" i="13"/>
  <c r="K344" i="13"/>
  <c r="H326" i="13"/>
  <c r="I335" i="13"/>
  <c r="H458" i="13"/>
  <c r="H454" i="13"/>
  <c r="H453" i="13"/>
  <c r="H460" i="13"/>
  <c r="H456" i="13"/>
  <c r="H459" i="13"/>
  <c r="H455" i="13"/>
  <c r="H457" i="13"/>
  <c r="M416" i="13"/>
  <c r="M452" i="13"/>
  <c r="K331" i="13"/>
  <c r="L336" i="13"/>
  <c r="K348" i="13"/>
  <c r="K324" i="13"/>
  <c r="J335" i="13"/>
  <c r="K351" i="13"/>
  <c r="M336" i="13"/>
  <c r="L327" i="13"/>
  <c r="I324" i="13"/>
  <c r="L333" i="13"/>
  <c r="J324" i="13"/>
  <c r="I350" i="13"/>
  <c r="H333" i="13"/>
  <c r="L350" i="13"/>
  <c r="H332" i="13"/>
  <c r="V332" i="13" s="1"/>
  <c r="H335" i="13"/>
  <c r="H342" i="13"/>
  <c r="K336" i="13"/>
  <c r="L351" i="13"/>
  <c r="K343" i="13"/>
  <c r="H348" i="13"/>
  <c r="J341" i="13"/>
  <c r="L343" i="13"/>
  <c r="M349" i="13"/>
  <c r="M324" i="13"/>
  <c r="M339" i="13"/>
  <c r="I343" i="13"/>
  <c r="H347" i="13"/>
  <c r="M350" i="13"/>
  <c r="L342" i="13"/>
  <c r="I341" i="13"/>
  <c r="K349" i="13"/>
  <c r="M342" i="13"/>
  <c r="L335" i="13"/>
  <c r="K416" i="13"/>
  <c r="K418" i="13" s="1"/>
  <c r="K10" i="13" s="1"/>
  <c r="F25" i="23" s="1"/>
  <c r="K452" i="13"/>
  <c r="L472" i="13"/>
  <c r="L473" i="13"/>
  <c r="L474" i="13"/>
  <c r="H437" i="13"/>
  <c r="H473" i="13"/>
  <c r="H472" i="13"/>
  <c r="H474" i="13"/>
  <c r="J416" i="13"/>
  <c r="I472" i="13"/>
  <c r="I473" i="13"/>
  <c r="I474" i="13"/>
  <c r="K436" i="13"/>
  <c r="K474" i="13"/>
  <c r="K472" i="13"/>
  <c r="K473" i="13"/>
  <c r="K427" i="13"/>
  <c r="I436" i="13"/>
  <c r="F14" i="26" s="1"/>
  <c r="K431" i="13"/>
  <c r="H431" i="13"/>
  <c r="M415" i="13"/>
  <c r="I425" i="13"/>
  <c r="K428" i="13"/>
  <c r="L427" i="13"/>
  <c r="H427" i="13"/>
  <c r="H436" i="13"/>
  <c r="AA28" i="38" s="1"/>
  <c r="H425" i="13"/>
  <c r="I427" i="13"/>
  <c r="K131" i="18"/>
  <c r="K438" i="13"/>
  <c r="H428" i="13"/>
  <c r="V428" i="13" s="1"/>
  <c r="V25" i="13"/>
  <c r="AA29" i="38"/>
  <c r="AB29" i="38" s="1"/>
  <c r="AA12" i="38" s="1"/>
  <c r="I428" i="13"/>
  <c r="L425" i="13"/>
  <c r="H162" i="13"/>
  <c r="H464" i="13" s="1"/>
  <c r="H553" i="13" s="1"/>
  <c r="H557" i="13" s="1"/>
  <c r="E81" i="26" s="1"/>
  <c r="L416" i="13"/>
  <c r="H124" i="18"/>
  <c r="L428" i="13"/>
  <c r="AF29" i="38"/>
  <c r="AG29" i="38" s="1"/>
  <c r="AD12" i="38" s="1"/>
  <c r="V26" i="13"/>
  <c r="K53" i="5"/>
  <c r="K94" i="5" s="1"/>
  <c r="K95" i="5" s="1"/>
  <c r="K5" i="5" s="1"/>
  <c r="L415" i="13"/>
  <c r="M438" i="13"/>
  <c r="AB30" i="38" s="1"/>
  <c r="AG11" i="38" s="1"/>
  <c r="L431" i="13"/>
  <c r="L438" i="13"/>
  <c r="AC30" i="38" s="1"/>
  <c r="AH11" i="38" s="1"/>
  <c r="L436" i="13"/>
  <c r="AC28" i="38" s="1"/>
  <c r="AB11" i="38" s="1"/>
  <c r="M124" i="18"/>
  <c r="M53" i="5"/>
  <c r="M94" i="5" s="1"/>
  <c r="M95" i="5" s="1"/>
  <c r="J29" i="28" s="1"/>
  <c r="L131" i="18"/>
  <c r="L125" i="18"/>
  <c r="H131" i="18"/>
  <c r="O27" i="26"/>
  <c r="AA31" i="38"/>
  <c r="H416" i="13"/>
  <c r="H438" i="13"/>
  <c r="AA30" i="38" s="1"/>
  <c r="H415" i="13"/>
  <c r="L437" i="13"/>
  <c r="AH28" i="38" s="1"/>
  <c r="AE11" i="38" s="1"/>
  <c r="AH29" i="38"/>
  <c r="AE12" i="38" s="1"/>
  <c r="AR91" i="38" s="1"/>
  <c r="L162" i="13"/>
  <c r="L464" i="13" s="1"/>
  <c r="L553" i="13" s="1"/>
  <c r="L557" i="13" s="1"/>
  <c r="I81" i="26" s="1"/>
  <c r="L161" i="13"/>
  <c r="L465" i="13" s="1"/>
  <c r="V24" i="13"/>
  <c r="J100" i="5"/>
  <c r="I100" i="5"/>
  <c r="F41" i="23"/>
  <c r="J53" i="5"/>
  <c r="J94" i="5" s="1"/>
  <c r="J95" i="5" s="1"/>
  <c r="F14" i="28"/>
  <c r="N12" i="28" s="1"/>
  <c r="K100" i="5"/>
  <c r="H14" i="28"/>
  <c r="N27" i="26"/>
  <c r="M27" i="26"/>
  <c r="G41" i="23"/>
  <c r="D41" i="23"/>
  <c r="AA461" i="13"/>
  <c r="M464" i="13"/>
  <c r="M553" i="13" s="1"/>
  <c r="M557" i="13" s="1"/>
  <c r="J81" i="26" s="1"/>
  <c r="M83" i="5"/>
  <c r="M8" i="5" s="1"/>
  <c r="M110" i="1"/>
  <c r="M16" i="1" s="1"/>
  <c r="I53" i="5"/>
  <c r="I92" i="5" s="1"/>
  <c r="I93" i="5" s="1"/>
  <c r="L106" i="1"/>
  <c r="L9" i="1" s="1"/>
  <c r="J16" i="5"/>
  <c r="E81" i="23" s="1"/>
  <c r="M82" i="1"/>
  <c r="M8" i="1" s="1"/>
  <c r="J82" i="1"/>
  <c r="L110" i="1"/>
  <c r="L16" i="1" s="1"/>
  <c r="L82" i="1"/>
  <c r="J110" i="1"/>
  <c r="J16" i="1" s="1"/>
  <c r="J88" i="1"/>
  <c r="J15" i="1" s="1"/>
  <c r="J399" i="13"/>
  <c r="J400" i="13" s="1"/>
  <c r="H20" i="40"/>
  <c r="G17" i="38"/>
  <c r="M9" i="5"/>
  <c r="H73" i="23" s="1"/>
  <c r="H72" i="23" s="1"/>
  <c r="I8" i="5"/>
  <c r="I9" i="5"/>
  <c r="D73" i="23" s="1"/>
  <c r="D72" i="23" s="1"/>
  <c r="F7" i="28"/>
  <c r="J8" i="5"/>
  <c r="G7" i="28"/>
  <c r="J6" i="4"/>
  <c r="E42" i="23"/>
  <c r="E41" i="23" s="1"/>
  <c r="L399" i="13"/>
  <c r="L400" i="13" s="1"/>
  <c r="L88" i="1"/>
  <c r="L15" i="1" s="1"/>
  <c r="M106" i="1"/>
  <c r="M9" i="1" s="1"/>
  <c r="H6" i="4"/>
  <c r="C42" i="23"/>
  <c r="C41" i="23" s="1"/>
  <c r="J106" i="1"/>
  <c r="J9" i="1" s="1"/>
  <c r="C16" i="23"/>
  <c r="C15" i="23" s="1"/>
  <c r="H6" i="1"/>
  <c r="M6" i="4"/>
  <c r="H42" i="23"/>
  <c r="H41" i="23" s="1"/>
  <c r="L8" i="1"/>
  <c r="M88" i="1"/>
  <c r="M15" i="1" s="1"/>
  <c r="K6" i="1"/>
  <c r="F16" i="23"/>
  <c r="F15" i="23" s="1"/>
  <c r="I8" i="1"/>
  <c r="I4" i="1"/>
  <c r="G84" i="37"/>
  <c r="D84" i="37"/>
  <c r="E84" i="37" s="1"/>
  <c r="F84" i="37"/>
  <c r="J339" i="13"/>
  <c r="I339" i="13"/>
  <c r="K98" i="18"/>
  <c r="I98" i="18"/>
  <c r="L98" i="18"/>
  <c r="I338" i="13"/>
  <c r="H338" i="13"/>
  <c r="X29" i="20"/>
  <c r="M98" i="18"/>
  <c r="J332" i="13"/>
  <c r="I332" i="13"/>
  <c r="I90" i="18"/>
  <c r="J90" i="18"/>
  <c r="K90" i="18"/>
  <c r="H90" i="18"/>
  <c r="M90" i="18"/>
  <c r="M330" i="13"/>
  <c r="L90" i="18"/>
  <c r="W15" i="20"/>
  <c r="X15" i="20" s="1"/>
  <c r="H97" i="18"/>
  <c r="I97" i="18"/>
  <c r="K97" i="18"/>
  <c r="J97" i="18"/>
  <c r="M97" i="18"/>
  <c r="L97" i="18"/>
  <c r="H337" i="13"/>
  <c r="J100" i="6"/>
  <c r="H138" i="18"/>
  <c r="H139" i="18" s="1"/>
  <c r="H140" i="18" s="1"/>
  <c r="H142" i="18" s="1"/>
  <c r="H13" i="18" s="1"/>
  <c r="C54" i="23" s="1"/>
  <c r="K138" i="18"/>
  <c r="K139" i="18" s="1"/>
  <c r="K140" i="18" s="1"/>
  <c r="K142" i="18" s="1"/>
  <c r="K13" i="18" s="1"/>
  <c r="F54" i="23" s="1"/>
  <c r="L138" i="18"/>
  <c r="L139" i="18" s="1"/>
  <c r="L140" i="18" s="1"/>
  <c r="L142" i="18" s="1"/>
  <c r="L13" i="18" s="1"/>
  <c r="G54" i="23" s="1"/>
  <c r="M100" i="6"/>
  <c r="J138" i="18"/>
  <c r="J139" i="18" s="1"/>
  <c r="I138" i="18"/>
  <c r="I139" i="18" s="1"/>
  <c r="I140" i="18" s="1"/>
  <c r="I142" i="18" s="1"/>
  <c r="I13" i="18" s="1"/>
  <c r="D54" i="23" s="1"/>
  <c r="K100" i="6"/>
  <c r="M138" i="18"/>
  <c r="M139" i="18" s="1"/>
  <c r="I100" i="6"/>
  <c r="H100" i="6"/>
  <c r="L100" i="6"/>
  <c r="K330" i="13"/>
  <c r="M337" i="13"/>
  <c r="J96" i="18"/>
  <c r="L96" i="18"/>
  <c r="I336" i="13"/>
  <c r="M96" i="18"/>
  <c r="H336" i="13"/>
  <c r="I96" i="18"/>
  <c r="K96" i="18"/>
  <c r="H96" i="18"/>
  <c r="L92" i="18"/>
  <c r="I92" i="18"/>
  <c r="H92" i="18"/>
  <c r="J92" i="18"/>
  <c r="L332" i="13"/>
  <c r="M92" i="18"/>
  <c r="K92" i="18"/>
  <c r="I330" i="13"/>
  <c r="K337" i="13"/>
  <c r="H330" i="13"/>
  <c r="M101" i="6"/>
  <c r="H101" i="6"/>
  <c r="I101" i="6"/>
  <c r="J101" i="6"/>
  <c r="L101" i="6"/>
  <c r="K101" i="6"/>
  <c r="J337" i="13"/>
  <c r="L330" i="13"/>
  <c r="H91" i="18"/>
  <c r="I91" i="18"/>
  <c r="J91" i="18"/>
  <c r="L91" i="18"/>
  <c r="J331" i="13"/>
  <c r="M91" i="18"/>
  <c r="M331" i="13"/>
  <c r="K91" i="18"/>
  <c r="J93" i="18"/>
  <c r="K333" i="13"/>
  <c r="K93" i="18"/>
  <c r="I93" i="18"/>
  <c r="L93" i="18"/>
  <c r="H93" i="18"/>
  <c r="I333" i="13"/>
  <c r="M93" i="18"/>
  <c r="I99" i="18"/>
  <c r="L99" i="18"/>
  <c r="H99" i="18"/>
  <c r="K99" i="18"/>
  <c r="J99" i="18"/>
  <c r="H339" i="13"/>
  <c r="M99" i="18"/>
  <c r="J12" i="28"/>
  <c r="J14" i="28"/>
  <c r="J33" i="19"/>
  <c r="J39" i="19"/>
  <c r="J37" i="19"/>
  <c r="J44" i="19"/>
  <c r="H25" i="19"/>
  <c r="H43" i="19"/>
  <c r="H36" i="19"/>
  <c r="H32" i="19"/>
  <c r="M36" i="19"/>
  <c r="M25" i="19"/>
  <c r="M43" i="19"/>
  <c r="M32" i="19"/>
  <c r="I33" i="19"/>
  <c r="I44" i="19"/>
  <c r="I37" i="19"/>
  <c r="I39" i="19"/>
  <c r="K36" i="19"/>
  <c r="K32" i="19"/>
  <c r="K25" i="19"/>
  <c r="K43" i="19"/>
  <c r="I36" i="19"/>
  <c r="I32" i="19"/>
  <c r="I43" i="19"/>
  <c r="I25" i="19"/>
  <c r="H100" i="5"/>
  <c r="H53" i="5"/>
  <c r="H94" i="5" s="1"/>
  <c r="H95" i="5" s="1"/>
  <c r="H98" i="5"/>
  <c r="H99" i="5" s="1"/>
  <c r="L37" i="19"/>
  <c r="L33" i="19"/>
  <c r="L44" i="19"/>
  <c r="L39" i="19"/>
  <c r="M33" i="19"/>
  <c r="M37" i="19"/>
  <c r="M44" i="19"/>
  <c r="M39" i="19"/>
  <c r="L36" i="19"/>
  <c r="L25" i="19"/>
  <c r="L43" i="19"/>
  <c r="L45" i="19" s="1"/>
  <c r="L32" i="19"/>
  <c r="G12" i="28"/>
  <c r="G14" i="28"/>
  <c r="K44" i="19"/>
  <c r="K39" i="19"/>
  <c r="K33" i="19"/>
  <c r="K37" i="19"/>
  <c r="H39" i="19"/>
  <c r="H33" i="19"/>
  <c r="H37" i="19"/>
  <c r="H44" i="19"/>
  <c r="J36" i="19"/>
  <c r="J43" i="19"/>
  <c r="J32" i="19"/>
  <c r="J25" i="19"/>
  <c r="F37" i="37"/>
  <c r="D79" i="37"/>
  <c r="E79" i="37" s="1"/>
  <c r="F78" i="37"/>
  <c r="D78" i="37"/>
  <c r="E78" i="37" s="1"/>
  <c r="D36" i="37"/>
  <c r="E36" i="37" s="1"/>
  <c r="F36" i="37"/>
  <c r="H36" i="37"/>
  <c r="I36" i="37" s="1"/>
  <c r="G36" i="37"/>
  <c r="D82" i="37"/>
  <c r="E82" i="37" s="1"/>
  <c r="H82" i="37"/>
  <c r="I82" i="37" s="1"/>
  <c r="F82" i="37"/>
  <c r="G82" i="37"/>
  <c r="F35" i="37"/>
  <c r="G35" i="37"/>
  <c r="H35" i="37"/>
  <c r="I35" i="37" s="1"/>
  <c r="D35" i="37"/>
  <c r="E35" i="37" s="1"/>
  <c r="F34" i="37"/>
  <c r="G34" i="37"/>
  <c r="H34" i="37"/>
  <c r="I34" i="37" s="1"/>
  <c r="D34" i="37"/>
  <c r="E34" i="37" s="1"/>
  <c r="G81" i="37"/>
  <c r="H81" i="37"/>
  <c r="I81" i="37" s="1"/>
  <c r="F81" i="37"/>
  <c r="D81" i="37"/>
  <c r="E81" i="37" s="1"/>
  <c r="D38" i="37"/>
  <c r="E38" i="37" s="1"/>
  <c r="F38" i="37"/>
  <c r="H38" i="37"/>
  <c r="I38" i="37" s="1"/>
  <c r="G38" i="37"/>
  <c r="V399" i="13"/>
  <c r="G44" i="37"/>
  <c r="D44" i="37"/>
  <c r="E44" i="37" s="1"/>
  <c r="F44" i="37"/>
  <c r="H44" i="37"/>
  <c r="I44" i="37" s="1"/>
  <c r="F14" i="37"/>
  <c r="D14" i="37"/>
  <c r="E14" i="37" s="1"/>
  <c r="G14" i="37"/>
  <c r="H14" i="37"/>
  <c r="G13" i="37"/>
  <c r="H13" i="37"/>
  <c r="D13" i="37"/>
  <c r="E13" i="37" s="1"/>
  <c r="F13" i="37"/>
  <c r="G64" i="37"/>
  <c r="H64" i="37"/>
  <c r="I64" i="37" s="1"/>
  <c r="D64" i="37"/>
  <c r="E64" i="37" s="1"/>
  <c r="F64" i="37"/>
  <c r="H40" i="37"/>
  <c r="I40" i="37" s="1"/>
  <c r="F40" i="37"/>
  <c r="D40" i="37"/>
  <c r="E40" i="37" s="1"/>
  <c r="G40" i="37"/>
  <c r="D11" i="37"/>
  <c r="E11" i="37" s="1"/>
  <c r="H11" i="37"/>
  <c r="F11" i="37"/>
  <c r="G11" i="37"/>
  <c r="F88" i="37"/>
  <c r="D88" i="37"/>
  <c r="E88" i="37" s="1"/>
  <c r="G88" i="37"/>
  <c r="H88" i="37"/>
  <c r="I88" i="37" s="1"/>
  <c r="H65" i="37"/>
  <c r="I65" i="37" s="1"/>
  <c r="F65" i="37"/>
  <c r="D65" i="37"/>
  <c r="E65" i="37" s="1"/>
  <c r="G65" i="37"/>
  <c r="H42" i="37"/>
  <c r="I42" i="37" s="1"/>
  <c r="F42" i="37"/>
  <c r="G42" i="37"/>
  <c r="D42" i="37"/>
  <c r="E42" i="37" s="1"/>
  <c r="D66" i="37"/>
  <c r="E66" i="37" s="1"/>
  <c r="G66" i="37"/>
  <c r="H66" i="37"/>
  <c r="I66" i="37" s="1"/>
  <c r="F66" i="37"/>
  <c r="F41" i="37"/>
  <c r="H41" i="37"/>
  <c r="I41" i="37" s="1"/>
  <c r="G41" i="37"/>
  <c r="D41" i="37"/>
  <c r="E41" i="37" s="1"/>
  <c r="V407" i="13"/>
  <c r="M408" i="13"/>
  <c r="H85" i="37"/>
  <c r="I85" i="37" s="1"/>
  <c r="G85" i="37"/>
  <c r="F85" i="37"/>
  <c r="D85" i="37"/>
  <c r="E85" i="37" s="1"/>
  <c r="G12" i="37"/>
  <c r="F12" i="37"/>
  <c r="D12" i="37"/>
  <c r="E12" i="37" s="1"/>
  <c r="H12" i="37"/>
  <c r="F63" i="37"/>
  <c r="D63" i="37"/>
  <c r="E63" i="37" s="1"/>
  <c r="G63" i="37"/>
  <c r="H63" i="37"/>
  <c r="I63" i="37" s="1"/>
  <c r="H10" i="37"/>
  <c r="D10" i="37"/>
  <c r="E10" i="37" s="1"/>
  <c r="F10" i="37"/>
  <c r="G10" i="37"/>
  <c r="G86" i="37"/>
  <c r="D86" i="37"/>
  <c r="E86" i="37" s="1"/>
  <c r="F86" i="37"/>
  <c r="H86" i="37"/>
  <c r="I86" i="37" s="1"/>
  <c r="M409" i="13"/>
  <c r="V400" i="13"/>
  <c r="H17" i="37"/>
  <c r="D17" i="37"/>
  <c r="E17" i="37" s="1"/>
  <c r="F17" i="37"/>
  <c r="G17" i="37"/>
  <c r="H18" i="37"/>
  <c r="G18" i="37"/>
  <c r="D18" i="37"/>
  <c r="E18" i="37" s="1"/>
  <c r="F18" i="37"/>
  <c r="F43" i="37"/>
  <c r="D43" i="37"/>
  <c r="E43" i="37" s="1"/>
  <c r="H43" i="37"/>
  <c r="I43" i="37" s="1"/>
  <c r="G43" i="37"/>
  <c r="F20" i="37"/>
  <c r="D20" i="37"/>
  <c r="E20" i="37" s="1"/>
  <c r="G20" i="37"/>
  <c r="H20" i="37"/>
  <c r="F16" i="37"/>
  <c r="H16" i="37"/>
  <c r="D16" i="37"/>
  <c r="E16" i="37" s="1"/>
  <c r="G16" i="37"/>
  <c r="H87" i="37"/>
  <c r="I87" i="37" s="1"/>
  <c r="F87" i="37"/>
  <c r="D87" i="37"/>
  <c r="E87" i="37" s="1"/>
  <c r="G87" i="37"/>
  <c r="G62" i="37"/>
  <c r="F62" i="37"/>
  <c r="D62" i="37"/>
  <c r="H62" i="37"/>
  <c r="I62" i="37" s="1"/>
  <c r="G19" i="37"/>
  <c r="F19" i="37"/>
  <c r="D19" i="37"/>
  <c r="E19" i="37" s="1"/>
  <c r="H19" i="37"/>
  <c r="M120" i="43" l="1"/>
  <c r="M32" i="43" s="1"/>
  <c r="M10" i="43" s="1"/>
  <c r="M148" i="43" s="1"/>
  <c r="M6" i="43" s="1"/>
  <c r="J10" i="43"/>
  <c r="J148" i="43" s="1"/>
  <c r="J6" i="43" s="1"/>
  <c r="M26" i="46"/>
  <c r="M122" i="46" s="1"/>
  <c r="M121" i="46" s="1"/>
  <c r="M6" i="46" s="1"/>
  <c r="I9" i="43"/>
  <c r="T103" i="46"/>
  <c r="L26" i="46"/>
  <c r="L114" i="46" s="1"/>
  <c r="Q116" i="43"/>
  <c r="H120" i="43"/>
  <c r="H32" i="43" s="1"/>
  <c r="I140" i="43"/>
  <c r="I142" i="43" s="1"/>
  <c r="I13" i="43" s="1"/>
  <c r="J128" i="46"/>
  <c r="J114" i="46"/>
  <c r="J130" i="46"/>
  <c r="J124" i="46"/>
  <c r="J129" i="46" s="1"/>
  <c r="J133" i="46"/>
  <c r="J131" i="46"/>
  <c r="J15" i="46" s="1"/>
  <c r="J119" i="46"/>
  <c r="J118" i="46" s="1"/>
  <c r="J132" i="46"/>
  <c r="J122" i="46"/>
  <c r="J121" i="46" s="1"/>
  <c r="J6" i="46" s="1"/>
  <c r="L148" i="43"/>
  <c r="L6" i="43" s="1"/>
  <c r="K142" i="43"/>
  <c r="K13" i="43" s="1"/>
  <c r="K140" i="43"/>
  <c r="H140" i="43"/>
  <c r="H142" i="43"/>
  <c r="H13" i="43" s="1"/>
  <c r="L128" i="46"/>
  <c r="L133" i="46"/>
  <c r="L131" i="46"/>
  <c r="L15" i="46" s="1"/>
  <c r="L122" i="46"/>
  <c r="L121" i="46" s="1"/>
  <c r="L6" i="46" s="1"/>
  <c r="L119" i="46"/>
  <c r="L118" i="46" s="1"/>
  <c r="L130" i="46"/>
  <c r="L124" i="46"/>
  <c r="L129" i="46" s="1"/>
  <c r="J133" i="43"/>
  <c r="J132" i="43" s="1"/>
  <c r="J12" i="43" s="1"/>
  <c r="J134" i="43"/>
  <c r="J128" i="43"/>
  <c r="J65" i="43"/>
  <c r="J145" i="43" s="1"/>
  <c r="J14" i="43" s="1"/>
  <c r="J129" i="43"/>
  <c r="J5" i="43" s="1"/>
  <c r="J127" i="43"/>
  <c r="J126" i="43" s="1"/>
  <c r="L140" i="43"/>
  <c r="L142" i="43" s="1"/>
  <c r="L13" i="43" s="1"/>
  <c r="I132" i="46"/>
  <c r="I124" i="46"/>
  <c r="I129" i="46" s="1"/>
  <c r="I131" i="46"/>
  <c r="I15" i="46" s="1"/>
  <c r="I133" i="46"/>
  <c r="I119" i="46"/>
  <c r="I118" i="46" s="1"/>
  <c r="I122" i="46"/>
  <c r="I121" i="46" s="1"/>
  <c r="I6" i="46" s="1"/>
  <c r="I130" i="46"/>
  <c r="I114" i="46"/>
  <c r="I128" i="46"/>
  <c r="I134" i="43"/>
  <c r="I127" i="43"/>
  <c r="I128" i="43"/>
  <c r="I129" i="43"/>
  <c r="I65" i="43"/>
  <c r="I145" i="43" s="1"/>
  <c r="I14" i="43" s="1"/>
  <c r="I133" i="43"/>
  <c r="I132" i="43" s="1"/>
  <c r="T102" i="46"/>
  <c r="H26" i="46"/>
  <c r="J142" i="43"/>
  <c r="J13" i="43" s="1"/>
  <c r="J140" i="43"/>
  <c r="K119" i="46"/>
  <c r="K118" i="46" s="1"/>
  <c r="K130" i="46"/>
  <c r="K133" i="46"/>
  <c r="K5" i="46" s="1"/>
  <c r="K131" i="46"/>
  <c r="K15" i="46" s="1"/>
  <c r="K132" i="46"/>
  <c r="K114" i="46"/>
  <c r="K128" i="46"/>
  <c r="K124" i="46"/>
  <c r="K129" i="46" s="1"/>
  <c r="K122" i="46"/>
  <c r="K121" i="46" s="1"/>
  <c r="K6" i="46" s="1"/>
  <c r="K133" i="43"/>
  <c r="K132" i="43" s="1"/>
  <c r="K12" i="43" s="1"/>
  <c r="K134" i="43"/>
  <c r="K128" i="43"/>
  <c r="K129" i="43"/>
  <c r="K65" i="43"/>
  <c r="K145" i="43" s="1"/>
  <c r="K14" i="43" s="1"/>
  <c r="K127" i="43"/>
  <c r="L133" i="43"/>
  <c r="L132" i="43" s="1"/>
  <c r="L134" i="43"/>
  <c r="L129" i="43"/>
  <c r="L128" i="43"/>
  <c r="L127" i="43"/>
  <c r="L65" i="43"/>
  <c r="L145" i="43" s="1"/>
  <c r="L14" i="43" s="1"/>
  <c r="E7" i="28"/>
  <c r="H8" i="5"/>
  <c r="H9" i="5"/>
  <c r="J7" i="28"/>
  <c r="K9" i="5"/>
  <c r="H7" i="28"/>
  <c r="G30" i="41" s="1"/>
  <c r="K8" i="5"/>
  <c r="L9" i="5"/>
  <c r="I7" i="28"/>
  <c r="H30" i="41" s="1"/>
  <c r="L8" i="5"/>
  <c r="L4" i="1"/>
  <c r="K103" i="5"/>
  <c r="K18" i="5" s="1"/>
  <c r="F83" i="23" s="1"/>
  <c r="H103" i="5"/>
  <c r="H18" i="5" s="1"/>
  <c r="C83" i="23" s="1"/>
  <c r="M103" i="5"/>
  <c r="M18" i="5" s="1"/>
  <c r="H83" i="23" s="1"/>
  <c r="I103" i="5"/>
  <c r="I18" i="5" s="1"/>
  <c r="D83" i="23" s="1"/>
  <c r="J103" i="5"/>
  <c r="J18" i="5" s="1"/>
  <c r="E83" i="23" s="1"/>
  <c r="M465" i="13"/>
  <c r="V341" i="13"/>
  <c r="AF28" i="38"/>
  <c r="AC11" i="38" s="1"/>
  <c r="H148" i="6"/>
  <c r="J148" i="6"/>
  <c r="L148" i="6"/>
  <c r="M148" i="6"/>
  <c r="K148" i="6"/>
  <c r="I148" i="6"/>
  <c r="K119" i="18"/>
  <c r="J308" i="13"/>
  <c r="G12" i="26"/>
  <c r="F55" i="41" s="1"/>
  <c r="I160" i="6"/>
  <c r="K154" i="6"/>
  <c r="J430" i="13"/>
  <c r="J11" i="13" s="1"/>
  <c r="E26" i="23" s="1"/>
  <c r="J160" i="6"/>
  <c r="H153" i="6"/>
  <c r="H159" i="6"/>
  <c r="K160" i="6"/>
  <c r="J153" i="6"/>
  <c r="J159" i="6"/>
  <c r="K153" i="6"/>
  <c r="K159" i="6"/>
  <c r="L154" i="6"/>
  <c r="J118" i="18"/>
  <c r="H119" i="18"/>
  <c r="L118" i="18"/>
  <c r="H160" i="6"/>
  <c r="I159" i="6"/>
  <c r="I153" i="6"/>
  <c r="J154" i="6"/>
  <c r="L160" i="6"/>
  <c r="L159" i="6"/>
  <c r="L153" i="6"/>
  <c r="H154" i="6"/>
  <c r="I154" i="6"/>
  <c r="M430" i="13"/>
  <c r="M11" i="13" s="1"/>
  <c r="H26" i="23" s="1"/>
  <c r="V425" i="13"/>
  <c r="J172" i="6"/>
  <c r="M154" i="6"/>
  <c r="M160" i="6"/>
  <c r="M153" i="6"/>
  <c r="M159" i="6"/>
  <c r="M118" i="18"/>
  <c r="L115" i="18"/>
  <c r="K115" i="18"/>
  <c r="H115" i="18"/>
  <c r="I115" i="18"/>
  <c r="J115" i="18"/>
  <c r="H118" i="18"/>
  <c r="L119" i="18"/>
  <c r="M115" i="18"/>
  <c r="K118" i="18"/>
  <c r="J119" i="18"/>
  <c r="R95" i="18"/>
  <c r="V431" i="13"/>
  <c r="M119" i="18"/>
  <c r="V161" i="13"/>
  <c r="L98" i="5"/>
  <c r="L99" i="5" s="1"/>
  <c r="M311" i="13"/>
  <c r="I118" i="18"/>
  <c r="J301" i="13"/>
  <c r="J376" i="13" s="1"/>
  <c r="L18" i="5"/>
  <c r="G83" i="23" s="1"/>
  <c r="K14" i="5"/>
  <c r="F78" i="23" s="1"/>
  <c r="L53" i="5"/>
  <c r="L94" i="5" s="1"/>
  <c r="L95" i="5" s="1"/>
  <c r="V335" i="13"/>
  <c r="I119" i="18"/>
  <c r="I12" i="28"/>
  <c r="H57" i="41" s="1"/>
  <c r="H45" i="41" s="1"/>
  <c r="V331" i="13"/>
  <c r="K92" i="5"/>
  <c r="K93" i="5" s="1"/>
  <c r="V351" i="13"/>
  <c r="V325" i="13"/>
  <c r="I455" i="13"/>
  <c r="I540" i="13" s="1"/>
  <c r="I457" i="13"/>
  <c r="I458" i="13"/>
  <c r="Q95" i="18"/>
  <c r="V472" i="13"/>
  <c r="I453" i="13"/>
  <c r="I454" i="13"/>
  <c r="V323" i="13"/>
  <c r="V333" i="13"/>
  <c r="I305" i="13"/>
  <c r="I367" i="13" s="1"/>
  <c r="L308" i="13"/>
  <c r="V329" i="13"/>
  <c r="I459" i="13"/>
  <c r="K142" i="6"/>
  <c r="I357" i="13"/>
  <c r="M142" i="6"/>
  <c r="H307" i="13"/>
  <c r="H308" i="13"/>
  <c r="V338" i="13"/>
  <c r="V436" i="13"/>
  <c r="I311" i="13"/>
  <c r="V349" i="13"/>
  <c r="K311" i="13"/>
  <c r="I142" i="6"/>
  <c r="J142" i="6"/>
  <c r="H142" i="6"/>
  <c r="H301" i="13"/>
  <c r="H376" i="13" s="1"/>
  <c r="K430" i="13"/>
  <c r="K11" i="13" s="1"/>
  <c r="F26" i="23" s="1"/>
  <c r="L310" i="13"/>
  <c r="J355" i="13"/>
  <c r="V344" i="13"/>
  <c r="L311" i="13"/>
  <c r="M355" i="13"/>
  <c r="V343" i="13"/>
  <c r="J418" i="13"/>
  <c r="J10" i="13" s="1"/>
  <c r="E25" i="23" s="1"/>
  <c r="L142" i="6"/>
  <c r="J307" i="13"/>
  <c r="I309" i="13"/>
  <c r="M310" i="13"/>
  <c r="J12" i="13"/>
  <c r="E27" i="23" s="1"/>
  <c r="G14" i="26"/>
  <c r="K12" i="13"/>
  <c r="F27" i="23" s="1"/>
  <c r="M308" i="13"/>
  <c r="H305" i="13"/>
  <c r="H367" i="13" s="1"/>
  <c r="H300" i="13"/>
  <c r="H362" i="13" s="1"/>
  <c r="I312" i="13"/>
  <c r="L300" i="13"/>
  <c r="L318" i="13" s="1"/>
  <c r="L375" i="13" s="1"/>
  <c r="H355" i="13"/>
  <c r="K308" i="13"/>
  <c r="L357" i="13"/>
  <c r="L312" i="13"/>
  <c r="I355" i="13"/>
  <c r="K304" i="13"/>
  <c r="K366" i="13" s="1"/>
  <c r="I304" i="13"/>
  <c r="I366" i="13" s="1"/>
  <c r="J300" i="13"/>
  <c r="J316" i="13" s="1"/>
  <c r="J373" i="13" s="1"/>
  <c r="V416" i="13"/>
  <c r="M418" i="13"/>
  <c r="M10" i="13" s="1"/>
  <c r="H25" i="23" s="1"/>
  <c r="H304" i="13"/>
  <c r="H366" i="13" s="1"/>
  <c r="V350" i="13"/>
  <c r="V339" i="13"/>
  <c r="K310" i="13"/>
  <c r="M312" i="13"/>
  <c r="H311" i="13"/>
  <c r="V326" i="13"/>
  <c r="AA462" i="13"/>
  <c r="AC462" i="13" s="1"/>
  <c r="AF462" i="13" s="1"/>
  <c r="K305" i="13"/>
  <c r="K380" i="13" s="1"/>
  <c r="L304" i="13"/>
  <c r="L379" i="13" s="1"/>
  <c r="J311" i="13"/>
  <c r="L303" i="13"/>
  <c r="L378" i="13" s="1"/>
  <c r="L356" i="13"/>
  <c r="I300" i="13"/>
  <c r="I314" i="13" s="1"/>
  <c r="J305" i="13"/>
  <c r="J380" i="13" s="1"/>
  <c r="L355" i="13"/>
  <c r="I301" i="13"/>
  <c r="I376" i="13" s="1"/>
  <c r="I307" i="13"/>
  <c r="J312" i="13"/>
  <c r="H309" i="13"/>
  <c r="M304" i="13"/>
  <c r="M379" i="13" s="1"/>
  <c r="H430" i="13"/>
  <c r="H312" i="13"/>
  <c r="K301" i="13"/>
  <c r="K376" i="13" s="1"/>
  <c r="I541" i="13"/>
  <c r="I308" i="13"/>
  <c r="K312" i="13"/>
  <c r="K454" i="13"/>
  <c r="K458" i="13"/>
  <c r="K456" i="13"/>
  <c r="K549" i="13" s="1"/>
  <c r="K566" i="13" s="1"/>
  <c r="H90" i="26" s="1"/>
  <c r="K460" i="13"/>
  <c r="K453" i="13"/>
  <c r="K457" i="13"/>
  <c r="K455" i="13"/>
  <c r="K540" i="13" s="1"/>
  <c r="K459" i="13"/>
  <c r="M454" i="13"/>
  <c r="V454" i="13" s="1"/>
  <c r="M459" i="13"/>
  <c r="V459" i="13" s="1"/>
  <c r="M455" i="13"/>
  <c r="M540" i="13" s="1"/>
  <c r="M457" i="13"/>
  <c r="V457" i="13" s="1"/>
  <c r="M453" i="13"/>
  <c r="V453" i="13" s="1"/>
  <c r="M460" i="13"/>
  <c r="V460" i="13" s="1"/>
  <c r="M458" i="13"/>
  <c r="V458" i="13" s="1"/>
  <c r="M456" i="13"/>
  <c r="M549" i="13" s="1"/>
  <c r="M566" i="13" s="1"/>
  <c r="J90" i="26" s="1"/>
  <c r="H541" i="13"/>
  <c r="H461" i="13"/>
  <c r="L453" i="13"/>
  <c r="L457" i="13"/>
  <c r="L455" i="13"/>
  <c r="L540" i="13" s="1"/>
  <c r="L459" i="13"/>
  <c r="L456" i="13"/>
  <c r="L549" i="13" s="1"/>
  <c r="L566" i="13" s="1"/>
  <c r="I90" i="26" s="1"/>
  <c r="L460" i="13"/>
  <c r="L454" i="13"/>
  <c r="L458" i="13"/>
  <c r="L305" i="13"/>
  <c r="L380" i="13" s="1"/>
  <c r="M307" i="13"/>
  <c r="V348" i="13"/>
  <c r="J356" i="13"/>
  <c r="J304" i="13"/>
  <c r="J366" i="13" s="1"/>
  <c r="K300" i="13"/>
  <c r="K316" i="13" s="1"/>
  <c r="K373" i="13" s="1"/>
  <c r="H357" i="13"/>
  <c r="K307" i="13"/>
  <c r="L307" i="13"/>
  <c r="L301" i="13"/>
  <c r="L363" i="13" s="1"/>
  <c r="M301" i="13"/>
  <c r="M376" i="13" s="1"/>
  <c r="M305" i="13"/>
  <c r="M367" i="13" s="1"/>
  <c r="M356" i="13"/>
  <c r="V347" i="13"/>
  <c r="V324" i="13"/>
  <c r="K30" i="38"/>
  <c r="G30" i="38" s="1"/>
  <c r="V342" i="13"/>
  <c r="V437" i="13"/>
  <c r="L418" i="13"/>
  <c r="L10" i="13" s="1"/>
  <c r="G25" i="23" s="1"/>
  <c r="H12" i="26"/>
  <c r="G55" i="41" s="1"/>
  <c r="V452" i="13"/>
  <c r="H549" i="13"/>
  <c r="H566" i="13" s="1"/>
  <c r="E90" i="26" s="1"/>
  <c r="J455" i="13"/>
  <c r="J540" i="13" s="1"/>
  <c r="J459" i="13"/>
  <c r="J456" i="13"/>
  <c r="J549" i="13" s="1"/>
  <c r="J566" i="13" s="1"/>
  <c r="G90" i="26" s="1"/>
  <c r="J460" i="13"/>
  <c r="J453" i="13"/>
  <c r="J457" i="13"/>
  <c r="J454" i="13"/>
  <c r="J458" i="13"/>
  <c r="M300" i="13"/>
  <c r="M316" i="13" s="1"/>
  <c r="M373" i="13" s="1"/>
  <c r="K355" i="13"/>
  <c r="J310" i="13"/>
  <c r="K309" i="13"/>
  <c r="H540" i="13"/>
  <c r="I12" i="13"/>
  <c r="D27" i="23" s="1"/>
  <c r="V427" i="13"/>
  <c r="H14" i="26"/>
  <c r="F12" i="26"/>
  <c r="E55" i="41" s="1"/>
  <c r="H12" i="13"/>
  <c r="C27" i="23" s="1"/>
  <c r="K29" i="38"/>
  <c r="H46" i="40" s="1"/>
  <c r="I430" i="13"/>
  <c r="I11" i="13" s="1"/>
  <c r="D26" i="23" s="1"/>
  <c r="E14" i="26"/>
  <c r="L430" i="13"/>
  <c r="L11" i="13" s="1"/>
  <c r="G26" i="23" s="1"/>
  <c r="M14" i="5"/>
  <c r="H78" i="23" s="1"/>
  <c r="Z12" i="38"/>
  <c r="AJ107" i="38" s="1"/>
  <c r="AP92" i="38" s="1"/>
  <c r="E12" i="26"/>
  <c r="D55" i="41" s="1"/>
  <c r="H29" i="28"/>
  <c r="M5" i="5"/>
  <c r="M12" i="13"/>
  <c r="H27" i="23" s="1"/>
  <c r="J14" i="26"/>
  <c r="AC12" i="38"/>
  <c r="AI110" i="38" s="1"/>
  <c r="AO91" i="38" s="1"/>
  <c r="I12" i="26"/>
  <c r="H55" i="41" s="1"/>
  <c r="M92" i="5"/>
  <c r="M93" i="5" s="1"/>
  <c r="M17" i="5" s="1"/>
  <c r="H82" i="23" s="1"/>
  <c r="H418" i="13"/>
  <c r="H10" i="13" s="1"/>
  <c r="C25" i="23" s="1"/>
  <c r="J12" i="26"/>
  <c r="J92" i="5"/>
  <c r="J93" i="5" s="1"/>
  <c r="K31" i="38"/>
  <c r="H48" i="40" s="1"/>
  <c r="V438" i="13"/>
  <c r="I14" i="26"/>
  <c r="L12" i="13"/>
  <c r="G27" i="23" s="1"/>
  <c r="AA39" i="38"/>
  <c r="AF11" i="38"/>
  <c r="V415" i="13"/>
  <c r="AB31" i="38"/>
  <c r="AG12" i="38" s="1"/>
  <c r="AF12" i="38"/>
  <c r="I94" i="5"/>
  <c r="I95" i="5" s="1"/>
  <c r="I5" i="5" s="1"/>
  <c r="H92" i="5"/>
  <c r="H93" i="5" s="1"/>
  <c r="H13" i="5" s="1"/>
  <c r="AC461" i="13"/>
  <c r="AF461" i="13" s="1"/>
  <c r="J4" i="1"/>
  <c r="J6" i="1" s="1"/>
  <c r="F8" i="28"/>
  <c r="N7" i="28" s="1"/>
  <c r="J8" i="1"/>
  <c r="M4" i="1"/>
  <c r="H16" i="23" s="1"/>
  <c r="H15" i="23" s="1"/>
  <c r="E29" i="28"/>
  <c r="E30" i="41"/>
  <c r="I6" i="1"/>
  <c r="D16" i="23"/>
  <c r="D15" i="23" s="1"/>
  <c r="F30" i="41"/>
  <c r="J34" i="19"/>
  <c r="J4" i="19" s="1"/>
  <c r="L34" i="19"/>
  <c r="L4" i="19" s="1"/>
  <c r="L6" i="1"/>
  <c r="G16" i="23"/>
  <c r="G15" i="23" s="1"/>
  <c r="G8" i="28"/>
  <c r="O7" i="28" s="1"/>
  <c r="J8" i="28"/>
  <c r="M303" i="13"/>
  <c r="M365" i="13" s="1"/>
  <c r="I356" i="13"/>
  <c r="J25" i="6"/>
  <c r="J122" i="6" s="1"/>
  <c r="J127" i="6" s="1"/>
  <c r="J357" i="13"/>
  <c r="K302" i="13"/>
  <c r="K364" i="13" s="1"/>
  <c r="K359" i="13"/>
  <c r="L309" i="13"/>
  <c r="L25" i="6"/>
  <c r="L117" i="6" s="1"/>
  <c r="L116" i="6" s="1"/>
  <c r="L7" i="6" s="1"/>
  <c r="G62" i="23" s="1"/>
  <c r="K356" i="13"/>
  <c r="Q97" i="18"/>
  <c r="J309" i="13"/>
  <c r="M302" i="13"/>
  <c r="L302" i="13"/>
  <c r="I25" i="6"/>
  <c r="I117" i="6" s="1"/>
  <c r="I116" i="6" s="1"/>
  <c r="I116" i="18"/>
  <c r="T101" i="6"/>
  <c r="H76" i="38" s="1"/>
  <c r="K76" i="38" s="1"/>
  <c r="J302" i="13"/>
  <c r="J359" i="13"/>
  <c r="E17" i="35" s="1"/>
  <c r="E21" i="35" s="1"/>
  <c r="E27" i="35" s="1"/>
  <c r="L359" i="13"/>
  <c r="M34" i="19"/>
  <c r="H34" i="19"/>
  <c r="H4" i="19" s="1"/>
  <c r="C37" i="23" s="1"/>
  <c r="V330" i="13"/>
  <c r="H356" i="13"/>
  <c r="H359" i="13"/>
  <c r="H116" i="18"/>
  <c r="K117" i="18"/>
  <c r="I303" i="13"/>
  <c r="I310" i="13"/>
  <c r="M309" i="13"/>
  <c r="J140" i="18"/>
  <c r="J142" i="18" s="1"/>
  <c r="M116" i="18"/>
  <c r="R96" i="18"/>
  <c r="I302" i="13"/>
  <c r="M359" i="13"/>
  <c r="H17" i="35" s="1"/>
  <c r="H22" i="35" s="1"/>
  <c r="H28" i="35" s="1"/>
  <c r="H302" i="13"/>
  <c r="I117" i="18"/>
  <c r="L117" i="18"/>
  <c r="K303" i="13"/>
  <c r="M140" i="18"/>
  <c r="M142" i="18" s="1"/>
  <c r="M13" i="18" s="1"/>
  <c r="H54" i="23" s="1"/>
  <c r="M25" i="6"/>
  <c r="J117" i="18"/>
  <c r="Q96" i="18"/>
  <c r="H310" i="13"/>
  <c r="H303" i="13"/>
  <c r="K25" i="6"/>
  <c r="V337" i="13"/>
  <c r="L116" i="18"/>
  <c r="K116" i="18"/>
  <c r="M357" i="13"/>
  <c r="V336" i="13"/>
  <c r="I359" i="13"/>
  <c r="D17" i="35" s="1"/>
  <c r="D22" i="35" s="1"/>
  <c r="D28" i="35" s="1"/>
  <c r="I518" i="13" s="1"/>
  <c r="K357" i="13"/>
  <c r="R97" i="18"/>
  <c r="J116" i="18"/>
  <c r="H117" i="18"/>
  <c r="M117" i="18"/>
  <c r="T100" i="6"/>
  <c r="H75" i="38" s="1"/>
  <c r="H25" i="6"/>
  <c r="J303" i="13"/>
  <c r="M45" i="19"/>
  <c r="M5" i="19" s="1"/>
  <c r="H38" i="23" s="1"/>
  <c r="J45" i="19"/>
  <c r="J12" i="1" s="1"/>
  <c r="F57" i="41"/>
  <c r="F45" i="41" s="1"/>
  <c r="O12" i="28"/>
  <c r="L5" i="19"/>
  <c r="G38" i="23" s="1"/>
  <c r="I9" i="26"/>
  <c r="I34" i="19"/>
  <c r="K34" i="19"/>
  <c r="K4" i="19" s="1"/>
  <c r="I4" i="5"/>
  <c r="K45" i="19"/>
  <c r="K12" i="1" s="1"/>
  <c r="J14" i="5"/>
  <c r="E78" i="23" s="1"/>
  <c r="J5" i="5"/>
  <c r="G29" i="28"/>
  <c r="H14" i="5"/>
  <c r="C78" i="23" s="1"/>
  <c r="H5" i="5"/>
  <c r="I45" i="19"/>
  <c r="I12" i="1" s="1"/>
  <c r="H45" i="19"/>
  <c r="H12" i="1" s="1"/>
  <c r="Z11" i="38"/>
  <c r="AA38" i="38"/>
  <c r="V408" i="13"/>
  <c r="K18" i="38"/>
  <c r="V409" i="13"/>
  <c r="E62" i="37"/>
  <c r="M9" i="43" l="1"/>
  <c r="M33" i="43"/>
  <c r="M134" i="43" s="1"/>
  <c r="M132" i="46"/>
  <c r="M124" i="46"/>
  <c r="M129" i="46" s="1"/>
  <c r="M119" i="46"/>
  <c r="M118" i="46" s="1"/>
  <c r="M14" i="46" s="1"/>
  <c r="M114" i="46"/>
  <c r="M115" i="46" s="1"/>
  <c r="M128" i="46"/>
  <c r="M130" i="46"/>
  <c r="M133" i="46"/>
  <c r="M131" i="46"/>
  <c r="M15" i="46" s="1"/>
  <c r="I5" i="43"/>
  <c r="I18" i="46"/>
  <c r="L126" i="43"/>
  <c r="L4" i="43" s="1"/>
  <c r="I5" i="46"/>
  <c r="L132" i="46"/>
  <c r="J5" i="46"/>
  <c r="K5" i="43"/>
  <c r="F17" i="35"/>
  <c r="F22" i="35" s="1"/>
  <c r="F28" i="35" s="1"/>
  <c r="K115" i="46"/>
  <c r="K116" i="46"/>
  <c r="H124" i="46"/>
  <c r="H129" i="46" s="1"/>
  <c r="H114" i="46"/>
  <c r="H122" i="46"/>
  <c r="H121" i="46" s="1"/>
  <c r="H6" i="46" s="1"/>
  <c r="H119" i="46"/>
  <c r="H132" i="46"/>
  <c r="H130" i="46"/>
  <c r="H128" i="46"/>
  <c r="H131" i="46"/>
  <c r="H15" i="46" s="1"/>
  <c r="H133" i="46"/>
  <c r="H5" i="46" s="1"/>
  <c r="L18" i="46"/>
  <c r="L11" i="43"/>
  <c r="L12" i="43"/>
  <c r="K7" i="46"/>
  <c r="K14" i="46"/>
  <c r="I116" i="46"/>
  <c r="I115" i="46"/>
  <c r="J14" i="46"/>
  <c r="J7" i="46"/>
  <c r="K126" i="43"/>
  <c r="I12" i="43"/>
  <c r="I126" i="43"/>
  <c r="M128" i="43"/>
  <c r="L115" i="46"/>
  <c r="L116" i="46"/>
  <c r="J116" i="46"/>
  <c r="J115" i="46"/>
  <c r="H9" i="43"/>
  <c r="H10" i="43"/>
  <c r="H148" i="43" s="1"/>
  <c r="H6" i="43" s="1"/>
  <c r="Q6" i="43" s="1"/>
  <c r="H33" i="43"/>
  <c r="I14" i="46"/>
  <c r="I7" i="46"/>
  <c r="L5" i="43"/>
  <c r="K18" i="46"/>
  <c r="J4" i="43"/>
  <c r="J7" i="43" s="1"/>
  <c r="J11" i="43"/>
  <c r="J15" i="43" s="1"/>
  <c r="L14" i="46"/>
  <c r="L7" i="46"/>
  <c r="L5" i="46"/>
  <c r="J18" i="46"/>
  <c r="M43" i="46"/>
  <c r="H80" i="23"/>
  <c r="F28" i="28"/>
  <c r="I13" i="5"/>
  <c r="D77" i="23" s="1"/>
  <c r="G73" i="23"/>
  <c r="G72" i="23" s="1"/>
  <c r="I8" i="28"/>
  <c r="C73" i="23"/>
  <c r="C72" i="23" s="1"/>
  <c r="E8" i="28"/>
  <c r="M7" i="28" s="1"/>
  <c r="K13" i="5"/>
  <c r="F77" i="23" s="1"/>
  <c r="F76" i="23" s="1"/>
  <c r="F10" i="23" s="1"/>
  <c r="G7" i="41" s="1"/>
  <c r="J13" i="5"/>
  <c r="E16" i="23"/>
  <c r="E15" i="23" s="1"/>
  <c r="F73" i="23"/>
  <c r="F72" i="23" s="1"/>
  <c r="H8" i="28"/>
  <c r="D30" i="41"/>
  <c r="H559" i="13"/>
  <c r="E83" i="26" s="1"/>
  <c r="M149" i="6"/>
  <c r="M8" i="6" s="1"/>
  <c r="L149" i="6"/>
  <c r="L8" i="6" s="1"/>
  <c r="I149" i="6"/>
  <c r="I8" i="6" s="1"/>
  <c r="H149" i="6"/>
  <c r="H8" i="6" s="1"/>
  <c r="K149" i="6"/>
  <c r="K8" i="6" s="1"/>
  <c r="J149" i="6"/>
  <c r="J8" i="6" s="1"/>
  <c r="M317" i="13"/>
  <c r="M374" i="13" s="1"/>
  <c r="L14" i="5"/>
  <c r="G78" i="23" s="1"/>
  <c r="O12" i="26"/>
  <c r="I379" i="13"/>
  <c r="V310" i="13"/>
  <c r="Q118" i="18"/>
  <c r="H61" i="38" s="1"/>
  <c r="K61" i="38" s="1"/>
  <c r="L5" i="5"/>
  <c r="M163" i="6"/>
  <c r="H112" i="40" s="1"/>
  <c r="K4" i="5"/>
  <c r="K6" i="5" s="1"/>
  <c r="V430" i="13"/>
  <c r="M162" i="6"/>
  <c r="H111" i="40" s="1"/>
  <c r="I371" i="13"/>
  <c r="M380" i="13"/>
  <c r="Q115" i="18"/>
  <c r="H58" i="38" s="1"/>
  <c r="I58" i="38" s="1"/>
  <c r="J169" i="6"/>
  <c r="M156" i="6"/>
  <c r="J111" i="40" s="1"/>
  <c r="M157" i="6"/>
  <c r="L12" i="6"/>
  <c r="H96" i="41" s="1"/>
  <c r="M12" i="6"/>
  <c r="M12" i="46" s="1"/>
  <c r="K17" i="5"/>
  <c r="F82" i="23" s="1"/>
  <c r="F80" i="23" s="1"/>
  <c r="L92" i="5"/>
  <c r="L93" i="5" s="1"/>
  <c r="I28" i="28" s="1"/>
  <c r="S95" i="18"/>
  <c r="H53" i="38" s="1"/>
  <c r="K53" i="38" s="1"/>
  <c r="I363" i="13"/>
  <c r="M363" i="13"/>
  <c r="M366" i="13"/>
  <c r="V366" i="13" s="1"/>
  <c r="I29" i="28"/>
  <c r="V304" i="13"/>
  <c r="V311" i="13"/>
  <c r="I316" i="13"/>
  <c r="L315" i="13"/>
  <c r="L385" i="13" s="1"/>
  <c r="I40" i="26" s="1"/>
  <c r="L317" i="13"/>
  <c r="L374" i="13" s="1"/>
  <c r="J363" i="13"/>
  <c r="I317" i="13"/>
  <c r="I374" i="13" s="1"/>
  <c r="J362" i="13"/>
  <c r="J317" i="13"/>
  <c r="J374" i="13" s="1"/>
  <c r="I380" i="13"/>
  <c r="I318" i="13"/>
  <c r="I375" i="13" s="1"/>
  <c r="K367" i="13"/>
  <c r="H28" i="28"/>
  <c r="V312" i="13"/>
  <c r="V367" i="13"/>
  <c r="H11" i="13"/>
  <c r="C26" i="23" s="1"/>
  <c r="H363" i="13"/>
  <c r="H379" i="13"/>
  <c r="V379" i="13" s="1"/>
  <c r="I315" i="13"/>
  <c r="I372" i="13" s="1"/>
  <c r="V376" i="13"/>
  <c r="L358" i="13"/>
  <c r="I461" i="13"/>
  <c r="F54" i="26" s="1"/>
  <c r="M314" i="13"/>
  <c r="V307" i="13"/>
  <c r="H317" i="13"/>
  <c r="H374" i="13" s="1"/>
  <c r="AA104" i="38"/>
  <c r="K379" i="13"/>
  <c r="I559" i="13"/>
  <c r="F83" i="26" s="1"/>
  <c r="H380" i="13"/>
  <c r="AH110" i="38"/>
  <c r="AN91" i="38" s="1"/>
  <c r="M4" i="5"/>
  <c r="M6" i="5" s="1"/>
  <c r="I31" i="38"/>
  <c r="G31" i="38"/>
  <c r="J17" i="5"/>
  <c r="J15" i="5" s="1"/>
  <c r="H314" i="13"/>
  <c r="V314" i="13" s="1"/>
  <c r="V308" i="13"/>
  <c r="F9" i="26"/>
  <c r="H316" i="13"/>
  <c r="H373" i="13" s="1"/>
  <c r="V373" i="13" s="1"/>
  <c r="V300" i="13"/>
  <c r="L365" i="13"/>
  <c r="L376" i="13"/>
  <c r="AA103" i="38"/>
  <c r="V355" i="13"/>
  <c r="K317" i="13"/>
  <c r="K374" i="13" s="1"/>
  <c r="AI107" i="38"/>
  <c r="AO92" i="38" s="1"/>
  <c r="J46" i="40" s="1"/>
  <c r="H315" i="13"/>
  <c r="D314" i="13" s="1"/>
  <c r="H318" i="13"/>
  <c r="H375" i="13" s="1"/>
  <c r="L26" i="40"/>
  <c r="H47" i="40"/>
  <c r="J314" i="13"/>
  <c r="I362" i="13"/>
  <c r="J315" i="13"/>
  <c r="J384" i="13" s="1"/>
  <c r="J367" i="13"/>
  <c r="L362" i="13"/>
  <c r="I30" i="38"/>
  <c r="V305" i="13"/>
  <c r="V455" i="13"/>
  <c r="J318" i="13"/>
  <c r="J375" i="13" s="1"/>
  <c r="J358" i="13"/>
  <c r="L366" i="13"/>
  <c r="L316" i="13"/>
  <c r="L373" i="13" s="1"/>
  <c r="I358" i="13"/>
  <c r="L314" i="13"/>
  <c r="M362" i="13"/>
  <c r="V362" i="13" s="1"/>
  <c r="M315" i="13"/>
  <c r="M372" i="13" s="1"/>
  <c r="AH107" i="38"/>
  <c r="AN92" i="38" s="1"/>
  <c r="L367" i="13"/>
  <c r="V309" i="13"/>
  <c r="J379" i="13"/>
  <c r="K363" i="13"/>
  <c r="AE462" i="13"/>
  <c r="V456" i="13"/>
  <c r="E54" i="26"/>
  <c r="M318" i="13"/>
  <c r="M375" i="13" s="1"/>
  <c r="V301" i="13"/>
  <c r="V357" i="13"/>
  <c r="K362" i="13"/>
  <c r="K315" i="13"/>
  <c r="K384" i="13" s="1"/>
  <c r="K318" i="13"/>
  <c r="K375" i="13" s="1"/>
  <c r="M541" i="13"/>
  <c r="M559" i="13" s="1"/>
  <c r="J83" i="26" s="1"/>
  <c r="M461" i="13"/>
  <c r="J54" i="26" s="1"/>
  <c r="K461" i="13"/>
  <c r="H54" i="26" s="1"/>
  <c r="K541" i="13"/>
  <c r="K559" i="13" s="1"/>
  <c r="H83" i="26" s="1"/>
  <c r="K314" i="13"/>
  <c r="J541" i="13"/>
  <c r="J559" i="13" s="1"/>
  <c r="G83" i="26" s="1"/>
  <c r="J461" i="13"/>
  <c r="G54" i="26" s="1"/>
  <c r="L541" i="13"/>
  <c r="L559" i="13" s="1"/>
  <c r="I83" i="26" s="1"/>
  <c r="L461" i="13"/>
  <c r="I54" i="26" s="1"/>
  <c r="N12" i="26"/>
  <c r="I29" i="38"/>
  <c r="G29" i="38"/>
  <c r="M12" i="26"/>
  <c r="H17" i="5"/>
  <c r="H19" i="5" s="1"/>
  <c r="V12" i="13"/>
  <c r="M15" i="5"/>
  <c r="G28" i="28"/>
  <c r="AJ110" i="38"/>
  <c r="AP91" i="38" s="1"/>
  <c r="M13" i="5"/>
  <c r="J4" i="5"/>
  <c r="J6" i="5" s="1"/>
  <c r="J28" i="28"/>
  <c r="I17" i="5"/>
  <c r="D82" i="23" s="1"/>
  <c r="D80" i="23" s="1"/>
  <c r="I14" i="5"/>
  <c r="D78" i="23" s="1"/>
  <c r="V418" i="13"/>
  <c r="F29" i="28"/>
  <c r="I120" i="18"/>
  <c r="I32" i="18" s="1"/>
  <c r="I10" i="18" s="1"/>
  <c r="E28" i="28"/>
  <c r="H4" i="5"/>
  <c r="H6" i="5" s="1"/>
  <c r="I8" i="26"/>
  <c r="AA105" i="38"/>
  <c r="AJ113" i="38"/>
  <c r="AP90" i="38" s="1"/>
  <c r="AH113" i="38"/>
  <c r="AN90" i="38" s="1"/>
  <c r="AI113" i="38"/>
  <c r="AO90" i="38" s="1"/>
  <c r="I112" i="6"/>
  <c r="I113" i="6" s="1"/>
  <c r="J120" i="18"/>
  <c r="J32" i="18" s="1"/>
  <c r="J9" i="18" s="1"/>
  <c r="F97" i="41" s="1"/>
  <c r="M120" i="18"/>
  <c r="M32" i="18" s="1"/>
  <c r="J26" i="40"/>
  <c r="AE461" i="13"/>
  <c r="J129" i="6"/>
  <c r="J14" i="6" s="1"/>
  <c r="E66" i="23" s="1"/>
  <c r="J130" i="6"/>
  <c r="J131" i="6"/>
  <c r="J117" i="6"/>
  <c r="J116" i="6" s="1"/>
  <c r="J7" i="6" s="1"/>
  <c r="E62" i="23" s="1"/>
  <c r="J112" i="6"/>
  <c r="J114" i="6" s="1"/>
  <c r="M6" i="1"/>
  <c r="G8" i="26"/>
  <c r="E8" i="26"/>
  <c r="I7" i="26"/>
  <c r="H28" i="41" s="1"/>
  <c r="M28" i="13"/>
  <c r="M180" i="13" s="1"/>
  <c r="M378" i="13"/>
  <c r="I28" i="13"/>
  <c r="I180" i="13" s="1"/>
  <c r="H5" i="19"/>
  <c r="C38" i="23" s="1"/>
  <c r="C36" i="23" s="1"/>
  <c r="AC75" i="38"/>
  <c r="J128" i="6"/>
  <c r="J126" i="6"/>
  <c r="I5" i="19"/>
  <c r="D38" i="23" s="1"/>
  <c r="S97" i="18"/>
  <c r="H55" i="38" s="1"/>
  <c r="I55" i="38" s="1"/>
  <c r="J120" i="6"/>
  <c r="J119" i="6" s="1"/>
  <c r="J6" i="6" s="1"/>
  <c r="M358" i="13"/>
  <c r="I122" i="6"/>
  <c r="I127" i="6" s="1"/>
  <c r="H120" i="18"/>
  <c r="H32" i="18" s="1"/>
  <c r="H80" i="38"/>
  <c r="J105" i="40" s="1"/>
  <c r="I178" i="13"/>
  <c r="I388" i="13" s="1"/>
  <c r="E27" i="25"/>
  <c r="K377" i="13"/>
  <c r="K120" i="18"/>
  <c r="K32" i="18" s="1"/>
  <c r="K10" i="18" s="1"/>
  <c r="K28" i="13"/>
  <c r="K29" i="13" s="1"/>
  <c r="J28" i="13"/>
  <c r="J29" i="13" s="1"/>
  <c r="E36" i="24"/>
  <c r="L131" i="6"/>
  <c r="L129" i="6"/>
  <c r="L14" i="6" s="1"/>
  <c r="G66" i="23" s="1"/>
  <c r="L120" i="6"/>
  <c r="L119" i="6" s="1"/>
  <c r="L6" i="6" s="1"/>
  <c r="H20" i="35"/>
  <c r="H26" i="35" s="1"/>
  <c r="M492" i="13" s="1"/>
  <c r="E27" i="28"/>
  <c r="K358" i="13"/>
  <c r="L122" i="6"/>
  <c r="L127" i="6" s="1"/>
  <c r="L126" i="6"/>
  <c r="I130" i="6"/>
  <c r="I120" i="6"/>
  <c r="I119" i="6" s="1"/>
  <c r="I6" i="6" s="1"/>
  <c r="L112" i="6"/>
  <c r="L113" i="6" s="1"/>
  <c r="L364" i="13"/>
  <c r="L377" i="13"/>
  <c r="I529" i="13"/>
  <c r="L13" i="6"/>
  <c r="G65" i="23" s="1"/>
  <c r="L128" i="6"/>
  <c r="I129" i="6"/>
  <c r="I14" i="6" s="1"/>
  <c r="D66" i="23" s="1"/>
  <c r="I126" i="6"/>
  <c r="L130" i="6"/>
  <c r="M364" i="13"/>
  <c r="M377" i="13"/>
  <c r="F20" i="35"/>
  <c r="F26" i="35" s="1"/>
  <c r="AL121" i="38"/>
  <c r="AR105" i="38" s="1"/>
  <c r="F23" i="35"/>
  <c r="I131" i="6"/>
  <c r="I128" i="6"/>
  <c r="J377" i="13"/>
  <c r="J364" i="13"/>
  <c r="L28" i="13"/>
  <c r="I524" i="13"/>
  <c r="I519" i="13"/>
  <c r="I531" i="13"/>
  <c r="I286" i="13"/>
  <c r="H129" i="6"/>
  <c r="H14" i="6" s="1"/>
  <c r="C66" i="23" s="1"/>
  <c r="H117" i="6"/>
  <c r="H120" i="6"/>
  <c r="H119" i="6" s="1"/>
  <c r="H6" i="6" s="1"/>
  <c r="AA75" i="38"/>
  <c r="H128" i="6"/>
  <c r="H126" i="6"/>
  <c r="H122" i="6"/>
  <c r="H127" i="6" s="1"/>
  <c r="H130" i="6"/>
  <c r="H112" i="6"/>
  <c r="H131" i="6"/>
  <c r="D20" i="35"/>
  <c r="D26" i="35" s="1"/>
  <c r="D21" i="35"/>
  <c r="D27" i="35" s="1"/>
  <c r="D18" i="35"/>
  <c r="D24" i="35" s="1"/>
  <c r="D23" i="35"/>
  <c r="H377" i="13"/>
  <c r="H364" i="13"/>
  <c r="V302" i="13"/>
  <c r="H28" i="13"/>
  <c r="E20" i="35"/>
  <c r="E26" i="35" s="1"/>
  <c r="E18" i="35"/>
  <c r="E24" i="35" s="1"/>
  <c r="J480" i="13" s="1"/>
  <c r="E22" i="35"/>
  <c r="E28" i="35" s="1"/>
  <c r="J518" i="13" s="1"/>
  <c r="I522" i="13"/>
  <c r="E23" i="35"/>
  <c r="M130" i="6"/>
  <c r="M112" i="6"/>
  <c r="M126" i="6"/>
  <c r="AB75" i="38"/>
  <c r="M120" i="6"/>
  <c r="M119" i="6" s="1"/>
  <c r="M6" i="6" s="1"/>
  <c r="H61" i="23" s="1"/>
  <c r="M129" i="6"/>
  <c r="M14" i="6" s="1"/>
  <c r="H66" i="23" s="1"/>
  <c r="M131" i="6"/>
  <c r="M122" i="6"/>
  <c r="M127" i="6" s="1"/>
  <c r="M117" i="6"/>
  <c r="M116" i="6" s="1"/>
  <c r="M128" i="6"/>
  <c r="I515" i="13"/>
  <c r="I287" i="13"/>
  <c r="I530" i="13"/>
  <c r="I527" i="13"/>
  <c r="I525" i="13"/>
  <c r="I520" i="13"/>
  <c r="D6" i="37"/>
  <c r="D93" i="37" s="1"/>
  <c r="I516" i="13"/>
  <c r="I526" i="13"/>
  <c r="Q116" i="18"/>
  <c r="H59" i="38" s="1"/>
  <c r="I521" i="13"/>
  <c r="I517" i="13"/>
  <c r="I528" i="13"/>
  <c r="V303" i="13"/>
  <c r="H365" i="13"/>
  <c r="V365" i="13" s="1"/>
  <c r="H378" i="13"/>
  <c r="J13" i="18"/>
  <c r="E54" i="23" s="1"/>
  <c r="I378" i="13"/>
  <c r="I365" i="13"/>
  <c r="V356" i="13"/>
  <c r="H358" i="13"/>
  <c r="M4" i="19"/>
  <c r="H37" i="23" s="1"/>
  <c r="H36" i="23" s="1"/>
  <c r="J8" i="26"/>
  <c r="J7" i="26"/>
  <c r="J378" i="13"/>
  <c r="J365" i="13"/>
  <c r="Q117" i="18"/>
  <c r="H60" i="38" s="1"/>
  <c r="K117" i="6"/>
  <c r="K116" i="6" s="1"/>
  <c r="K112" i="6"/>
  <c r="K131" i="6"/>
  <c r="K122" i="6"/>
  <c r="K127" i="6" s="1"/>
  <c r="K130" i="6"/>
  <c r="K126" i="6"/>
  <c r="K128" i="6"/>
  <c r="K129" i="6"/>
  <c r="K14" i="6" s="1"/>
  <c r="F66" i="23" s="1"/>
  <c r="K120" i="6"/>
  <c r="K119" i="6" s="1"/>
  <c r="K6" i="6" s="1"/>
  <c r="H105" i="40"/>
  <c r="I76" i="38"/>
  <c r="G76" i="38"/>
  <c r="V359" i="13"/>
  <c r="H23" i="35"/>
  <c r="H24" i="35" s="1"/>
  <c r="S96" i="18"/>
  <c r="G27" i="25"/>
  <c r="G36" i="24"/>
  <c r="F36" i="24"/>
  <c r="F27" i="28"/>
  <c r="E109" i="41" s="1"/>
  <c r="J27" i="28"/>
  <c r="J35" i="28" s="1"/>
  <c r="H36" i="24"/>
  <c r="G27" i="27"/>
  <c r="F108" i="41" s="1"/>
  <c r="I22" i="27"/>
  <c r="H85" i="41" s="1"/>
  <c r="J22" i="27"/>
  <c r="F22" i="27"/>
  <c r="E85" i="41" s="1"/>
  <c r="H27" i="28"/>
  <c r="D36" i="24"/>
  <c r="H22" i="27"/>
  <c r="G85" i="41" s="1"/>
  <c r="E22" i="27"/>
  <c r="D85" i="41" s="1"/>
  <c r="J27" i="25"/>
  <c r="I27" i="27"/>
  <c r="H108" i="41" s="1"/>
  <c r="H27" i="25"/>
  <c r="G22" i="27"/>
  <c r="F85" i="41" s="1"/>
  <c r="G27" i="28"/>
  <c r="F109" i="41" s="1"/>
  <c r="H27" i="27"/>
  <c r="G108" i="41" s="1"/>
  <c r="F27" i="27"/>
  <c r="E108" i="41" s="1"/>
  <c r="J27" i="27"/>
  <c r="E27" i="27"/>
  <c r="D108" i="41" s="1"/>
  <c r="I7" i="6"/>
  <c r="D62" i="23" s="1"/>
  <c r="G17" i="35"/>
  <c r="AC23" i="38"/>
  <c r="AH23" i="38" s="1"/>
  <c r="H79" i="38"/>
  <c r="J104" i="40" s="1"/>
  <c r="K75" i="38"/>
  <c r="F27" i="25"/>
  <c r="L120" i="18"/>
  <c r="K378" i="13"/>
  <c r="K365" i="13"/>
  <c r="I377" i="13"/>
  <c r="I364" i="13"/>
  <c r="C17" i="35"/>
  <c r="AA23" i="38"/>
  <c r="I6" i="5"/>
  <c r="K13" i="1"/>
  <c r="K7" i="1" s="1"/>
  <c r="K19" i="1"/>
  <c r="K20" i="1" s="1"/>
  <c r="H12" i="5"/>
  <c r="C77" i="23"/>
  <c r="C76" i="23" s="1"/>
  <c r="C10" i="23" s="1"/>
  <c r="D7" i="41" s="1"/>
  <c r="I4" i="19"/>
  <c r="F8" i="26"/>
  <c r="F7" i="26"/>
  <c r="H18" i="35"/>
  <c r="H21" i="35"/>
  <c r="H27" i="35" s="1"/>
  <c r="M504" i="13" s="1"/>
  <c r="I13" i="1"/>
  <c r="I7" i="1" s="1"/>
  <c r="I19" i="1"/>
  <c r="I20" i="1" s="1"/>
  <c r="E37" i="23"/>
  <c r="F37" i="23"/>
  <c r="E7" i="26"/>
  <c r="E9" i="26"/>
  <c r="K5" i="19"/>
  <c r="F38" i="23" s="1"/>
  <c r="H7" i="26"/>
  <c r="G28" i="41" s="1"/>
  <c r="E77" i="23"/>
  <c r="E76" i="23" s="1"/>
  <c r="E10" i="23" s="1"/>
  <c r="F7" i="41" s="1"/>
  <c r="J12" i="5"/>
  <c r="J13" i="1"/>
  <c r="J7" i="1" s="1"/>
  <c r="J19" i="1"/>
  <c r="J20" i="1" s="1"/>
  <c r="M12" i="1"/>
  <c r="L12" i="1"/>
  <c r="G9" i="26"/>
  <c r="J9" i="26"/>
  <c r="H19" i="1"/>
  <c r="H20" i="1" s="1"/>
  <c r="H13" i="1"/>
  <c r="H7" i="1" s="1"/>
  <c r="G7" i="26"/>
  <c r="L6" i="19"/>
  <c r="G37" i="23"/>
  <c r="G36" i="23" s="1"/>
  <c r="H8" i="26"/>
  <c r="H9" i="26"/>
  <c r="J5" i="19"/>
  <c r="E38" i="23" s="1"/>
  <c r="J506" i="13"/>
  <c r="J285" i="13"/>
  <c r="E5" i="37"/>
  <c r="J511" i="13"/>
  <c r="J510" i="13"/>
  <c r="J508" i="13"/>
  <c r="J505" i="13"/>
  <c r="J504" i="13"/>
  <c r="J509" i="13"/>
  <c r="J507" i="13"/>
  <c r="V10" i="13"/>
  <c r="M520" i="13"/>
  <c r="M519" i="13"/>
  <c r="M518" i="13"/>
  <c r="M515" i="13"/>
  <c r="M522" i="13"/>
  <c r="M531" i="13"/>
  <c r="M529" i="13"/>
  <c r="M517" i="13"/>
  <c r="M286" i="13"/>
  <c r="M521" i="13"/>
  <c r="M525" i="13"/>
  <c r="M524" i="13"/>
  <c r="M516" i="13"/>
  <c r="H6" i="37"/>
  <c r="M528" i="13"/>
  <c r="M526" i="13"/>
  <c r="M530" i="13"/>
  <c r="M287" i="13"/>
  <c r="M527" i="13"/>
  <c r="G18" i="38"/>
  <c r="H22" i="40"/>
  <c r="Q9" i="43" l="1"/>
  <c r="M7" i="46"/>
  <c r="M127" i="43"/>
  <c r="M126" i="43" s="1"/>
  <c r="M133" i="43"/>
  <c r="M132" i="43" s="1"/>
  <c r="M12" i="43" s="1"/>
  <c r="M129" i="43"/>
  <c r="M5" i="43" s="1"/>
  <c r="M65" i="43"/>
  <c r="M145" i="43" s="1"/>
  <c r="M14" i="43" s="1"/>
  <c r="M116" i="46"/>
  <c r="M17" i="46" s="1"/>
  <c r="M5" i="46"/>
  <c r="M18" i="46"/>
  <c r="H18" i="46"/>
  <c r="K518" i="13"/>
  <c r="K531" i="13"/>
  <c r="K527" i="13"/>
  <c r="K517" i="13"/>
  <c r="K522" i="13"/>
  <c r="K530" i="13"/>
  <c r="K520" i="13"/>
  <c r="K286" i="13"/>
  <c r="F6" i="37"/>
  <c r="F95" i="37" s="1"/>
  <c r="K524" i="13"/>
  <c r="K529" i="13"/>
  <c r="K519" i="13"/>
  <c r="K516" i="13"/>
  <c r="K521" i="13"/>
  <c r="K525" i="13"/>
  <c r="K528" i="13"/>
  <c r="K526" i="13"/>
  <c r="K515" i="13"/>
  <c r="K287" i="13"/>
  <c r="I4" i="43"/>
  <c r="I7" i="43" s="1"/>
  <c r="I11" i="43"/>
  <c r="I15" i="43" s="1"/>
  <c r="K11" i="43"/>
  <c r="K15" i="43" s="1"/>
  <c r="K4" i="43"/>
  <c r="K7" i="43" s="1"/>
  <c r="I4" i="46"/>
  <c r="I17" i="46"/>
  <c r="K17" i="46"/>
  <c r="K19" i="46" s="1"/>
  <c r="K4" i="46"/>
  <c r="F21" i="35"/>
  <c r="F27" i="35" s="1"/>
  <c r="K508" i="13" s="1"/>
  <c r="H65" i="43"/>
  <c r="H145" i="43" s="1"/>
  <c r="H14" i="43" s="1"/>
  <c r="H127" i="43"/>
  <c r="H128" i="43"/>
  <c r="H133" i="43"/>
  <c r="H132" i="43" s="1"/>
  <c r="H129" i="43"/>
  <c r="H134" i="43"/>
  <c r="L15" i="43"/>
  <c r="H118" i="46"/>
  <c r="D119" i="46"/>
  <c r="L7" i="43"/>
  <c r="L4" i="46"/>
  <c r="L17" i="46"/>
  <c r="L19" i="46" s="1"/>
  <c r="H116" i="46"/>
  <c r="H115" i="46"/>
  <c r="F18" i="35"/>
  <c r="F24" i="35" s="1"/>
  <c r="K482" i="13" s="1"/>
  <c r="K537" i="13" s="1"/>
  <c r="K555" i="13" s="1"/>
  <c r="H79" i="26" s="1"/>
  <c r="I19" i="46"/>
  <c r="J17" i="46"/>
  <c r="J4" i="46"/>
  <c r="J19" i="46"/>
  <c r="H60" i="23"/>
  <c r="M13" i="46"/>
  <c r="K12" i="5"/>
  <c r="G102" i="41"/>
  <c r="G16" i="41"/>
  <c r="G67" i="41"/>
  <c r="G94" i="41"/>
  <c r="D51" i="23"/>
  <c r="E94" i="41"/>
  <c r="E67" i="41"/>
  <c r="E16" i="41"/>
  <c r="E102" i="41"/>
  <c r="E35" i="28"/>
  <c r="D109" i="41"/>
  <c r="D102" i="41"/>
  <c r="D16" i="41"/>
  <c r="F16" i="41"/>
  <c r="F102" i="41"/>
  <c r="H35" i="28"/>
  <c r="G109" i="41"/>
  <c r="K12" i="6"/>
  <c r="G96" i="41" s="1"/>
  <c r="I12" i="6"/>
  <c r="E96" i="41" s="1"/>
  <c r="G93" i="41"/>
  <c r="G92" i="41" s="1"/>
  <c r="G65" i="41"/>
  <c r="F60" i="23"/>
  <c r="D65" i="41"/>
  <c r="C60" i="23"/>
  <c r="D93" i="41"/>
  <c r="D60" i="23"/>
  <c r="E93" i="41"/>
  <c r="E65" i="41"/>
  <c r="F65" i="41"/>
  <c r="E60" i="23"/>
  <c r="F93" i="41"/>
  <c r="G60" i="23"/>
  <c r="H93" i="41"/>
  <c r="H65" i="41"/>
  <c r="M151" i="6"/>
  <c r="H12" i="6"/>
  <c r="D96" i="41" s="1"/>
  <c r="J12" i="6"/>
  <c r="F96" i="41" s="1"/>
  <c r="F95" i="41" s="1"/>
  <c r="F61" i="23"/>
  <c r="G61" i="23"/>
  <c r="H66" i="41"/>
  <c r="D61" i="23"/>
  <c r="E66" i="41"/>
  <c r="C61" i="23"/>
  <c r="E61" i="23"/>
  <c r="F66" i="41"/>
  <c r="V374" i="13"/>
  <c r="I445" i="13"/>
  <c r="I446" i="13" s="1"/>
  <c r="H114" i="40"/>
  <c r="V363" i="13"/>
  <c r="K372" i="13"/>
  <c r="K445" i="13"/>
  <c r="K446" i="13" s="1"/>
  <c r="I27" i="25"/>
  <c r="L13" i="5"/>
  <c r="G77" i="23" s="1"/>
  <c r="G76" i="23" s="1"/>
  <c r="G10" i="23" s="1"/>
  <c r="H7" i="41" s="1"/>
  <c r="K15" i="5"/>
  <c r="K19" i="5" s="1"/>
  <c r="L445" i="13"/>
  <c r="L446" i="13" s="1"/>
  <c r="J445" i="13"/>
  <c r="J446" i="13" s="1"/>
  <c r="H445" i="13"/>
  <c r="H446" i="13" s="1"/>
  <c r="H32" i="40" s="1"/>
  <c r="M445" i="13"/>
  <c r="M446" i="13" s="1"/>
  <c r="I373" i="13"/>
  <c r="I381" i="13" s="1"/>
  <c r="F39" i="26" s="1"/>
  <c r="I384" i="13"/>
  <c r="K371" i="13"/>
  <c r="V380" i="13"/>
  <c r="L178" i="13"/>
  <c r="L388" i="13" s="1"/>
  <c r="AC26" i="38" s="1"/>
  <c r="AH6" i="38" s="1"/>
  <c r="J371" i="13"/>
  <c r="H178" i="13"/>
  <c r="H388" i="13" s="1"/>
  <c r="AA26" i="38" s="1"/>
  <c r="AF6" i="38" s="1"/>
  <c r="M371" i="13"/>
  <c r="I447" i="13"/>
  <c r="I135" i="13" s="1"/>
  <c r="I385" i="13"/>
  <c r="F40" i="26" s="1"/>
  <c r="AA27" i="38"/>
  <c r="AF7" i="38" s="1"/>
  <c r="AH92" i="38" s="1"/>
  <c r="H385" i="13"/>
  <c r="E40" i="26" s="1"/>
  <c r="K58" i="38"/>
  <c r="J171" i="6"/>
  <c r="J170" i="6"/>
  <c r="J112" i="40"/>
  <c r="J114" i="40" s="1"/>
  <c r="J106" i="40"/>
  <c r="I53" i="38"/>
  <c r="L384" i="13"/>
  <c r="AH26" i="38" s="1"/>
  <c r="L372" i="13"/>
  <c r="I27" i="28"/>
  <c r="H372" i="13"/>
  <c r="V372" i="13" s="1"/>
  <c r="M178" i="13"/>
  <c r="M388" i="13" s="1"/>
  <c r="AB26" i="38" s="1"/>
  <c r="AG6" i="38" s="1"/>
  <c r="AB27" i="38"/>
  <c r="AG7" i="38" s="1"/>
  <c r="V11" i="13"/>
  <c r="H371" i="13"/>
  <c r="L4" i="5"/>
  <c r="L6" i="5" s="1"/>
  <c r="L17" i="5"/>
  <c r="G82" i="23" s="1"/>
  <c r="G80" i="23" s="1"/>
  <c r="AC27" i="38"/>
  <c r="AH7" i="38" s="1"/>
  <c r="AQ91" i="38"/>
  <c r="K368" i="13"/>
  <c r="H38" i="26" s="1"/>
  <c r="J178" i="13"/>
  <c r="J388" i="13" s="1"/>
  <c r="E82" i="23"/>
  <c r="E80" i="23" s="1"/>
  <c r="V315" i="13"/>
  <c r="H15" i="5"/>
  <c r="O12" i="5" s="1"/>
  <c r="C82" i="23"/>
  <c r="C80" i="23" s="1"/>
  <c r="V317" i="13"/>
  <c r="H384" i="13"/>
  <c r="AF26" i="38" s="1"/>
  <c r="AH95" i="38" s="1"/>
  <c r="L447" i="13"/>
  <c r="L448" i="13" s="1"/>
  <c r="L449" i="13" s="1"/>
  <c r="I12" i="5"/>
  <c r="H447" i="13"/>
  <c r="H135" i="13" s="1"/>
  <c r="H450" i="13" s="1"/>
  <c r="J372" i="13"/>
  <c r="V316" i="13"/>
  <c r="V375" i="13"/>
  <c r="L371" i="13"/>
  <c r="AQ92" i="38"/>
  <c r="K178" i="13"/>
  <c r="K388" i="13" s="1"/>
  <c r="M384" i="13"/>
  <c r="AG26" i="38" s="1"/>
  <c r="J447" i="13"/>
  <c r="J135" i="13" s="1"/>
  <c r="M385" i="13"/>
  <c r="J40" i="26" s="1"/>
  <c r="J385" i="13"/>
  <c r="G40" i="26" s="1"/>
  <c r="V318" i="13"/>
  <c r="L368" i="13"/>
  <c r="AH22" i="38" s="1"/>
  <c r="AB6" i="38" s="1"/>
  <c r="K447" i="13"/>
  <c r="K135" i="13" s="1"/>
  <c r="K450" i="13" s="1"/>
  <c r="H52" i="26" s="1"/>
  <c r="K385" i="13"/>
  <c r="H40" i="26" s="1"/>
  <c r="V461" i="13"/>
  <c r="K543" i="13"/>
  <c r="K561" i="13" s="1"/>
  <c r="H85" i="26" s="1"/>
  <c r="M543" i="13"/>
  <c r="M561" i="13" s="1"/>
  <c r="J85" i="26" s="1"/>
  <c r="I543" i="13"/>
  <c r="I561" i="13" s="1"/>
  <c r="F85" i="26" s="1"/>
  <c r="J48" i="40"/>
  <c r="I5" i="6"/>
  <c r="D59" i="23" s="1"/>
  <c r="J47" i="40"/>
  <c r="H77" i="23"/>
  <c r="H76" i="23" s="1"/>
  <c r="H10" i="23" s="1"/>
  <c r="M12" i="5"/>
  <c r="M19" i="5" s="1"/>
  <c r="I15" i="5"/>
  <c r="D76" i="23"/>
  <c r="D10" i="23" s="1"/>
  <c r="E7" i="41" s="1"/>
  <c r="I9" i="18"/>
  <c r="E97" i="41" s="1"/>
  <c r="I148" i="18"/>
  <c r="I6" i="18" s="1"/>
  <c r="D48" i="23" s="1"/>
  <c r="I33" i="18"/>
  <c r="I129" i="18" s="1"/>
  <c r="J10" i="18"/>
  <c r="AQ90" i="38"/>
  <c r="I114" i="6"/>
  <c r="I16" i="6" s="1"/>
  <c r="K55" i="38"/>
  <c r="J113" i="6"/>
  <c r="J16" i="6" s="1"/>
  <c r="E68" i="23" s="1"/>
  <c r="V377" i="13"/>
  <c r="J33" i="18"/>
  <c r="J128" i="18" s="1"/>
  <c r="M499" i="13"/>
  <c r="J5" i="6"/>
  <c r="E59" i="23" s="1"/>
  <c r="L114" i="6"/>
  <c r="L16" i="6" s="1"/>
  <c r="M6" i="19"/>
  <c r="H6" i="19"/>
  <c r="I368" i="13"/>
  <c r="F38" i="26" s="1"/>
  <c r="J17" i="6"/>
  <c r="E69" i="23" s="1"/>
  <c r="J13" i="6"/>
  <c r="E65" i="23" s="1"/>
  <c r="K6" i="19"/>
  <c r="V378" i="13"/>
  <c r="M29" i="13"/>
  <c r="J528" i="13"/>
  <c r="J529" i="13"/>
  <c r="J481" i="13"/>
  <c r="M509" i="13"/>
  <c r="V358" i="13"/>
  <c r="J180" i="13"/>
  <c r="I29" i="13"/>
  <c r="J526" i="13"/>
  <c r="K180" i="13"/>
  <c r="M488" i="13"/>
  <c r="J521" i="13"/>
  <c r="AG34" i="38"/>
  <c r="AD16" i="38" s="1"/>
  <c r="M489" i="13"/>
  <c r="M495" i="13"/>
  <c r="E19" i="35"/>
  <c r="E25" i="35" s="1"/>
  <c r="J516" i="13"/>
  <c r="J525" i="13"/>
  <c r="J286" i="13"/>
  <c r="D94" i="37"/>
  <c r="J527" i="13"/>
  <c r="J551" i="13" s="1"/>
  <c r="J568" i="13" s="1"/>
  <c r="G92" i="26" s="1"/>
  <c r="J522" i="13"/>
  <c r="AA53" i="38"/>
  <c r="K33" i="18"/>
  <c r="K128" i="18" s="1"/>
  <c r="J517" i="13"/>
  <c r="J531" i="13"/>
  <c r="J520" i="13"/>
  <c r="E6" i="37"/>
  <c r="E95" i="37" s="1"/>
  <c r="D95" i="37"/>
  <c r="K9" i="18"/>
  <c r="G97" i="41" s="1"/>
  <c r="M27" i="28"/>
  <c r="M510" i="13"/>
  <c r="J519" i="13"/>
  <c r="J530" i="13"/>
  <c r="J524" i="13"/>
  <c r="J515" i="13"/>
  <c r="J287" i="13"/>
  <c r="L17" i="6"/>
  <c r="G69" i="23" s="1"/>
  <c r="H4" i="37"/>
  <c r="H46" i="37" s="1"/>
  <c r="M505" i="13"/>
  <c r="M507" i="13"/>
  <c r="M551" i="13" s="1"/>
  <c r="M568" i="13" s="1"/>
  <c r="J92" i="26" s="1"/>
  <c r="M498" i="13"/>
  <c r="M497" i="13"/>
  <c r="H25" i="35"/>
  <c r="M508" i="13"/>
  <c r="M506" i="13"/>
  <c r="M548" i="13" s="1"/>
  <c r="M565" i="13" s="1"/>
  <c r="J89" i="26" s="1"/>
  <c r="V364" i="13"/>
  <c r="M284" i="13"/>
  <c r="M511" i="13"/>
  <c r="M285" i="13"/>
  <c r="J44" i="26" s="1"/>
  <c r="J479" i="13"/>
  <c r="M491" i="13"/>
  <c r="I13" i="6"/>
  <c r="D65" i="23" s="1"/>
  <c r="K17" i="6"/>
  <c r="F69" i="23" s="1"/>
  <c r="I272" i="13"/>
  <c r="K478" i="13"/>
  <c r="K480" i="13"/>
  <c r="F3" i="37"/>
  <c r="H19" i="35"/>
  <c r="AB36" i="38"/>
  <c r="AG16" i="38" s="1"/>
  <c r="H5" i="37"/>
  <c r="H71" i="37" s="1"/>
  <c r="J483" i="13"/>
  <c r="D92" i="37"/>
  <c r="M490" i="13"/>
  <c r="M500" i="13"/>
  <c r="M501" i="13"/>
  <c r="J368" i="13"/>
  <c r="G38" i="26" s="1"/>
  <c r="K507" i="13"/>
  <c r="K505" i="13"/>
  <c r="K488" i="13"/>
  <c r="K487" i="13"/>
  <c r="K492" i="13"/>
  <c r="K490" i="13"/>
  <c r="K497" i="13"/>
  <c r="K491" i="13"/>
  <c r="K501" i="13"/>
  <c r="K500" i="13"/>
  <c r="K495" i="13"/>
  <c r="K489" i="13"/>
  <c r="K496" i="13"/>
  <c r="K498" i="13"/>
  <c r="F4" i="37"/>
  <c r="K499" i="13"/>
  <c r="K493" i="13"/>
  <c r="K284" i="13"/>
  <c r="I17" i="6"/>
  <c r="D69" i="23" s="1"/>
  <c r="E3" i="37"/>
  <c r="E25" i="37" s="1"/>
  <c r="D91" i="37"/>
  <c r="M496" i="13"/>
  <c r="M493" i="13"/>
  <c r="M487" i="13"/>
  <c r="L180" i="13"/>
  <c r="AR87" i="38"/>
  <c r="L29" i="13"/>
  <c r="L5" i="6"/>
  <c r="G59" i="23" s="1"/>
  <c r="AG18" i="38"/>
  <c r="AF23" i="38"/>
  <c r="Z7" i="38" s="1"/>
  <c r="AA25" i="38"/>
  <c r="AC7" i="38" s="1"/>
  <c r="I60" i="38"/>
  <c r="K60" i="38"/>
  <c r="H368" i="13"/>
  <c r="AB53" i="38"/>
  <c r="H10" i="18"/>
  <c r="H33" i="18"/>
  <c r="H167" i="13" s="1"/>
  <c r="H9" i="18"/>
  <c r="D97" i="41" s="1"/>
  <c r="AI121" i="38"/>
  <c r="AO105" i="38" s="1"/>
  <c r="AH121" i="38"/>
  <c r="H141" i="38"/>
  <c r="H29" i="13"/>
  <c r="H180" i="13"/>
  <c r="V180" i="13" s="1"/>
  <c r="H114" i="6"/>
  <c r="H113" i="6"/>
  <c r="J482" i="13"/>
  <c r="J537" i="13" s="1"/>
  <c r="J555" i="13" s="1"/>
  <c r="G79" i="26" s="1"/>
  <c r="J478" i="13"/>
  <c r="J19" i="5"/>
  <c r="P7" i="5"/>
  <c r="C18" i="35"/>
  <c r="C20" i="35"/>
  <c r="C23" i="35"/>
  <c r="C21" i="35"/>
  <c r="C22" i="35"/>
  <c r="AC25" i="38"/>
  <c r="AB7" i="38"/>
  <c r="AR86" i="38" s="1"/>
  <c r="G35" i="28"/>
  <c r="O27" i="28"/>
  <c r="N27" i="28"/>
  <c r="F35" i="28"/>
  <c r="H54" i="38"/>
  <c r="F28" i="25"/>
  <c r="E103" i="41" s="1"/>
  <c r="H25" i="24"/>
  <c r="G38" i="24"/>
  <c r="H24" i="24"/>
  <c r="F37" i="24"/>
  <c r="J15" i="25"/>
  <c r="I30" i="25"/>
  <c r="H105" i="41" s="1"/>
  <c r="E19" i="24"/>
  <c r="F26" i="25"/>
  <c r="E83" i="41" s="1"/>
  <c r="D37" i="24"/>
  <c r="G13" i="25"/>
  <c r="F51" i="41" s="1"/>
  <c r="G20" i="24"/>
  <c r="D20" i="24"/>
  <c r="J16" i="27"/>
  <c r="J23" i="27"/>
  <c r="G23" i="27"/>
  <c r="F31" i="27"/>
  <c r="J31" i="27"/>
  <c r="J24" i="27"/>
  <c r="J13" i="25"/>
  <c r="E16" i="25"/>
  <c r="D54" i="41" s="1"/>
  <c r="E30" i="25"/>
  <c r="D105" i="41" s="1"/>
  <c r="F29" i="25"/>
  <c r="E104" i="41" s="1"/>
  <c r="G30" i="25"/>
  <c r="F105" i="41" s="1"/>
  <c r="J16" i="25"/>
  <c r="H37" i="24"/>
  <c r="H16" i="25"/>
  <c r="G54" i="41" s="1"/>
  <c r="I16" i="25"/>
  <c r="H54" i="41" s="1"/>
  <c r="F39" i="24"/>
  <c r="F40" i="24"/>
  <c r="E22" i="24"/>
  <c r="H29" i="25"/>
  <c r="G104" i="41" s="1"/>
  <c r="G39" i="24"/>
  <c r="F35" i="24"/>
  <c r="D19" i="24"/>
  <c r="H11" i="25"/>
  <c r="G27" i="41" s="1"/>
  <c r="J13" i="27"/>
  <c r="F28" i="27"/>
  <c r="F18" i="27"/>
  <c r="G30" i="27"/>
  <c r="J15" i="27"/>
  <c r="F23" i="27"/>
  <c r="J30" i="25"/>
  <c r="G22" i="24"/>
  <c r="F20" i="24"/>
  <c r="H31" i="25"/>
  <c r="G106" i="41" s="1"/>
  <c r="I13" i="25"/>
  <c r="H51" i="41" s="1"/>
  <c r="H13" i="27"/>
  <c r="F15" i="25"/>
  <c r="E53" i="41" s="1"/>
  <c r="I28" i="25"/>
  <c r="H103" i="41" s="1"/>
  <c r="G29" i="25"/>
  <c r="F104" i="41" s="1"/>
  <c r="H38" i="24"/>
  <c r="J31" i="25"/>
  <c r="J26" i="25"/>
  <c r="G11" i="27"/>
  <c r="E20" i="27"/>
  <c r="J25" i="27"/>
  <c r="E13" i="25"/>
  <c r="D51" i="41" s="1"/>
  <c r="E40" i="24"/>
  <c r="H28" i="25"/>
  <c r="G103" i="41" s="1"/>
  <c r="I31" i="27"/>
  <c r="F24" i="27"/>
  <c r="J30" i="27"/>
  <c r="G15" i="27"/>
  <c r="H18" i="27"/>
  <c r="I28" i="27"/>
  <c r="H30" i="25"/>
  <c r="G105" i="41" s="1"/>
  <c r="E35" i="24"/>
  <c r="H20" i="24"/>
  <c r="I11" i="27"/>
  <c r="E28" i="27"/>
  <c r="F26" i="27"/>
  <c r="I10" i="25"/>
  <c r="H26" i="41" s="1"/>
  <c r="E20" i="24"/>
  <c r="E25" i="27"/>
  <c r="F30" i="27"/>
  <c r="F15" i="27"/>
  <c r="E25" i="24"/>
  <c r="J11" i="27"/>
  <c r="E13" i="27"/>
  <c r="H22" i="24"/>
  <c r="I18" i="27"/>
  <c r="H24" i="27"/>
  <c r="E29" i="25"/>
  <c r="D104" i="41" s="1"/>
  <c r="G16" i="27"/>
  <c r="H11" i="27"/>
  <c r="G10" i="25"/>
  <c r="F26" i="41" s="1"/>
  <c r="H25" i="27"/>
  <c r="F19" i="27"/>
  <c r="H39" i="24"/>
  <c r="E24" i="24"/>
  <c r="G15" i="25"/>
  <c r="F53" i="41" s="1"/>
  <c r="H13" i="25"/>
  <c r="G51" i="41" s="1"/>
  <c r="G26" i="25"/>
  <c r="F83" i="41" s="1"/>
  <c r="F13" i="25"/>
  <c r="E51" i="41" s="1"/>
  <c r="G19" i="24"/>
  <c r="E26" i="27"/>
  <c r="J18" i="27"/>
  <c r="G20" i="27"/>
  <c r="F25" i="24"/>
  <c r="I31" i="25"/>
  <c r="H106" i="41" s="1"/>
  <c r="D22" i="24"/>
  <c r="G28" i="27"/>
  <c r="H23" i="27"/>
  <c r="G10" i="27"/>
  <c r="F13" i="27"/>
  <c r="E19" i="27"/>
  <c r="H16" i="27"/>
  <c r="I26" i="25"/>
  <c r="H83" i="41" s="1"/>
  <c r="D39" i="24"/>
  <c r="E28" i="25"/>
  <c r="D103" i="41" s="1"/>
  <c r="I20" i="27"/>
  <c r="E18" i="27"/>
  <c r="E11" i="27"/>
  <c r="F10" i="25"/>
  <c r="E26" i="41" s="1"/>
  <c r="F30" i="25"/>
  <c r="E105" i="41" s="1"/>
  <c r="E15" i="25"/>
  <c r="D53" i="41" s="1"/>
  <c r="I25" i="27"/>
  <c r="E31" i="27"/>
  <c r="J19" i="27"/>
  <c r="G11" i="25"/>
  <c r="F27" i="41" s="1"/>
  <c r="E23" i="27"/>
  <c r="G37" i="24"/>
  <c r="F11" i="27"/>
  <c r="E11" i="25"/>
  <c r="D27" i="41" s="1"/>
  <c r="G26" i="27"/>
  <c r="F16" i="25"/>
  <c r="E54" i="41" s="1"/>
  <c r="G19" i="27"/>
  <c r="F19" i="24"/>
  <c r="G24" i="24"/>
  <c r="E39" i="24"/>
  <c r="I11" i="25"/>
  <c r="H27" i="41" s="1"/>
  <c r="F24" i="24"/>
  <c r="G25" i="24"/>
  <c r="I15" i="25"/>
  <c r="H53" i="41" s="1"/>
  <c r="I16" i="27"/>
  <c r="E29" i="27"/>
  <c r="I13" i="27"/>
  <c r="D38" i="24"/>
  <c r="H40" i="24"/>
  <c r="J10" i="25"/>
  <c r="J28" i="27"/>
  <c r="H31" i="27"/>
  <c r="G18" i="27"/>
  <c r="H19" i="27"/>
  <c r="I29" i="27"/>
  <c r="E26" i="25"/>
  <c r="D83" i="41" s="1"/>
  <c r="E10" i="25"/>
  <c r="D26" i="41" s="1"/>
  <c r="F16" i="27"/>
  <c r="I10" i="27"/>
  <c r="F10" i="27"/>
  <c r="I29" i="25"/>
  <c r="H104" i="41" s="1"/>
  <c r="F31" i="25"/>
  <c r="E106" i="41" s="1"/>
  <c r="E24" i="27"/>
  <c r="H10" i="27"/>
  <c r="J20" i="27"/>
  <c r="D24" i="24"/>
  <c r="F11" i="25"/>
  <c r="E27" i="41" s="1"/>
  <c r="F25" i="27"/>
  <c r="D35" i="24"/>
  <c r="J11" i="25"/>
  <c r="I30" i="27"/>
  <c r="D40" i="24"/>
  <c r="J29" i="25"/>
  <c r="I15" i="27"/>
  <c r="E38" i="24"/>
  <c r="G24" i="27"/>
  <c r="G40" i="24"/>
  <c r="D25" i="24"/>
  <c r="G16" i="25"/>
  <c r="F54" i="41" s="1"/>
  <c r="H35" i="24"/>
  <c r="F22" i="24"/>
  <c r="G28" i="25"/>
  <c r="F103" i="41" s="1"/>
  <c r="H20" i="27"/>
  <c r="I24" i="27"/>
  <c r="G25" i="27"/>
  <c r="J28" i="25"/>
  <c r="E37" i="24"/>
  <c r="H26" i="27"/>
  <c r="J26" i="27"/>
  <c r="H28" i="27"/>
  <c r="I19" i="27"/>
  <c r="H29" i="27"/>
  <c r="H15" i="27"/>
  <c r="G35" i="24"/>
  <c r="H15" i="25"/>
  <c r="G53" i="41" s="1"/>
  <c r="E15" i="27"/>
  <c r="F29" i="27"/>
  <c r="E16" i="27"/>
  <c r="H10" i="25"/>
  <c r="G26" i="41" s="1"/>
  <c r="H19" i="24"/>
  <c r="I23" i="27"/>
  <c r="F20" i="27"/>
  <c r="G13" i="27"/>
  <c r="E31" i="25"/>
  <c r="D106" i="41" s="1"/>
  <c r="E10" i="27"/>
  <c r="J29" i="27"/>
  <c r="H26" i="25"/>
  <c r="G83" i="41" s="1"/>
  <c r="E30" i="27"/>
  <c r="G29" i="27"/>
  <c r="F38" i="24"/>
  <c r="G31" i="27"/>
  <c r="J10" i="27"/>
  <c r="G31" i="25"/>
  <c r="F106" i="41" s="1"/>
  <c r="H30" i="27"/>
  <c r="I26" i="27"/>
  <c r="K5" i="6"/>
  <c r="F59" i="23" s="1"/>
  <c r="K59" i="38"/>
  <c r="I59" i="38"/>
  <c r="M5" i="6"/>
  <c r="H59" i="23" s="1"/>
  <c r="M17" i="6"/>
  <c r="H69" i="23" s="1"/>
  <c r="J500" i="13"/>
  <c r="J492" i="13"/>
  <c r="J498" i="13"/>
  <c r="E4" i="37"/>
  <c r="J491" i="13"/>
  <c r="J499" i="13"/>
  <c r="J501" i="13"/>
  <c r="J495" i="13"/>
  <c r="J493" i="13"/>
  <c r="J490" i="13"/>
  <c r="J488" i="13"/>
  <c r="J487" i="13"/>
  <c r="J497" i="13"/>
  <c r="J284" i="13"/>
  <c r="G64" i="26" s="1"/>
  <c r="J496" i="13"/>
  <c r="J489" i="13"/>
  <c r="I480" i="13"/>
  <c r="I478" i="13"/>
  <c r="I483" i="13"/>
  <c r="I479" i="13"/>
  <c r="D3" i="37"/>
  <c r="I482" i="13"/>
  <c r="I537" i="13" s="1"/>
  <c r="I555" i="13" s="1"/>
  <c r="F79" i="26" s="1"/>
  <c r="I481" i="13"/>
  <c r="AJ121" i="38"/>
  <c r="AP105" i="38" s="1"/>
  <c r="AA118" i="38"/>
  <c r="AC118" i="38" s="1"/>
  <c r="L32" i="18"/>
  <c r="AC53" i="38"/>
  <c r="I75" i="38"/>
  <c r="G75" i="38"/>
  <c r="H104" i="40"/>
  <c r="G18" i="35"/>
  <c r="G23" i="35"/>
  <c r="G22" i="35"/>
  <c r="G28" i="35" s="1"/>
  <c r="G21" i="35"/>
  <c r="G20" i="35"/>
  <c r="M478" i="13"/>
  <c r="M483" i="13"/>
  <c r="M481" i="13"/>
  <c r="AB34" i="38"/>
  <c r="AA16" i="38" s="1"/>
  <c r="H3" i="37"/>
  <c r="M479" i="13"/>
  <c r="M482" i="13"/>
  <c r="M537" i="13" s="1"/>
  <c r="M555" i="13" s="1"/>
  <c r="J79" i="26" s="1"/>
  <c r="M480" i="13"/>
  <c r="K114" i="6"/>
  <c r="K113" i="6"/>
  <c r="K148" i="18"/>
  <c r="H21" i="27" s="1"/>
  <c r="F51" i="23"/>
  <c r="M113" i="6"/>
  <c r="M114" i="6"/>
  <c r="I507" i="13"/>
  <c r="I551" i="13" s="1"/>
  <c r="I568" i="13" s="1"/>
  <c r="F92" i="26" s="1"/>
  <c r="I506" i="13"/>
  <c r="I548" i="13" s="1"/>
  <c r="I565" i="13" s="1"/>
  <c r="F89" i="26" s="1"/>
  <c r="I285" i="13"/>
  <c r="F65" i="26" s="1"/>
  <c r="I511" i="13"/>
  <c r="I504" i="13"/>
  <c r="I510" i="13"/>
  <c r="I505" i="13"/>
  <c r="I509" i="13"/>
  <c r="I508" i="13"/>
  <c r="D5" i="37"/>
  <c r="V28" i="13"/>
  <c r="K7" i="6"/>
  <c r="F62" i="23" s="1"/>
  <c r="K13" i="6"/>
  <c r="H62" i="38"/>
  <c r="M7" i="6"/>
  <c r="H62" i="23" s="1"/>
  <c r="M13" i="6"/>
  <c r="I497" i="13"/>
  <c r="I496" i="13"/>
  <c r="I495" i="13"/>
  <c r="D4" i="37"/>
  <c r="I488" i="13"/>
  <c r="I490" i="13"/>
  <c r="I493" i="13"/>
  <c r="I491" i="13"/>
  <c r="D19" i="35"/>
  <c r="D25" i="35" s="1"/>
  <c r="I501" i="13"/>
  <c r="I487" i="13"/>
  <c r="I284" i="13"/>
  <c r="I499" i="13"/>
  <c r="I500" i="13"/>
  <c r="I489" i="13"/>
  <c r="I492" i="13"/>
  <c r="I498" i="13"/>
  <c r="H5" i="6"/>
  <c r="C59" i="23" s="1"/>
  <c r="H17" i="6"/>
  <c r="C69" i="23" s="1"/>
  <c r="H116" i="6"/>
  <c r="D117" i="6"/>
  <c r="E28" i="41"/>
  <c r="N7" i="26"/>
  <c r="M7" i="26"/>
  <c r="D28" i="41"/>
  <c r="J6" i="19"/>
  <c r="L19" i="1"/>
  <c r="L20" i="1" s="1"/>
  <c r="L13" i="1"/>
  <c r="L7" i="1" s="1"/>
  <c r="M19" i="1"/>
  <c r="M20" i="1" s="1"/>
  <c r="M13" i="1"/>
  <c r="M7" i="1" s="1"/>
  <c r="F28" i="41"/>
  <c r="O7" i="26"/>
  <c r="F36" i="23"/>
  <c r="E36" i="23"/>
  <c r="D37" i="23"/>
  <c r="D36" i="23" s="1"/>
  <c r="I6" i="19"/>
  <c r="J271" i="13"/>
  <c r="E70" i="37"/>
  <c r="E69" i="37"/>
  <c r="E68" i="37"/>
  <c r="E72" i="37"/>
  <c r="E71" i="37"/>
  <c r="AF25" i="38"/>
  <c r="H94" i="37"/>
  <c r="H95" i="37"/>
  <c r="H92" i="37"/>
  <c r="H93" i="37"/>
  <c r="H91" i="37"/>
  <c r="M4" i="46" l="1"/>
  <c r="M19" i="46"/>
  <c r="F94" i="37"/>
  <c r="K483" i="13"/>
  <c r="K479" i="13"/>
  <c r="F92" i="37"/>
  <c r="F98" i="37" s="1"/>
  <c r="K282" i="13" s="1"/>
  <c r="F91" i="37"/>
  <c r="K272" i="13"/>
  <c r="K551" i="13"/>
  <c r="K568" i="13" s="1"/>
  <c r="H92" i="26" s="1"/>
  <c r="K481" i="13"/>
  <c r="K539" i="13" s="1"/>
  <c r="K558" i="13" s="1"/>
  <c r="H82" i="26" s="1"/>
  <c r="F93" i="37"/>
  <c r="H126" i="43"/>
  <c r="K510" i="13"/>
  <c r="K552" i="13" s="1"/>
  <c r="K569" i="13" s="1"/>
  <c r="H93" i="26" s="1"/>
  <c r="K509" i="13"/>
  <c r="K546" i="13" s="1"/>
  <c r="K563" i="13" s="1"/>
  <c r="H87" i="26" s="1"/>
  <c r="K504" i="13"/>
  <c r="K550" i="13" s="1"/>
  <c r="K567" i="13" s="1"/>
  <c r="H91" i="26" s="1"/>
  <c r="F19" i="35"/>
  <c r="F25" i="35" s="1"/>
  <c r="M11" i="43"/>
  <c r="M15" i="43" s="1"/>
  <c r="M4" i="43"/>
  <c r="M7" i="43" s="1"/>
  <c r="H14" i="46"/>
  <c r="H7" i="46"/>
  <c r="H5" i="43"/>
  <c r="K285" i="13"/>
  <c r="H65" i="26" s="1"/>
  <c r="F5" i="37"/>
  <c r="F69" i="37" s="1"/>
  <c r="K506" i="13"/>
  <c r="K548" i="13" s="1"/>
  <c r="K565" i="13" s="1"/>
  <c r="H89" i="26" s="1"/>
  <c r="K511" i="13"/>
  <c r="K545" i="13" s="1"/>
  <c r="K562" i="13" s="1"/>
  <c r="H86" i="26" s="1"/>
  <c r="H17" i="46"/>
  <c r="H4" i="46"/>
  <c r="H12" i="43"/>
  <c r="H102" i="41"/>
  <c r="H16" i="41"/>
  <c r="E51" i="23"/>
  <c r="F94" i="41"/>
  <c r="F92" i="41" s="1"/>
  <c r="F67" i="41"/>
  <c r="G95" i="41"/>
  <c r="E92" i="41"/>
  <c r="E95" i="41"/>
  <c r="D94" i="41"/>
  <c r="D92" i="41" s="1"/>
  <c r="D67" i="41"/>
  <c r="D95" i="41"/>
  <c r="I35" i="28"/>
  <c r="H109" i="41"/>
  <c r="G66" i="41"/>
  <c r="I19" i="5"/>
  <c r="K381" i="13"/>
  <c r="H39" i="26" s="1"/>
  <c r="L18" i="6"/>
  <c r="AJ92" i="38"/>
  <c r="L12" i="5"/>
  <c r="V445" i="13"/>
  <c r="I448" i="13"/>
  <c r="I449" i="13" s="1"/>
  <c r="L135" i="13"/>
  <c r="L137" i="13" s="1"/>
  <c r="L451" i="13" s="1"/>
  <c r="I53" i="26" s="1"/>
  <c r="L15" i="5"/>
  <c r="L19" i="5" s="1"/>
  <c r="L381" i="13"/>
  <c r="AC24" i="38" s="1"/>
  <c r="AE6" i="38" s="1"/>
  <c r="AH25" i="38"/>
  <c r="I18" i="6"/>
  <c r="J18" i="6"/>
  <c r="V371" i="13"/>
  <c r="H381" i="13"/>
  <c r="E39" i="26" s="1"/>
  <c r="J381" i="13"/>
  <c r="G39" i="26" s="1"/>
  <c r="V388" i="13"/>
  <c r="AG25" i="38"/>
  <c r="AA88" i="38"/>
  <c r="AI92" i="38"/>
  <c r="I65" i="18"/>
  <c r="I145" i="18" s="1"/>
  <c r="I14" i="18" s="1"/>
  <c r="D55" i="23" s="1"/>
  <c r="K27" i="38"/>
  <c r="G27" i="38" s="1"/>
  <c r="V178" i="13"/>
  <c r="H448" i="13"/>
  <c r="J448" i="13"/>
  <c r="J449" i="13" s="1"/>
  <c r="E30" i="24"/>
  <c r="J133" i="18"/>
  <c r="J132" i="18" s="1"/>
  <c r="K448" i="13"/>
  <c r="K449" i="13" s="1"/>
  <c r="I38" i="26"/>
  <c r="V385" i="13"/>
  <c r="K26" i="38"/>
  <c r="G26" i="38" s="1"/>
  <c r="V384" i="13"/>
  <c r="M552" i="13"/>
  <c r="M569" i="13" s="1"/>
  <c r="J93" i="26" s="1"/>
  <c r="J548" i="13"/>
  <c r="J565" i="13" s="1"/>
  <c r="G89" i="26" s="1"/>
  <c r="I552" i="13"/>
  <c r="I569" i="13" s="1"/>
  <c r="F93" i="26" s="1"/>
  <c r="M542" i="13"/>
  <c r="M560" i="13" s="1"/>
  <c r="J84" i="26" s="1"/>
  <c r="I545" i="13"/>
  <c r="I562" i="13" s="1"/>
  <c r="F86" i="26" s="1"/>
  <c r="M546" i="13"/>
  <c r="M563" i="13" s="1"/>
  <c r="J87" i="26" s="1"/>
  <c r="H20" i="25"/>
  <c r="G69" i="41" s="1"/>
  <c r="G40" i="41" s="1"/>
  <c r="J546" i="13"/>
  <c r="J563" i="13" s="1"/>
  <c r="G87" i="26" s="1"/>
  <c r="J542" i="13"/>
  <c r="J560" i="13" s="1"/>
  <c r="G84" i="26" s="1"/>
  <c r="J545" i="13"/>
  <c r="J562" i="13" s="1"/>
  <c r="G86" i="26" s="1"/>
  <c r="M545" i="13"/>
  <c r="M562" i="13" s="1"/>
  <c r="J86" i="26" s="1"/>
  <c r="I539" i="13"/>
  <c r="I558" i="13" s="1"/>
  <c r="F82" i="26" s="1"/>
  <c r="M539" i="13"/>
  <c r="M558" i="13" s="1"/>
  <c r="J82" i="26" s="1"/>
  <c r="J552" i="13"/>
  <c r="J569" i="13" s="1"/>
  <c r="G93" i="26" s="1"/>
  <c r="K542" i="13"/>
  <c r="K560" i="13" s="1"/>
  <c r="H84" i="26" s="1"/>
  <c r="J543" i="13"/>
  <c r="J561" i="13" s="1"/>
  <c r="G85" i="26" s="1"/>
  <c r="J539" i="13"/>
  <c r="J558" i="13" s="1"/>
  <c r="G82" i="26" s="1"/>
  <c r="I546" i="13"/>
  <c r="I563" i="13" s="1"/>
  <c r="F87" i="26" s="1"/>
  <c r="I542" i="13"/>
  <c r="I560" i="13" s="1"/>
  <c r="F84" i="26" s="1"/>
  <c r="I4" i="6"/>
  <c r="I133" i="18"/>
  <c r="I132" i="18" s="1"/>
  <c r="I127" i="18"/>
  <c r="F21" i="25"/>
  <c r="E63" i="41" s="1"/>
  <c r="E41" i="41" s="1"/>
  <c r="J134" i="18"/>
  <c r="F17" i="27"/>
  <c r="E72" i="41" s="1"/>
  <c r="J127" i="18"/>
  <c r="J126" i="18" s="1"/>
  <c r="F21" i="27"/>
  <c r="I128" i="18"/>
  <c r="I134" i="18"/>
  <c r="I12" i="18" s="1"/>
  <c r="D53" i="23" s="1"/>
  <c r="K134" i="18"/>
  <c r="J148" i="18"/>
  <c r="G21" i="27" s="1"/>
  <c r="I167" i="13"/>
  <c r="I468" i="13" s="1"/>
  <c r="K65" i="18"/>
  <c r="K145" i="18" s="1"/>
  <c r="K14" i="18" s="1"/>
  <c r="F55" i="23" s="1"/>
  <c r="J167" i="13"/>
  <c r="J468" i="13" s="1"/>
  <c r="J65" i="18"/>
  <c r="J145" i="18" s="1"/>
  <c r="G14" i="27" s="1"/>
  <c r="K127" i="18"/>
  <c r="K126" i="18" s="1"/>
  <c r="J129" i="18"/>
  <c r="J4" i="6"/>
  <c r="L4" i="6"/>
  <c r="X450" i="13"/>
  <c r="K167" i="13"/>
  <c r="K170" i="13" s="1"/>
  <c r="K172" i="13" s="1"/>
  <c r="K466" i="13" s="1"/>
  <c r="K538" i="13" s="1"/>
  <c r="K556" i="13" s="1"/>
  <c r="H80" i="26" s="1"/>
  <c r="E29" i="24"/>
  <c r="F20" i="25"/>
  <c r="E69" i="41" s="1"/>
  <c r="E40" i="41" s="1"/>
  <c r="F20" i="26"/>
  <c r="E64" i="23"/>
  <c r="H170" i="13"/>
  <c r="H172" i="13" s="1"/>
  <c r="H466" i="13" s="1"/>
  <c r="H468" i="13"/>
  <c r="G29" i="24"/>
  <c r="F42" i="41"/>
  <c r="H20" i="26"/>
  <c r="K137" i="13"/>
  <c r="K451" i="13" s="1"/>
  <c r="H53" i="26" s="1"/>
  <c r="E94" i="37"/>
  <c r="E26" i="37"/>
  <c r="K17" i="13"/>
  <c r="F32" i="23" s="1"/>
  <c r="H68" i="37"/>
  <c r="AI95" i="38"/>
  <c r="H47" i="37"/>
  <c r="D97" i="37"/>
  <c r="I277" i="13" s="1"/>
  <c r="J24" i="26"/>
  <c r="J272" i="13"/>
  <c r="G60" i="26" s="1"/>
  <c r="G20" i="25"/>
  <c r="F69" i="41" s="1"/>
  <c r="F40" i="41" s="1"/>
  <c r="E93" i="37"/>
  <c r="E92" i="37"/>
  <c r="G65" i="26"/>
  <c r="G66" i="26" s="1"/>
  <c r="J24" i="25"/>
  <c r="E91" i="37"/>
  <c r="D98" i="37"/>
  <c r="I282" i="13" s="1"/>
  <c r="E28" i="37"/>
  <c r="K129" i="18"/>
  <c r="K133" i="18"/>
  <c r="K132" i="18" s="1"/>
  <c r="L36" i="24"/>
  <c r="H49" i="37"/>
  <c r="H50" i="37"/>
  <c r="H17" i="13"/>
  <c r="C32" i="23" s="1"/>
  <c r="H48" i="37"/>
  <c r="E20" i="25"/>
  <c r="D69" i="41" s="1"/>
  <c r="D40" i="41" s="1"/>
  <c r="G30" i="24"/>
  <c r="I17" i="13"/>
  <c r="D32" i="23" s="1"/>
  <c r="J269" i="13"/>
  <c r="G58" i="26" s="1"/>
  <c r="M270" i="13"/>
  <c r="H33" i="24"/>
  <c r="H21" i="25"/>
  <c r="G63" i="41" s="1"/>
  <c r="G41" i="41" s="1"/>
  <c r="H70" i="37"/>
  <c r="M15" i="13"/>
  <c r="H30" i="23" s="1"/>
  <c r="D29" i="24"/>
  <c r="E27" i="37"/>
  <c r="E42" i="41"/>
  <c r="O22" i="27"/>
  <c r="H72" i="37"/>
  <c r="H69" i="37"/>
  <c r="E24" i="37"/>
  <c r="J270" i="13"/>
  <c r="G59" i="26" s="1"/>
  <c r="K270" i="13"/>
  <c r="H59" i="26" s="1"/>
  <c r="M36" i="24"/>
  <c r="F47" i="37"/>
  <c r="F48" i="37"/>
  <c r="F46" i="37"/>
  <c r="F49" i="37"/>
  <c r="F50" i="37"/>
  <c r="F71" i="37"/>
  <c r="F70" i="37"/>
  <c r="F29" i="24"/>
  <c r="G20" i="26"/>
  <c r="I20" i="26"/>
  <c r="I20" i="25"/>
  <c r="H69" i="41" s="1"/>
  <c r="H40" i="41" s="1"/>
  <c r="H64" i="26"/>
  <c r="G33" i="24"/>
  <c r="F28" i="37"/>
  <c r="F25" i="37"/>
  <c r="F24" i="37"/>
  <c r="F26" i="37"/>
  <c r="F27" i="37"/>
  <c r="I271" i="13"/>
  <c r="H13" i="6"/>
  <c r="D42" i="41" s="1"/>
  <c r="H7" i="6"/>
  <c r="D66" i="41" s="1"/>
  <c r="F64" i="26"/>
  <c r="F66" i="26" s="1"/>
  <c r="E33" i="24"/>
  <c r="I15" i="13"/>
  <c r="D30" i="23" s="1"/>
  <c r="F24" i="26"/>
  <c r="F24" i="25"/>
  <c r="E81" i="41" s="1"/>
  <c r="D46" i="37"/>
  <c r="D48" i="37"/>
  <c r="D50" i="37"/>
  <c r="D47" i="37"/>
  <c r="D49" i="37"/>
  <c r="H65" i="23"/>
  <c r="G68" i="23"/>
  <c r="G64" i="23" s="1"/>
  <c r="G26" i="35"/>
  <c r="AR96" i="38"/>
  <c r="D68" i="23"/>
  <c r="D64" i="23" s="1"/>
  <c r="D71" i="37"/>
  <c r="D69" i="37"/>
  <c r="D68" i="37"/>
  <c r="D70" i="37"/>
  <c r="D72" i="37"/>
  <c r="K16" i="6"/>
  <c r="F68" i="23" s="1"/>
  <c r="K4" i="6"/>
  <c r="K9" i="6" s="1"/>
  <c r="L522" i="13"/>
  <c r="L516" i="13"/>
  <c r="L526" i="13"/>
  <c r="L286" i="13"/>
  <c r="L530" i="13"/>
  <c r="L521" i="13"/>
  <c r="L520" i="13"/>
  <c r="L518" i="13"/>
  <c r="L531" i="13"/>
  <c r="L527" i="13"/>
  <c r="L529" i="13"/>
  <c r="L528" i="13"/>
  <c r="L519" i="13"/>
  <c r="G6" i="37"/>
  <c r="L517" i="13"/>
  <c r="L515" i="13"/>
  <c r="L287" i="13"/>
  <c r="L524" i="13"/>
  <c r="L525" i="13"/>
  <c r="I269" i="13"/>
  <c r="F148" i="38"/>
  <c r="D148" i="38"/>
  <c r="C51" i="23"/>
  <c r="H148" i="18"/>
  <c r="AF22" i="38"/>
  <c r="Z6" i="38" s="1"/>
  <c r="E38" i="26"/>
  <c r="F33" i="24"/>
  <c r="E20" i="26"/>
  <c r="E141" i="38" s="1"/>
  <c r="E148" i="38" s="1"/>
  <c r="H28" i="37"/>
  <c r="H27" i="37"/>
  <c r="H25" i="37"/>
  <c r="H24" i="37"/>
  <c r="H26" i="37"/>
  <c r="D25" i="37"/>
  <c r="D24" i="37"/>
  <c r="D28" i="37"/>
  <c r="D27" i="37"/>
  <c r="D26" i="37"/>
  <c r="M22" i="27"/>
  <c r="M27" i="25"/>
  <c r="O27" i="27"/>
  <c r="N22" i="27"/>
  <c r="N27" i="27"/>
  <c r="K36" i="24"/>
  <c r="AR85" i="38"/>
  <c r="AE7" i="38"/>
  <c r="C26" i="35"/>
  <c r="H143" i="38"/>
  <c r="G150" i="38" s="1"/>
  <c r="J15" i="13"/>
  <c r="E30" i="23" s="1"/>
  <c r="AN105" i="38"/>
  <c r="AK121" i="38"/>
  <c r="AQ105" i="38" s="1"/>
  <c r="AA112" i="38"/>
  <c r="AC112" i="38" s="1"/>
  <c r="AD112" i="38" s="1"/>
  <c r="J71" i="40" s="1"/>
  <c r="J70" i="40" s="1"/>
  <c r="AI117" i="38"/>
  <c r="AO102" i="38" s="1"/>
  <c r="AH117" i="38"/>
  <c r="AN102" i="38" s="1"/>
  <c r="AJ117" i="38"/>
  <c r="AP102" i="38" s="1"/>
  <c r="AR97" i="38"/>
  <c r="G24" i="35"/>
  <c r="E50" i="37"/>
  <c r="E49" i="37"/>
  <c r="E46" i="37"/>
  <c r="E47" i="37"/>
  <c r="E48" i="37"/>
  <c r="I137" i="13"/>
  <c r="I451" i="13" s="1"/>
  <c r="F53" i="26" s="1"/>
  <c r="I450" i="13"/>
  <c r="F52" i="26" s="1"/>
  <c r="N27" i="25"/>
  <c r="C28" i="35"/>
  <c r="H145" i="38"/>
  <c r="G152" i="38" s="1"/>
  <c r="H142" i="38"/>
  <c r="C24" i="35"/>
  <c r="F67" i="40"/>
  <c r="F66" i="40" s="1"/>
  <c r="M33" i="18"/>
  <c r="M167" i="13" s="1"/>
  <c r="M9" i="18"/>
  <c r="Q9" i="18" s="1"/>
  <c r="M10" i="18"/>
  <c r="G24" i="25"/>
  <c r="F81" i="41" s="1"/>
  <c r="G24" i="26"/>
  <c r="I270" i="13"/>
  <c r="F59" i="26" s="1"/>
  <c r="F65" i="23"/>
  <c r="M4" i="6"/>
  <c r="M9" i="6" s="1"/>
  <c r="M16" i="6"/>
  <c r="H68" i="23" s="1"/>
  <c r="H17" i="27"/>
  <c r="K6" i="18"/>
  <c r="F48" i="23" s="1"/>
  <c r="AR95" i="38"/>
  <c r="G27" i="35"/>
  <c r="L9" i="18"/>
  <c r="AL117" i="38"/>
  <c r="L33" i="18"/>
  <c r="L10" i="18"/>
  <c r="O27" i="25"/>
  <c r="M27" i="27"/>
  <c r="I54" i="38"/>
  <c r="K54" i="38"/>
  <c r="H144" i="38"/>
  <c r="G151" i="38" s="1"/>
  <c r="C27" i="35"/>
  <c r="H16" i="6"/>
  <c r="C68" i="23" s="1"/>
  <c r="H4" i="6"/>
  <c r="D38" i="40"/>
  <c r="E38" i="40" s="1"/>
  <c r="D24" i="38" s="1"/>
  <c r="N368" i="13" s="1"/>
  <c r="M368" i="13" s="1"/>
  <c r="AG22" i="38" s="1"/>
  <c r="AA6" i="38" s="1"/>
  <c r="D37" i="40"/>
  <c r="E37" i="40" s="1"/>
  <c r="D22" i="38" s="1"/>
  <c r="N447" i="13" s="1"/>
  <c r="M447" i="13" s="1"/>
  <c r="M135" i="13" s="1"/>
  <c r="M137" i="13" s="1"/>
  <c r="D21" i="38"/>
  <c r="D39" i="40"/>
  <c r="E39" i="40" s="1"/>
  <c r="D25" i="38" s="1"/>
  <c r="N381" i="13" s="1"/>
  <c r="M381" i="13" s="1"/>
  <c r="V29" i="13"/>
  <c r="H65" i="18"/>
  <c r="H145" i="18" s="1"/>
  <c r="H134" i="18"/>
  <c r="H133" i="18"/>
  <c r="H132" i="18" s="1"/>
  <c r="H127" i="18"/>
  <c r="H129" i="18"/>
  <c r="H128" i="18"/>
  <c r="G42" i="41"/>
  <c r="E74" i="37"/>
  <c r="J276" i="13" s="1"/>
  <c r="E75" i="37"/>
  <c r="J281" i="13" s="1"/>
  <c r="J137" i="13"/>
  <c r="J451" i="13" s="1"/>
  <c r="G53" i="26" s="1"/>
  <c r="J450" i="13"/>
  <c r="J550" i="13" s="1"/>
  <c r="J567" i="13" s="1"/>
  <c r="G91" i="26" s="1"/>
  <c r="H137" i="13"/>
  <c r="H97" i="37"/>
  <c r="H98" i="37"/>
  <c r="K269" i="13" l="1"/>
  <c r="H24" i="26"/>
  <c r="K15" i="13"/>
  <c r="F30" i="23" s="1"/>
  <c r="H24" i="25"/>
  <c r="G81" i="41" s="1"/>
  <c r="F97" i="37"/>
  <c r="K277" i="13" s="1"/>
  <c r="H19" i="46"/>
  <c r="F72" i="37"/>
  <c r="K271" i="13"/>
  <c r="H60" i="26" s="1"/>
  <c r="H66" i="26"/>
  <c r="F68" i="37"/>
  <c r="F75" i="37" s="1"/>
  <c r="K281" i="13" s="1"/>
  <c r="H4" i="43"/>
  <c r="H7" i="43" s="1"/>
  <c r="H11" i="43"/>
  <c r="H15" i="43" s="1"/>
  <c r="V381" i="13"/>
  <c r="H94" i="41"/>
  <c r="H92" i="41" s="1"/>
  <c r="H67" i="41"/>
  <c r="H42" i="41"/>
  <c r="H97" i="41"/>
  <c r="H95" i="41" s="1"/>
  <c r="F12" i="25"/>
  <c r="E13" i="41" s="1"/>
  <c r="L450" i="13"/>
  <c r="I52" i="26" s="1"/>
  <c r="L17" i="13"/>
  <c r="G32" i="23" s="1"/>
  <c r="I170" i="13"/>
  <c r="I172" i="13" s="1"/>
  <c r="I466" i="13" s="1"/>
  <c r="I538" i="13" s="1"/>
  <c r="I556" i="13" s="1"/>
  <c r="F80" i="26" s="1"/>
  <c r="F9" i="25"/>
  <c r="E25" i="41" s="1"/>
  <c r="F14" i="25"/>
  <c r="E52" i="41" s="1"/>
  <c r="E21" i="24"/>
  <c r="I39" i="26"/>
  <c r="E23" i="24"/>
  <c r="F12" i="27"/>
  <c r="E56" i="41" s="1"/>
  <c r="E44" i="41" s="1"/>
  <c r="H9" i="6"/>
  <c r="F14" i="27"/>
  <c r="G9" i="27"/>
  <c r="M18" i="6"/>
  <c r="D88" i="40" s="1"/>
  <c r="D92" i="40" s="1"/>
  <c r="H18" i="6"/>
  <c r="D87" i="40" s="1"/>
  <c r="D91" i="40" s="1"/>
  <c r="AA24" i="38"/>
  <c r="AC6" i="38" s="1"/>
  <c r="K18" i="6"/>
  <c r="J17" i="13"/>
  <c r="E32" i="23" s="1"/>
  <c r="K547" i="13"/>
  <c r="K564" i="13" s="1"/>
  <c r="H88" i="26" s="1"/>
  <c r="J547" i="13"/>
  <c r="J564" i="13" s="1"/>
  <c r="G88" i="26" s="1"/>
  <c r="I550" i="13"/>
  <c r="I567" i="13" s="1"/>
  <c r="F91" i="26" s="1"/>
  <c r="I547" i="13"/>
  <c r="I564" i="13" s="1"/>
  <c r="F88" i="26" s="1"/>
  <c r="H43" i="40"/>
  <c r="D58" i="23"/>
  <c r="D57" i="23" s="1"/>
  <c r="I9" i="6"/>
  <c r="L9" i="6"/>
  <c r="AC74" i="38" s="1"/>
  <c r="E58" i="23"/>
  <c r="E57" i="23" s="1"/>
  <c r="J9" i="6"/>
  <c r="I27" i="38"/>
  <c r="J12" i="18"/>
  <c r="E53" i="23" s="1"/>
  <c r="G21" i="24"/>
  <c r="G9" i="25"/>
  <c r="F25" i="41" s="1"/>
  <c r="F9" i="27"/>
  <c r="G23" i="24"/>
  <c r="J38" i="26"/>
  <c r="H12" i="25"/>
  <c r="I126" i="18"/>
  <c r="F7" i="25" s="1"/>
  <c r="H41" i="40"/>
  <c r="I26" i="38"/>
  <c r="L543" i="13"/>
  <c r="L561" i="13" s="1"/>
  <c r="I85" i="26" s="1"/>
  <c r="J170" i="13"/>
  <c r="J172" i="13" s="1"/>
  <c r="J466" i="13" s="1"/>
  <c r="J538" i="13" s="1"/>
  <c r="J556" i="13" s="1"/>
  <c r="G80" i="26" s="1"/>
  <c r="H467" i="13"/>
  <c r="H538" i="13"/>
  <c r="H556" i="13" s="1"/>
  <c r="E80" i="26" s="1"/>
  <c r="F23" i="24"/>
  <c r="J6" i="18"/>
  <c r="E48" i="23" s="1"/>
  <c r="I5" i="18"/>
  <c r="D47" i="23" s="1"/>
  <c r="H14" i="27"/>
  <c r="H12" i="27"/>
  <c r="G56" i="41" s="1"/>
  <c r="F18" i="24"/>
  <c r="E18" i="24"/>
  <c r="H14" i="25"/>
  <c r="G52" i="41" s="1"/>
  <c r="N17" i="27"/>
  <c r="G21" i="25"/>
  <c r="F63" i="41" s="1"/>
  <c r="F41" i="41" s="1"/>
  <c r="F30" i="24"/>
  <c r="F21" i="24"/>
  <c r="G17" i="27"/>
  <c r="F72" i="41" s="1"/>
  <c r="J5" i="18"/>
  <c r="E47" i="23" s="1"/>
  <c r="G14" i="25"/>
  <c r="F52" i="41" s="1"/>
  <c r="G12" i="25"/>
  <c r="G18" i="24"/>
  <c r="G12" i="27"/>
  <c r="F56" i="41" s="1"/>
  <c r="J14" i="18"/>
  <c r="E55" i="23" s="1"/>
  <c r="G58" i="23"/>
  <c r="G57" i="23" s="1"/>
  <c r="M17" i="13"/>
  <c r="H32" i="23" s="1"/>
  <c r="K25" i="38"/>
  <c r="I25" i="38" s="1"/>
  <c r="V368" i="13"/>
  <c r="J20" i="25"/>
  <c r="H29" i="24"/>
  <c r="K292" i="13"/>
  <c r="H76" i="26" s="1"/>
  <c r="AG23" i="38"/>
  <c r="AA7" i="38" s="1"/>
  <c r="AI86" i="38" s="1"/>
  <c r="AO86" i="38" s="1"/>
  <c r="K468" i="13"/>
  <c r="K5" i="13" s="1"/>
  <c r="F21" i="23" s="1"/>
  <c r="K24" i="38"/>
  <c r="G24" i="38" s="1"/>
  <c r="J20" i="26"/>
  <c r="H8" i="27"/>
  <c r="AB24" i="38"/>
  <c r="AD6" i="38" s="1"/>
  <c r="J39" i="26"/>
  <c r="V447" i="13"/>
  <c r="AB23" i="38"/>
  <c r="M448" i="13"/>
  <c r="M449" i="13" s="1"/>
  <c r="AB25" i="38"/>
  <c r="AD7" i="38" s="1"/>
  <c r="AA87" i="38" s="1"/>
  <c r="K5" i="18"/>
  <c r="F47" i="23" s="1"/>
  <c r="H7" i="27"/>
  <c r="G29" i="41" s="1"/>
  <c r="H8" i="25"/>
  <c r="G24" i="41" s="1"/>
  <c r="K12" i="18"/>
  <c r="F53" i="23" s="1"/>
  <c r="G17" i="24"/>
  <c r="K4" i="18"/>
  <c r="F46" i="23" s="1"/>
  <c r="H9" i="25"/>
  <c r="G25" i="41" s="1"/>
  <c r="H7" i="25"/>
  <c r="G16" i="24"/>
  <c r="H9" i="27"/>
  <c r="K11" i="18"/>
  <c r="F52" i="23" s="1"/>
  <c r="E98" i="37"/>
  <c r="J282" i="13" s="1"/>
  <c r="G44" i="26" s="1"/>
  <c r="E97" i="37"/>
  <c r="J277" i="13" s="1"/>
  <c r="G48" i="26" s="1"/>
  <c r="I292" i="13"/>
  <c r="F76" i="26" s="1"/>
  <c r="H52" i="37"/>
  <c r="M280" i="13" s="1"/>
  <c r="F64" i="23"/>
  <c r="H51" i="37"/>
  <c r="M275" i="13" s="1"/>
  <c r="G23" i="26"/>
  <c r="E31" i="37"/>
  <c r="J279" i="13" s="1"/>
  <c r="G42" i="26" s="1"/>
  <c r="E30" i="37"/>
  <c r="J274" i="13" s="1"/>
  <c r="G46" i="26" s="1"/>
  <c r="H74" i="37"/>
  <c r="M276" i="13" s="1"/>
  <c r="H126" i="18"/>
  <c r="E7" i="25" s="1"/>
  <c r="H75" i="37"/>
  <c r="M281" i="13" s="1"/>
  <c r="G23" i="25"/>
  <c r="F80" i="41" s="1"/>
  <c r="F30" i="37"/>
  <c r="K274" i="13" s="1"/>
  <c r="F31" i="37"/>
  <c r="K279" i="13" s="1"/>
  <c r="F51" i="37"/>
  <c r="K275" i="13" s="1"/>
  <c r="F52" i="37"/>
  <c r="K280" i="13" s="1"/>
  <c r="F32" i="24"/>
  <c r="K14" i="13"/>
  <c r="F29" i="23" s="1"/>
  <c r="H58" i="26"/>
  <c r="J14" i="13"/>
  <c r="E29" i="23" s="1"/>
  <c r="G51" i="23"/>
  <c r="L148" i="18"/>
  <c r="L508" i="13"/>
  <c r="L505" i="13"/>
  <c r="L509" i="13"/>
  <c r="L504" i="13"/>
  <c r="L285" i="13"/>
  <c r="I65" i="26" s="1"/>
  <c r="G5" i="37"/>
  <c r="L510" i="13"/>
  <c r="L506" i="13"/>
  <c r="L548" i="13" s="1"/>
  <c r="L565" i="13" s="1"/>
  <c r="I89" i="26" s="1"/>
  <c r="L507" i="13"/>
  <c r="L551" i="13" s="1"/>
  <c r="L568" i="13" s="1"/>
  <c r="I92" i="26" s="1"/>
  <c r="AC36" i="38"/>
  <c r="AH16" i="38" s="1"/>
  <c r="L511" i="13"/>
  <c r="G149" i="38"/>
  <c r="F149" i="38"/>
  <c r="E51" i="37"/>
  <c r="J275" i="13" s="1"/>
  <c r="E52" i="37"/>
  <c r="J280" i="13" s="1"/>
  <c r="G95" i="37"/>
  <c r="G92" i="37"/>
  <c r="G91" i="37"/>
  <c r="G93" i="37"/>
  <c r="G94" i="37"/>
  <c r="D75" i="37"/>
  <c r="I281" i="13" s="1"/>
  <c r="D74" i="37"/>
  <c r="I276" i="13" s="1"/>
  <c r="D51" i="37"/>
  <c r="I275" i="13" s="1"/>
  <c r="D52" i="37"/>
  <c r="I280" i="13" s="1"/>
  <c r="E19" i="26"/>
  <c r="G141" i="38" s="1"/>
  <c r="G148" i="38" s="1"/>
  <c r="H12" i="18"/>
  <c r="C53" i="23" s="1"/>
  <c r="C58" i="23"/>
  <c r="L127" i="18"/>
  <c r="L134" i="18"/>
  <c r="L133" i="18"/>
  <c r="L132" i="18" s="1"/>
  <c r="L129" i="18"/>
  <c r="L65" i="18"/>
  <c r="L145" i="18" s="1"/>
  <c r="L128" i="18"/>
  <c r="H58" i="23"/>
  <c r="H57" i="23" s="1"/>
  <c r="M133" i="18"/>
  <c r="M132" i="18" s="1"/>
  <c r="M127" i="18"/>
  <c r="M129" i="18"/>
  <c r="M65" i="18"/>
  <c r="M145" i="18" s="1"/>
  <c r="M468" i="13"/>
  <c r="M128" i="18"/>
  <c r="M134" i="18"/>
  <c r="L167" i="13"/>
  <c r="H492" i="13"/>
  <c r="H496" i="13"/>
  <c r="H501" i="13"/>
  <c r="C19" i="35"/>
  <c r="C25" i="35" s="1"/>
  <c r="H497" i="13"/>
  <c r="H500" i="13"/>
  <c r="H487" i="13"/>
  <c r="H35" i="38"/>
  <c r="M35" i="38" s="1"/>
  <c r="H284" i="13"/>
  <c r="H499" i="13"/>
  <c r="H490" i="13"/>
  <c r="N490" i="13" s="1"/>
  <c r="H489" i="13"/>
  <c r="N489" i="13" s="1"/>
  <c r="H498" i="13"/>
  <c r="C4" i="37"/>
  <c r="H488" i="13"/>
  <c r="N488" i="13" s="1"/>
  <c r="H495" i="13"/>
  <c r="H493" i="13"/>
  <c r="N493" i="13" s="1"/>
  <c r="H491" i="13"/>
  <c r="AF34" i="38"/>
  <c r="AC16" i="38" s="1"/>
  <c r="D30" i="24"/>
  <c r="H6" i="18"/>
  <c r="C48" i="23" s="1"/>
  <c r="E21" i="25"/>
  <c r="D63" i="41" s="1"/>
  <c r="D41" i="41" s="1"/>
  <c r="E17" i="27"/>
  <c r="E21" i="27"/>
  <c r="D18" i="24"/>
  <c r="E9" i="27"/>
  <c r="E9" i="25"/>
  <c r="D25" i="41" s="1"/>
  <c r="H5" i="18"/>
  <c r="C47" i="23" s="1"/>
  <c r="H25" i="38"/>
  <c r="M25" i="38" s="1"/>
  <c r="J39" i="40" s="1"/>
  <c r="H22" i="38"/>
  <c r="H24" i="38"/>
  <c r="M24" i="38" s="1"/>
  <c r="J38" i="40" s="1"/>
  <c r="AR102" i="38"/>
  <c r="AK117" i="38"/>
  <c r="AQ102" i="38" s="1"/>
  <c r="G8" i="27"/>
  <c r="F16" i="24"/>
  <c r="G8" i="25"/>
  <c r="F24" i="41" s="1"/>
  <c r="G7" i="27"/>
  <c r="F17" i="24"/>
  <c r="J11" i="18"/>
  <c r="J4" i="18"/>
  <c r="G7" i="25"/>
  <c r="F12" i="41" s="1"/>
  <c r="H516" i="13"/>
  <c r="H525" i="13"/>
  <c r="H517" i="13"/>
  <c r="H528" i="13"/>
  <c r="H524" i="13"/>
  <c r="H286" i="13"/>
  <c r="H518" i="13"/>
  <c r="C6" i="37"/>
  <c r="H529" i="13"/>
  <c r="H515" i="13"/>
  <c r="H530" i="13"/>
  <c r="H527" i="13"/>
  <c r="H519" i="13"/>
  <c r="H526" i="13"/>
  <c r="H287" i="13"/>
  <c r="H522" i="13"/>
  <c r="H520" i="13"/>
  <c r="H521" i="13"/>
  <c r="H531" i="13"/>
  <c r="H30" i="37"/>
  <c r="M274" i="13" s="1"/>
  <c r="H31" i="37"/>
  <c r="M279" i="13" s="1"/>
  <c r="F23" i="25"/>
  <c r="E80" i="41" s="1"/>
  <c r="E32" i="24"/>
  <c r="F58" i="26"/>
  <c r="I14" i="13"/>
  <c r="D29" i="23" s="1"/>
  <c r="F23" i="26"/>
  <c r="L272" i="13"/>
  <c r="F58" i="23"/>
  <c r="F57" i="23" s="1"/>
  <c r="L498" i="13"/>
  <c r="L490" i="13"/>
  <c r="L496" i="13"/>
  <c r="G4" i="37"/>
  <c r="L489" i="13"/>
  <c r="L500" i="13"/>
  <c r="L499" i="13"/>
  <c r="L492" i="13"/>
  <c r="AH34" i="38"/>
  <c r="AE16" i="38" s="1"/>
  <c r="L493" i="13"/>
  <c r="L497" i="13"/>
  <c r="L487" i="13"/>
  <c r="L501" i="13"/>
  <c r="L284" i="13"/>
  <c r="L488" i="13"/>
  <c r="G19" i="35"/>
  <c r="G25" i="35" s="1"/>
  <c r="L491" i="13"/>
  <c r="L495" i="13"/>
  <c r="C62" i="23"/>
  <c r="F96" i="40"/>
  <c r="F95" i="40" s="1"/>
  <c r="E12" i="27"/>
  <c r="D21" i="24"/>
  <c r="E14" i="27"/>
  <c r="E12" i="25"/>
  <c r="D13" i="41" s="1"/>
  <c r="E14" i="25"/>
  <c r="D52" i="41" s="1"/>
  <c r="D23" i="24"/>
  <c r="H14" i="18"/>
  <c r="C55" i="23" s="1"/>
  <c r="H507" i="13"/>
  <c r="H505" i="13"/>
  <c r="H285" i="13"/>
  <c r="H508" i="13"/>
  <c r="C5" i="37"/>
  <c r="H510" i="13"/>
  <c r="H511" i="13"/>
  <c r="H36" i="38"/>
  <c r="M36" i="38" s="1"/>
  <c r="AA36" i="38"/>
  <c r="AF16" i="38" s="1"/>
  <c r="H504" i="13"/>
  <c r="H509" i="13"/>
  <c r="H506" i="13"/>
  <c r="G72" i="41"/>
  <c r="M148" i="18"/>
  <c r="H51" i="23"/>
  <c r="H479" i="13"/>
  <c r="H482" i="13"/>
  <c r="H537" i="13" s="1"/>
  <c r="H555" i="13" s="1"/>
  <c r="E79" i="26" s="1"/>
  <c r="AA34" i="38"/>
  <c r="Z16" i="38" s="1"/>
  <c r="H481" i="13"/>
  <c r="H483" i="13"/>
  <c r="C3" i="37"/>
  <c r="H480" i="13"/>
  <c r="H478" i="13"/>
  <c r="H34" i="38"/>
  <c r="M34" i="38" s="1"/>
  <c r="L483" i="13"/>
  <c r="L480" i="13"/>
  <c r="L481" i="13"/>
  <c r="AC34" i="38"/>
  <c r="AB16" i="38" s="1"/>
  <c r="G3" i="37"/>
  <c r="L482" i="13"/>
  <c r="L537" i="13" s="1"/>
  <c r="L555" i="13" s="1"/>
  <c r="I79" i="26" s="1"/>
  <c r="L478" i="13"/>
  <c r="L479" i="13"/>
  <c r="D31" i="37"/>
  <c r="I279" i="13" s="1"/>
  <c r="D30" i="37"/>
  <c r="I274" i="13" s="1"/>
  <c r="H64" i="23"/>
  <c r="C65" i="23"/>
  <c r="C64" i="23" s="1"/>
  <c r="F60" i="26"/>
  <c r="G61" i="26"/>
  <c r="J291" i="13"/>
  <c r="G75" i="26" s="1"/>
  <c r="G52" i="26"/>
  <c r="M282" i="13"/>
  <c r="H451" i="13"/>
  <c r="X448" i="13" s="1"/>
  <c r="M277" i="13"/>
  <c r="E52" i="26"/>
  <c r="G32" i="24" l="1"/>
  <c r="H23" i="26"/>
  <c r="H23" i="25"/>
  <c r="G80" i="41" s="1"/>
  <c r="F74" i="37"/>
  <c r="K276" i="13" s="1"/>
  <c r="G34" i="24" s="1"/>
  <c r="H61" i="26"/>
  <c r="H13" i="13"/>
  <c r="G23" i="41"/>
  <c r="G12" i="41"/>
  <c r="G50" i="41"/>
  <c r="G13" i="41"/>
  <c r="E50" i="41"/>
  <c r="H5" i="13"/>
  <c r="H469" i="13"/>
  <c r="E18" i="26"/>
  <c r="F50" i="41"/>
  <c r="F13" i="41"/>
  <c r="D23" i="41"/>
  <c r="D12" i="41"/>
  <c r="E23" i="41"/>
  <c r="E12" i="41"/>
  <c r="L21" i="24"/>
  <c r="N12" i="27"/>
  <c r="N12" i="25"/>
  <c r="E17" i="24"/>
  <c r="J49" i="26"/>
  <c r="F8" i="25"/>
  <c r="E24" i="41" s="1"/>
  <c r="I11" i="18"/>
  <c r="I15" i="18" s="1"/>
  <c r="F7" i="27"/>
  <c r="F33" i="27" s="1"/>
  <c r="F8" i="27"/>
  <c r="E16" i="24"/>
  <c r="I4" i="18"/>
  <c r="I7" i="18" s="1"/>
  <c r="G44" i="41"/>
  <c r="O17" i="27"/>
  <c r="L547" i="13"/>
  <c r="L564" i="13" s="1"/>
  <c r="I88" i="26" s="1"/>
  <c r="H545" i="13"/>
  <c r="H562" i="13" s="1"/>
  <c r="E86" i="26" s="1"/>
  <c r="L552" i="13"/>
  <c r="L569" i="13" s="1"/>
  <c r="I93" i="26" s="1"/>
  <c r="H475" i="13"/>
  <c r="H547" i="13"/>
  <c r="H564" i="13" s="1"/>
  <c r="E88" i="26" s="1"/>
  <c r="H548" i="13"/>
  <c r="H565" i="13" s="1"/>
  <c r="E89" i="26" s="1"/>
  <c r="H543" i="13"/>
  <c r="H561" i="13" s="1"/>
  <c r="E85" i="26" s="1"/>
  <c r="L539" i="13"/>
  <c r="L558" i="13" s="1"/>
  <c r="I82" i="26" s="1"/>
  <c r="M21" i="24"/>
  <c r="H542" i="13"/>
  <c r="H560" i="13" s="1"/>
  <c r="E84" i="26" s="1"/>
  <c r="H539" i="13"/>
  <c r="H558" i="13" s="1"/>
  <c r="E82" i="26" s="1"/>
  <c r="N491" i="13"/>
  <c r="H546" i="13"/>
  <c r="H563" i="13" s="1"/>
  <c r="E87" i="26" s="1"/>
  <c r="L542" i="13"/>
  <c r="L560" i="13" s="1"/>
  <c r="I84" i="26" s="1"/>
  <c r="N492" i="13"/>
  <c r="H552" i="13"/>
  <c r="H569" i="13" s="1"/>
  <c r="E93" i="26" s="1"/>
  <c r="L550" i="13"/>
  <c r="L567" i="13" s="1"/>
  <c r="I91" i="26" s="1"/>
  <c r="H550" i="13"/>
  <c r="H567" i="13" s="1"/>
  <c r="E91" i="26" s="1"/>
  <c r="V17" i="13"/>
  <c r="L545" i="13"/>
  <c r="L562" i="13" s="1"/>
  <c r="I86" i="26" s="1"/>
  <c r="H551" i="13"/>
  <c r="H568" i="13" s="1"/>
  <c r="E92" i="26" s="1"/>
  <c r="L546" i="13"/>
  <c r="L563" i="13" s="1"/>
  <c r="I87" i="26" s="1"/>
  <c r="C21" i="23"/>
  <c r="G25" i="38"/>
  <c r="H39" i="40"/>
  <c r="O12" i="27"/>
  <c r="O12" i="25"/>
  <c r="G33" i="27"/>
  <c r="AH86" i="38"/>
  <c r="AN86" i="38" s="1"/>
  <c r="H38" i="40"/>
  <c r="AJ86" i="38"/>
  <c r="AP86" i="38" s="1"/>
  <c r="AA86" i="38"/>
  <c r="F45" i="23"/>
  <c r="F9" i="23" s="1"/>
  <c r="G6" i="41" s="1"/>
  <c r="I24" i="38"/>
  <c r="G28" i="24"/>
  <c r="H19" i="26"/>
  <c r="AI125" i="38"/>
  <c r="AH125" i="38"/>
  <c r="V448" i="13"/>
  <c r="AJ89" i="38"/>
  <c r="AP85" i="38" s="1"/>
  <c r="AI89" i="38"/>
  <c r="AO85" i="38" s="1"/>
  <c r="AH89" i="38"/>
  <c r="AN85" i="38" s="1"/>
  <c r="AJ83" i="38"/>
  <c r="AP87" i="38" s="1"/>
  <c r="AI83" i="38"/>
  <c r="AO87" i="38" s="1"/>
  <c r="AH83" i="38"/>
  <c r="AN87" i="38" s="1"/>
  <c r="K7" i="18"/>
  <c r="H33" i="27"/>
  <c r="K15" i="18"/>
  <c r="L170" i="13"/>
  <c r="L172" i="13" s="1"/>
  <c r="L466" i="13" s="1"/>
  <c r="L538" i="13" s="1"/>
  <c r="L556" i="13" s="1"/>
  <c r="I80" i="26" s="1"/>
  <c r="L468" i="13"/>
  <c r="I19" i="26" s="1"/>
  <c r="F50" i="23"/>
  <c r="H19" i="25"/>
  <c r="G68" i="41" s="1"/>
  <c r="G39" i="41" s="1"/>
  <c r="K467" i="13"/>
  <c r="J18" i="13"/>
  <c r="J292" i="13"/>
  <c r="G76" i="26" s="1"/>
  <c r="D17" i="24"/>
  <c r="H4" i="18"/>
  <c r="H7" i="18" s="1"/>
  <c r="D40" i="38" s="1"/>
  <c r="D45" i="38" s="1"/>
  <c r="D63" i="40" s="1"/>
  <c r="E55" i="26"/>
  <c r="J19" i="13"/>
  <c r="E33" i="23" s="1"/>
  <c r="J289" i="13"/>
  <c r="G73" i="26" s="1"/>
  <c r="I290" i="13"/>
  <c r="F74" i="26" s="1"/>
  <c r="M12" i="18"/>
  <c r="H53" i="23" s="1"/>
  <c r="H22" i="25"/>
  <c r="L270" i="13"/>
  <c r="I59" i="26" s="1"/>
  <c r="E7" i="27"/>
  <c r="E33" i="27" s="1"/>
  <c r="L126" i="18"/>
  <c r="L11" i="18" s="1"/>
  <c r="I291" i="13"/>
  <c r="F75" i="26" s="1"/>
  <c r="E8" i="27"/>
  <c r="H11" i="18"/>
  <c r="H15" i="18" s="1"/>
  <c r="D16" i="24"/>
  <c r="E8" i="25"/>
  <c r="D24" i="41" s="1"/>
  <c r="L12" i="18"/>
  <c r="G53" i="23" s="1"/>
  <c r="K290" i="13"/>
  <c r="H74" i="26" s="1"/>
  <c r="D28" i="24"/>
  <c r="F44" i="41"/>
  <c r="H42" i="26"/>
  <c r="K19" i="13"/>
  <c r="F33" i="23" s="1"/>
  <c r="E19" i="25"/>
  <c r="D68" i="41" s="1"/>
  <c r="D39" i="41" s="1"/>
  <c r="G25" i="26"/>
  <c r="H46" i="26"/>
  <c r="H25" i="25"/>
  <c r="G82" i="41" s="1"/>
  <c r="K289" i="13"/>
  <c r="H73" i="26" s="1"/>
  <c r="G31" i="24"/>
  <c r="K291" i="13"/>
  <c r="H75" i="26" s="1"/>
  <c r="H47" i="26"/>
  <c r="H43" i="26"/>
  <c r="E34" i="24"/>
  <c r="I18" i="13"/>
  <c r="I6" i="13"/>
  <c r="D22" i="23" s="1"/>
  <c r="F46" i="26"/>
  <c r="F25" i="25"/>
  <c r="E82" i="41" s="1"/>
  <c r="F25" i="26"/>
  <c r="G25" i="37"/>
  <c r="G28" i="37"/>
  <c r="G27" i="37"/>
  <c r="G24" i="37"/>
  <c r="G26" i="37"/>
  <c r="C27" i="37"/>
  <c r="C28" i="37"/>
  <c r="C24" i="37"/>
  <c r="C26" i="37"/>
  <c r="C25" i="37"/>
  <c r="V482" i="13"/>
  <c r="N482" i="13"/>
  <c r="V509" i="13"/>
  <c r="N509" i="13"/>
  <c r="V511" i="13"/>
  <c r="N511" i="13"/>
  <c r="F144" i="38"/>
  <c r="F151" i="38" s="1"/>
  <c r="X285" i="13"/>
  <c r="Q285" i="13"/>
  <c r="E65" i="26"/>
  <c r="V285" i="13"/>
  <c r="K21" i="24"/>
  <c r="G49" i="37"/>
  <c r="G46" i="37"/>
  <c r="G48" i="37"/>
  <c r="G50" i="37"/>
  <c r="G47" i="37"/>
  <c r="N531" i="13"/>
  <c r="V531" i="13"/>
  <c r="Q287" i="13"/>
  <c r="V287" i="13"/>
  <c r="X287" i="13"/>
  <c r="V530" i="13"/>
  <c r="N530" i="13"/>
  <c r="N518" i="13"/>
  <c r="V518" i="13"/>
  <c r="N517" i="13"/>
  <c r="V517" i="13"/>
  <c r="J7" i="18"/>
  <c r="E46" i="23"/>
  <c r="E45" i="23" s="1"/>
  <c r="E9" i="23" s="1"/>
  <c r="F6" i="41" s="1"/>
  <c r="D72" i="41"/>
  <c r="M17" i="27"/>
  <c r="C46" i="37"/>
  <c r="C48" i="37"/>
  <c r="I48" i="37" s="1"/>
  <c r="C49" i="37"/>
  <c r="I49" i="37" s="1"/>
  <c r="C47" i="37"/>
  <c r="I47" i="37" s="1"/>
  <c r="C50" i="37"/>
  <c r="I50" i="37" s="1"/>
  <c r="V499" i="13"/>
  <c r="N499" i="13"/>
  <c r="V500" i="13"/>
  <c r="N500" i="13"/>
  <c r="V496" i="13"/>
  <c r="N496" i="13"/>
  <c r="V167" i="13"/>
  <c r="M170" i="13"/>
  <c r="I14" i="25"/>
  <c r="H52" i="41" s="1"/>
  <c r="I12" i="25"/>
  <c r="I14" i="27"/>
  <c r="I12" i="27"/>
  <c r="H56" i="41" s="1"/>
  <c r="L14" i="18"/>
  <c r="G55" i="23" s="1"/>
  <c r="J290" i="13"/>
  <c r="G74" i="26" s="1"/>
  <c r="G47" i="26"/>
  <c r="G43" i="26"/>
  <c r="L271" i="13"/>
  <c r="I60" i="26" s="1"/>
  <c r="J6" i="13"/>
  <c r="E22" i="23" s="1"/>
  <c r="F34" i="24"/>
  <c r="F31" i="24"/>
  <c r="I19" i="13"/>
  <c r="D33" i="23" s="1"/>
  <c r="F42" i="26"/>
  <c r="N483" i="13"/>
  <c r="V483" i="13"/>
  <c r="V479" i="13"/>
  <c r="N479" i="13"/>
  <c r="V504" i="13"/>
  <c r="H271" i="13"/>
  <c r="N504" i="13"/>
  <c r="V510" i="13"/>
  <c r="N510" i="13"/>
  <c r="N505" i="13"/>
  <c r="V505" i="13"/>
  <c r="D56" i="41"/>
  <c r="M12" i="27"/>
  <c r="E31" i="24"/>
  <c r="F61" i="26"/>
  <c r="V521" i="13"/>
  <c r="N521" i="13"/>
  <c r="N526" i="13"/>
  <c r="V526" i="13"/>
  <c r="N515" i="13"/>
  <c r="H272" i="13"/>
  <c r="V515" i="13"/>
  <c r="Q286" i="13"/>
  <c r="F145" i="38"/>
  <c r="F152" i="38" s="1"/>
  <c r="V286" i="13"/>
  <c r="X286" i="13"/>
  <c r="N525" i="13"/>
  <c r="V525" i="13"/>
  <c r="J15" i="18"/>
  <c r="E52" i="23"/>
  <c r="E50" i="23" s="1"/>
  <c r="M16" i="24"/>
  <c r="V498" i="13"/>
  <c r="N498" i="13"/>
  <c r="E64" i="26"/>
  <c r="V284" i="13"/>
  <c r="Q284" i="13"/>
  <c r="F143" i="38"/>
  <c r="F150" i="38" s="1"/>
  <c r="D33" i="24"/>
  <c r="H15" i="13"/>
  <c r="X284" i="13"/>
  <c r="E24" i="26"/>
  <c r="E24" i="25"/>
  <c r="D81" i="41" s="1"/>
  <c r="N497" i="13"/>
  <c r="V497" i="13"/>
  <c r="J12" i="27"/>
  <c r="M14" i="18"/>
  <c r="H55" i="23" s="1"/>
  <c r="J14" i="27"/>
  <c r="J14" i="25"/>
  <c r="J12" i="25"/>
  <c r="H23" i="24"/>
  <c r="H21" i="24"/>
  <c r="I9" i="27"/>
  <c r="L5" i="18"/>
  <c r="G47" i="23" s="1"/>
  <c r="I9" i="25"/>
  <c r="H25" i="41" s="1"/>
  <c r="C57" i="23"/>
  <c r="F47" i="26"/>
  <c r="F43" i="26"/>
  <c r="I21" i="27"/>
  <c r="L6" i="18"/>
  <c r="G48" i="23" s="1"/>
  <c r="I17" i="27"/>
  <c r="I21" i="25"/>
  <c r="H63" i="41" s="1"/>
  <c r="H41" i="41" s="1"/>
  <c r="I467" i="13"/>
  <c r="L269" i="13"/>
  <c r="V478" i="13"/>
  <c r="N478" i="13"/>
  <c r="H269" i="13"/>
  <c r="V481" i="13"/>
  <c r="N481" i="13"/>
  <c r="AA96" i="38"/>
  <c r="AJ104" i="38"/>
  <c r="AP95" i="38" s="1"/>
  <c r="AH104" i="38"/>
  <c r="AN95" i="38" s="1"/>
  <c r="AI104" i="38"/>
  <c r="AO95" i="38" s="1"/>
  <c r="C68" i="37"/>
  <c r="C72" i="37"/>
  <c r="I72" i="37" s="1"/>
  <c r="C69" i="37"/>
  <c r="I69" i="37" s="1"/>
  <c r="C71" i="37"/>
  <c r="I71" i="37" s="1"/>
  <c r="C70" i="37"/>
  <c r="I70" i="37" s="1"/>
  <c r="V507" i="13"/>
  <c r="N507" i="13"/>
  <c r="D50" i="41"/>
  <c r="M12" i="25"/>
  <c r="L15" i="13"/>
  <c r="G30" i="23" s="1"/>
  <c r="I24" i="25"/>
  <c r="H81" i="41" s="1"/>
  <c r="I64" i="26"/>
  <c r="I66" i="26" s="1"/>
  <c r="I24" i="26"/>
  <c r="I289" i="13"/>
  <c r="F73" i="26" s="1"/>
  <c r="N520" i="13"/>
  <c r="V520" i="13"/>
  <c r="N519" i="13"/>
  <c r="V519" i="13"/>
  <c r="N529" i="13"/>
  <c r="V529" i="13"/>
  <c r="N524" i="13"/>
  <c r="V524" i="13"/>
  <c r="V516" i="13"/>
  <c r="N516" i="13"/>
  <c r="AJ125" i="38"/>
  <c r="M22" i="38"/>
  <c r="J37" i="40" s="1"/>
  <c r="M5" i="18"/>
  <c r="H47" i="23" s="1"/>
  <c r="H18" i="24"/>
  <c r="J9" i="25"/>
  <c r="J9" i="27"/>
  <c r="D66" i="38"/>
  <c r="AB74" i="38"/>
  <c r="AA74" i="38"/>
  <c r="D65" i="38"/>
  <c r="F44" i="26"/>
  <c r="F48" i="26"/>
  <c r="G97" i="37"/>
  <c r="L277" i="13" s="1"/>
  <c r="G98" i="37"/>
  <c r="L282" i="13" s="1"/>
  <c r="G71" i="37"/>
  <c r="G68" i="37"/>
  <c r="G70" i="37"/>
  <c r="G72" i="37"/>
  <c r="G69" i="37"/>
  <c r="G22" i="25"/>
  <c r="G22" i="26"/>
  <c r="F84" i="41" s="1"/>
  <c r="G25" i="25"/>
  <c r="F82" i="41" s="1"/>
  <c r="F19" i="26"/>
  <c r="F19" i="25"/>
  <c r="E68" i="41" s="1"/>
  <c r="E39" i="41" s="1"/>
  <c r="E28" i="24"/>
  <c r="I5" i="13"/>
  <c r="D21" i="23" s="1"/>
  <c r="N480" i="13"/>
  <c r="V480" i="13"/>
  <c r="AA94" i="38"/>
  <c r="AH98" i="38"/>
  <c r="AN97" i="38" s="1"/>
  <c r="AI98" i="38"/>
  <c r="AO97" i="38" s="1"/>
  <c r="AJ98" i="38"/>
  <c r="AP97" i="38" s="1"/>
  <c r="M6" i="18"/>
  <c r="J21" i="25"/>
  <c r="J17" i="27"/>
  <c r="H30" i="24"/>
  <c r="J21" i="27"/>
  <c r="N506" i="13"/>
  <c r="V506" i="13"/>
  <c r="N508" i="13"/>
  <c r="V508" i="13"/>
  <c r="F22" i="25"/>
  <c r="E15" i="41" s="1"/>
  <c r="F22" i="26"/>
  <c r="N522" i="13"/>
  <c r="V522" i="13"/>
  <c r="N527" i="13"/>
  <c r="V527" i="13"/>
  <c r="C94" i="37"/>
  <c r="I94" i="37" s="1"/>
  <c r="C95" i="37"/>
  <c r="I95" i="37" s="1"/>
  <c r="C93" i="37"/>
  <c r="I93" i="37" s="1"/>
  <c r="C92" i="37"/>
  <c r="I92" i="37" s="1"/>
  <c r="C91" i="37"/>
  <c r="V528" i="13"/>
  <c r="N528" i="13"/>
  <c r="F23" i="41"/>
  <c r="O7" i="25"/>
  <c r="F29" i="41"/>
  <c r="O7" i="27"/>
  <c r="AA95" i="38"/>
  <c r="AJ101" i="38"/>
  <c r="AP96" i="38" s="1"/>
  <c r="AH101" i="38"/>
  <c r="AN96" i="38" s="1"/>
  <c r="AI101" i="38"/>
  <c r="AO96" i="38" s="1"/>
  <c r="H270" i="13"/>
  <c r="N495" i="13"/>
  <c r="V495" i="13"/>
  <c r="N487" i="13"/>
  <c r="N501" i="13"/>
  <c r="V501" i="13"/>
  <c r="M126" i="18"/>
  <c r="J467" i="13"/>
  <c r="J469" i="13" s="1"/>
  <c r="G19" i="26"/>
  <c r="F28" i="24"/>
  <c r="J5" i="13"/>
  <c r="E21" i="23" s="1"/>
  <c r="G19" i="25"/>
  <c r="F68" i="41" s="1"/>
  <c r="F39" i="41" s="1"/>
  <c r="AG33" i="38"/>
  <c r="AD15" i="38" s="1"/>
  <c r="V449" i="13"/>
  <c r="X451" i="13"/>
  <c r="X452" i="13" s="1"/>
  <c r="E53" i="26"/>
  <c r="M290" i="13"/>
  <c r="J74" i="26" s="1"/>
  <c r="J25" i="26"/>
  <c r="M451" i="13"/>
  <c r="M547" i="13" s="1"/>
  <c r="M564" i="13" s="1"/>
  <c r="J88" i="26" s="1"/>
  <c r="V135" i="13"/>
  <c r="M6" i="13"/>
  <c r="H22" i="23" s="1"/>
  <c r="M19" i="13"/>
  <c r="H33" i="23" s="1"/>
  <c r="H34" i="24"/>
  <c r="M18" i="13"/>
  <c r="J25" i="25"/>
  <c r="H44" i="26" l="1"/>
  <c r="H25" i="26"/>
  <c r="H48" i="26"/>
  <c r="K6" i="13"/>
  <c r="F22" i="23" s="1"/>
  <c r="K18" i="13"/>
  <c r="H22" i="26"/>
  <c r="G84" i="41" s="1"/>
  <c r="H50" i="41"/>
  <c r="H13" i="41"/>
  <c r="G79" i="41"/>
  <c r="G15" i="41"/>
  <c r="H4" i="13"/>
  <c r="C20" i="23" s="1"/>
  <c r="F79" i="41"/>
  <c r="F15" i="41"/>
  <c r="D52" i="23"/>
  <c r="D50" i="23" s="1"/>
  <c r="L16" i="24"/>
  <c r="N7" i="25"/>
  <c r="N7" i="27"/>
  <c r="E29" i="41"/>
  <c r="D46" i="23"/>
  <c r="D45" i="23" s="1"/>
  <c r="D9" i="23" s="1"/>
  <c r="E6" i="41" s="1"/>
  <c r="AW86" i="38"/>
  <c r="AQ86" i="38"/>
  <c r="AT84" i="38"/>
  <c r="AT86" i="38"/>
  <c r="AW85" i="38"/>
  <c r="AQ85" i="38"/>
  <c r="C52" i="23"/>
  <c r="C50" i="23" s="1"/>
  <c r="AT87" i="38"/>
  <c r="AQ87" i="38"/>
  <c r="AW87" i="38"/>
  <c r="C46" i="23"/>
  <c r="C45" i="23" s="1"/>
  <c r="AA52" i="38"/>
  <c r="D59" i="40"/>
  <c r="I7" i="25"/>
  <c r="K475" i="13"/>
  <c r="K469" i="13"/>
  <c r="I475" i="13"/>
  <c r="I469" i="13"/>
  <c r="J16" i="13"/>
  <c r="V170" i="13"/>
  <c r="M172" i="13"/>
  <c r="M466" i="13" s="1"/>
  <c r="L467" i="13"/>
  <c r="H17" i="25"/>
  <c r="K4" i="13"/>
  <c r="F20" i="23" s="1"/>
  <c r="H55" i="26"/>
  <c r="H56" i="26" s="1"/>
  <c r="G27" i="24"/>
  <c r="G46" i="24" s="1"/>
  <c r="H18" i="26"/>
  <c r="G26" i="24"/>
  <c r="G44" i="24" s="1"/>
  <c r="K13" i="13"/>
  <c r="H17" i="26"/>
  <c r="H18" i="25"/>
  <c r="G70" i="41" s="1"/>
  <c r="G38" i="41" s="1"/>
  <c r="E34" i="23"/>
  <c r="E31" i="23" s="1"/>
  <c r="AA22" i="38"/>
  <c r="C141" i="38"/>
  <c r="I148" i="38" s="1"/>
  <c r="K16" i="24"/>
  <c r="D26" i="24"/>
  <c r="E18" i="25"/>
  <c r="D70" i="41" s="1"/>
  <c r="D38" i="41" s="1"/>
  <c r="D27" i="24"/>
  <c r="L5" i="13"/>
  <c r="G21" i="23" s="1"/>
  <c r="E17" i="26"/>
  <c r="E71" i="26" s="1"/>
  <c r="E56" i="26"/>
  <c r="E17" i="25"/>
  <c r="C28" i="23"/>
  <c r="I19" i="25"/>
  <c r="H68" i="41" s="1"/>
  <c r="H39" i="41" s="1"/>
  <c r="D29" i="41"/>
  <c r="O22" i="26"/>
  <c r="M7" i="25"/>
  <c r="I8" i="25"/>
  <c r="H24" i="41" s="1"/>
  <c r="I7" i="27"/>
  <c r="H29" i="41" s="1"/>
  <c r="I8" i="27"/>
  <c r="C9" i="23"/>
  <c r="D6" i="41" s="1"/>
  <c r="E66" i="26"/>
  <c r="M7" i="27"/>
  <c r="L4" i="18"/>
  <c r="G46" i="23" s="1"/>
  <c r="G45" i="23" s="1"/>
  <c r="G9" i="23" s="1"/>
  <c r="H6" i="41" s="1"/>
  <c r="AQ96" i="38"/>
  <c r="D44" i="41"/>
  <c r="M31" i="24"/>
  <c r="G49" i="26"/>
  <c r="O22" i="25"/>
  <c r="F34" i="23"/>
  <c r="F31" i="23" s="1"/>
  <c r="K16" i="13"/>
  <c r="J54" i="40"/>
  <c r="AQ95" i="38"/>
  <c r="H49" i="26"/>
  <c r="AD270" i="13"/>
  <c r="C143" i="38"/>
  <c r="E59" i="26"/>
  <c r="X270" i="13"/>
  <c r="E84" i="41"/>
  <c r="N22" i="26"/>
  <c r="G74" i="37"/>
  <c r="L276" i="13" s="1"/>
  <c r="G75" i="37"/>
  <c r="L281" i="13" s="1"/>
  <c r="C75" i="37"/>
  <c r="I68" i="37"/>
  <c r="C74" i="37"/>
  <c r="F49" i="26"/>
  <c r="V270" i="13"/>
  <c r="E79" i="41"/>
  <c r="N22" i="25"/>
  <c r="AQ97" i="38"/>
  <c r="D70" i="38"/>
  <c r="E70" i="38"/>
  <c r="B70" i="38" s="1"/>
  <c r="B92" i="40" s="1"/>
  <c r="C30" i="23"/>
  <c r="V15" i="13"/>
  <c r="G51" i="37"/>
  <c r="L275" i="13" s="1"/>
  <c r="G52" i="37"/>
  <c r="L280" i="13" s="1"/>
  <c r="C30" i="37"/>
  <c r="C31" i="37"/>
  <c r="G30" i="37"/>
  <c r="L274" i="13" s="1"/>
  <c r="G31" i="37"/>
  <c r="L279" i="13" s="1"/>
  <c r="I16" i="13"/>
  <c r="D34" i="23"/>
  <c r="D31" i="23" s="1"/>
  <c r="H16" i="24"/>
  <c r="J8" i="27"/>
  <c r="M4" i="18"/>
  <c r="J7" i="25"/>
  <c r="M11" i="18"/>
  <c r="J8" i="25"/>
  <c r="J7" i="27"/>
  <c r="J33" i="27" s="1"/>
  <c r="H17" i="24"/>
  <c r="H48" i="23"/>
  <c r="Q6" i="18"/>
  <c r="D69" i="38"/>
  <c r="L14" i="13"/>
  <c r="G29" i="23" s="1"/>
  <c r="I23" i="26"/>
  <c r="I23" i="25"/>
  <c r="H80" i="41" s="1"/>
  <c r="I58" i="26"/>
  <c r="I61" i="26" s="1"/>
  <c r="L31" i="24"/>
  <c r="C144" i="38"/>
  <c r="E60" i="26"/>
  <c r="AD271" i="13"/>
  <c r="M271" i="13" s="1"/>
  <c r="V271" i="13" s="1"/>
  <c r="C52" i="37"/>
  <c r="I46" i="37"/>
  <c r="C51" i="37"/>
  <c r="Q270" i="13"/>
  <c r="C98" i="37"/>
  <c r="I91" i="37"/>
  <c r="C97" i="37"/>
  <c r="J53" i="40"/>
  <c r="L292" i="13"/>
  <c r="I76" i="26" s="1"/>
  <c r="J55" i="40"/>
  <c r="E58" i="26"/>
  <c r="H14" i="13"/>
  <c r="AD269" i="13"/>
  <c r="M269" i="13" s="1"/>
  <c r="X269" i="13" s="1"/>
  <c r="E23" i="25"/>
  <c r="D80" i="41" s="1"/>
  <c r="AA269" i="13"/>
  <c r="N7" i="40" s="1"/>
  <c r="D32" i="24"/>
  <c r="C142" i="38"/>
  <c r="E23" i="26"/>
  <c r="I13" i="13"/>
  <c r="F55" i="26"/>
  <c r="F56" i="26" s="1"/>
  <c r="E26" i="24"/>
  <c r="E44" i="24" s="1"/>
  <c r="I4" i="13"/>
  <c r="F18" i="25"/>
  <c r="E70" i="41" s="1"/>
  <c r="E38" i="41" s="1"/>
  <c r="F17" i="25"/>
  <c r="E14" i="41" s="1"/>
  <c r="E11" i="41" s="1"/>
  <c r="F18" i="26"/>
  <c r="F17" i="26"/>
  <c r="F33" i="26" s="1"/>
  <c r="E27" i="24"/>
  <c r="E46" i="24" s="1"/>
  <c r="H72" i="41"/>
  <c r="H44" i="41" s="1"/>
  <c r="AD272" i="13"/>
  <c r="M272" i="13" s="1"/>
  <c r="V272" i="13" s="1"/>
  <c r="C145" i="38"/>
  <c r="G52" i="23"/>
  <c r="G50" i="23" s="1"/>
  <c r="L15" i="18"/>
  <c r="J475" i="13"/>
  <c r="G55" i="26"/>
  <c r="G56" i="26" s="1"/>
  <c r="F27" i="24"/>
  <c r="F46" i="24" s="1"/>
  <c r="F26" i="24"/>
  <c r="J4" i="13"/>
  <c r="G18" i="26"/>
  <c r="G17" i="26"/>
  <c r="G18" i="25"/>
  <c r="F70" i="41" s="1"/>
  <c r="F38" i="41" s="1"/>
  <c r="G17" i="25"/>
  <c r="F14" i="41" s="1"/>
  <c r="J13" i="13"/>
  <c r="V137" i="13"/>
  <c r="H34" i="23"/>
  <c r="H31" i="23" s="1"/>
  <c r="M16" i="13"/>
  <c r="F19" i="23" l="1"/>
  <c r="F8" i="23" s="1"/>
  <c r="F11" i="23" s="1"/>
  <c r="C148" i="38"/>
  <c r="H148" i="38" s="1"/>
  <c r="C160" i="38" s="1"/>
  <c r="H23" i="41"/>
  <c r="H12" i="41"/>
  <c r="G62" i="41"/>
  <c r="G36" i="41" s="1"/>
  <c r="G37" i="41" s="1"/>
  <c r="G14" i="41"/>
  <c r="G11" i="41" s="1"/>
  <c r="D71" i="41"/>
  <c r="D43" i="41" s="1"/>
  <c r="F11" i="41"/>
  <c r="D62" i="41"/>
  <c r="D36" i="41" s="1"/>
  <c r="D37" i="41" s="1"/>
  <c r="D14" i="41"/>
  <c r="M538" i="13"/>
  <c r="M556" i="13" s="1"/>
  <c r="J80" i="26" s="1"/>
  <c r="M467" i="13"/>
  <c r="M469" i="13" s="1"/>
  <c r="AV84" i="38"/>
  <c r="AC52" i="38"/>
  <c r="I33" i="27"/>
  <c r="L7" i="18"/>
  <c r="I55" i="26"/>
  <c r="I56" i="26" s="1"/>
  <c r="L469" i="13"/>
  <c r="K7" i="13"/>
  <c r="I18" i="25"/>
  <c r="H70" i="41" s="1"/>
  <c r="H38" i="41" s="1"/>
  <c r="L4" i="13"/>
  <c r="G20" i="23" s="1"/>
  <c r="I17" i="26"/>
  <c r="I71" i="26" s="1"/>
  <c r="I17" i="25"/>
  <c r="L13" i="13"/>
  <c r="G28" i="23" s="1"/>
  <c r="G24" i="23" s="1"/>
  <c r="L475" i="13"/>
  <c r="AC22" i="38" s="1"/>
  <c r="I18" i="26"/>
  <c r="H33" i="25"/>
  <c r="G71" i="41"/>
  <c r="G43" i="41" s="1"/>
  <c r="H71" i="26"/>
  <c r="H33" i="26"/>
  <c r="K9" i="13"/>
  <c r="K20" i="13" s="1"/>
  <c r="K8" i="13" s="1"/>
  <c r="F28" i="23"/>
  <c r="F24" i="23" s="1"/>
  <c r="G5" i="41"/>
  <c r="G4" i="41" s="1"/>
  <c r="M17" i="25"/>
  <c r="H9" i="13"/>
  <c r="K26" i="24"/>
  <c r="M17" i="26"/>
  <c r="C107" i="38"/>
  <c r="X271" i="13"/>
  <c r="E62" i="41"/>
  <c r="E36" i="41" s="1"/>
  <c r="E37" i="41" s="1"/>
  <c r="N17" i="25"/>
  <c r="H275" i="13"/>
  <c r="I51" i="37"/>
  <c r="C97" i="38"/>
  <c r="H279" i="13"/>
  <c r="I31" i="37"/>
  <c r="H276" i="13"/>
  <c r="I74" i="37"/>
  <c r="I48" i="26"/>
  <c r="L291" i="13"/>
  <c r="I75" i="26" s="1"/>
  <c r="AC35" i="38"/>
  <c r="AH15" i="38" s="1"/>
  <c r="I44" i="26"/>
  <c r="C150" i="38"/>
  <c r="C152" i="38"/>
  <c r="E48" i="41"/>
  <c r="D28" i="23"/>
  <c r="D24" i="23" s="1"/>
  <c r="I9" i="13"/>
  <c r="I20" i="13" s="1"/>
  <c r="C149" i="38"/>
  <c r="V269" i="13"/>
  <c r="V273" i="13" s="1"/>
  <c r="M14" i="13"/>
  <c r="H29" i="23" s="1"/>
  <c r="M289" i="13"/>
  <c r="J73" i="26" s="1"/>
  <c r="Q269" i="13"/>
  <c r="H32" i="24"/>
  <c r="J23" i="26"/>
  <c r="AB33" i="38"/>
  <c r="AA15" i="38" s="1"/>
  <c r="J23" i="25"/>
  <c r="J22" i="26"/>
  <c r="H31" i="24"/>
  <c r="J22" i="25"/>
  <c r="H282" i="13"/>
  <c r="I98" i="37"/>
  <c r="C151" i="38"/>
  <c r="H71" i="40"/>
  <c r="AB52" i="38"/>
  <c r="H46" i="23"/>
  <c r="H45" i="23" s="1"/>
  <c r="H9" i="23" s="1"/>
  <c r="M7" i="18"/>
  <c r="H274" i="13"/>
  <c r="I30" i="37"/>
  <c r="X272" i="13"/>
  <c r="Q272" i="13"/>
  <c r="M292" i="13"/>
  <c r="J76" i="26" s="1"/>
  <c r="E71" i="41"/>
  <c r="E43" i="41" s="1"/>
  <c r="N17" i="26"/>
  <c r="F71" i="26"/>
  <c r="I7" i="13"/>
  <c r="D20" i="23"/>
  <c r="D19" i="23" s="1"/>
  <c r="D8" i="23" s="1"/>
  <c r="C29" i="23"/>
  <c r="C24" i="23" s="1"/>
  <c r="H280" i="13"/>
  <c r="I52" i="37"/>
  <c r="I42" i="26"/>
  <c r="L19" i="13"/>
  <c r="G33" i="23" s="1"/>
  <c r="F33" i="25"/>
  <c r="H281" i="13"/>
  <c r="I75" i="37"/>
  <c r="L26" i="24"/>
  <c r="E61" i="26"/>
  <c r="H277" i="13"/>
  <c r="I97" i="37"/>
  <c r="Q271" i="13"/>
  <c r="AB35" i="38"/>
  <c r="AG15" i="38" s="1"/>
  <c r="M291" i="13"/>
  <c r="J75" i="26" s="1"/>
  <c r="H52" i="23"/>
  <c r="H50" i="23" s="1"/>
  <c r="M15" i="18"/>
  <c r="L18" i="13"/>
  <c r="L6" i="13"/>
  <c r="I22" i="26"/>
  <c r="I46" i="26"/>
  <c r="I25" i="25"/>
  <c r="H82" i="41" s="1"/>
  <c r="AC33" i="38"/>
  <c r="AB15" i="38" s="1"/>
  <c r="I22" i="25"/>
  <c r="H15" i="41" s="1"/>
  <c r="I25" i="26"/>
  <c r="I47" i="26"/>
  <c r="L290" i="13"/>
  <c r="I74" i="26" s="1"/>
  <c r="I43" i="26"/>
  <c r="AH33" i="38"/>
  <c r="AE15" i="38" s="1"/>
  <c r="C98" i="38"/>
  <c r="L289" i="13"/>
  <c r="I73" i="26" s="1"/>
  <c r="F48" i="41"/>
  <c r="F44" i="24"/>
  <c r="M26" i="24"/>
  <c r="J9" i="13"/>
  <c r="J20" i="13" s="1"/>
  <c r="E28" i="23"/>
  <c r="E24" i="23" s="1"/>
  <c r="F71" i="41"/>
  <c r="F43" i="41" s="1"/>
  <c r="O17" i="26"/>
  <c r="G71" i="26"/>
  <c r="G33" i="26"/>
  <c r="F62" i="41"/>
  <c r="F36" i="41" s="1"/>
  <c r="F37" i="41" s="1"/>
  <c r="O17" i="25"/>
  <c r="G33" i="25"/>
  <c r="J7" i="13"/>
  <c r="E20" i="23"/>
  <c r="E19" i="23" s="1"/>
  <c r="E8" i="23" s="1"/>
  <c r="J53" i="26"/>
  <c r="V451" i="13"/>
  <c r="N451" i="13"/>
  <c r="V466" i="13"/>
  <c r="V172" i="13"/>
  <c r="F160" i="38"/>
  <c r="D160" i="38"/>
  <c r="G160" i="38"/>
  <c r="L9" i="13" l="1"/>
  <c r="E160" i="38"/>
  <c r="H62" i="41"/>
  <c r="H36" i="41" s="1"/>
  <c r="H37" i="41" s="1"/>
  <c r="H14" i="41"/>
  <c r="H11" i="41" s="1"/>
  <c r="X463" i="13"/>
  <c r="H26" i="40" s="1"/>
  <c r="N467" i="13"/>
  <c r="H71" i="41"/>
  <c r="H43" i="41" s="1"/>
  <c r="I8" i="13"/>
  <c r="E143" i="38"/>
  <c r="E150" i="38" s="1"/>
  <c r="Q280" i="13"/>
  <c r="V280" i="13"/>
  <c r="X280" i="13"/>
  <c r="E5" i="41"/>
  <c r="E4" i="41" s="1"/>
  <c r="D11" i="23"/>
  <c r="H79" i="41"/>
  <c r="I33" i="25"/>
  <c r="H84" i="41"/>
  <c r="I33" i="26"/>
  <c r="V14" i="13"/>
  <c r="D144" i="38"/>
  <c r="E44" i="26"/>
  <c r="E48" i="26"/>
  <c r="Q276" i="13"/>
  <c r="V276" i="13"/>
  <c r="X276" i="13"/>
  <c r="AA35" i="38"/>
  <c r="AF15" i="38" s="1"/>
  <c r="H291" i="13"/>
  <c r="E75" i="26" s="1"/>
  <c r="C110" i="38" s="1"/>
  <c r="G22" i="23"/>
  <c r="G19" i="23" s="1"/>
  <c r="G8" i="23" s="1"/>
  <c r="L7" i="13"/>
  <c r="D145" i="38"/>
  <c r="X277" i="13"/>
  <c r="Q277" i="13"/>
  <c r="V277" i="13"/>
  <c r="H292" i="13"/>
  <c r="E76" i="26" s="1"/>
  <c r="C111" i="38" s="1"/>
  <c r="I49" i="26"/>
  <c r="X274" i="13"/>
  <c r="V274" i="13"/>
  <c r="D34" i="24"/>
  <c r="D46" i="24" s="1"/>
  <c r="H18" i="13"/>
  <c r="Q274" i="13"/>
  <c r="E46" i="26"/>
  <c r="E25" i="25"/>
  <c r="D82" i="41" s="1"/>
  <c r="E25" i="26"/>
  <c r="D142" i="38"/>
  <c r="H6" i="13"/>
  <c r="E22" i="26"/>
  <c r="D31" i="24"/>
  <c r="E22" i="25"/>
  <c r="D15" i="41" s="1"/>
  <c r="H289" i="13"/>
  <c r="E73" i="26" s="1"/>
  <c r="C108" i="38" s="1"/>
  <c r="AA33" i="38"/>
  <c r="Z15" i="38" s="1"/>
  <c r="E145" i="38"/>
  <c r="E152" i="38" s="1"/>
  <c r="X282" i="13"/>
  <c r="Q282" i="13"/>
  <c r="V282" i="13"/>
  <c r="G34" i="23"/>
  <c r="G31" i="23" s="1"/>
  <c r="L16" i="13"/>
  <c r="L20" i="13" s="1"/>
  <c r="E144" i="38"/>
  <c r="E151" i="38" s="1"/>
  <c r="V281" i="13"/>
  <c r="X281" i="13"/>
  <c r="Q281" i="13"/>
  <c r="D61" i="40"/>
  <c r="D48" i="38"/>
  <c r="K62" i="38"/>
  <c r="I62" i="38" s="1"/>
  <c r="D41" i="38"/>
  <c r="E42" i="26"/>
  <c r="V279" i="13"/>
  <c r="E142" i="38"/>
  <c r="E149" i="38" s="1"/>
  <c r="H19" i="13"/>
  <c r="AP142" i="38"/>
  <c r="X279" i="13"/>
  <c r="Q279" i="13"/>
  <c r="D143" i="38"/>
  <c r="I150" i="38" s="1"/>
  <c r="E43" i="26"/>
  <c r="E47" i="26"/>
  <c r="X275" i="13"/>
  <c r="V275" i="13"/>
  <c r="Q275" i="13"/>
  <c r="H290" i="13"/>
  <c r="E74" i="26" s="1"/>
  <c r="C109" i="38" s="1"/>
  <c r="AF33" i="38"/>
  <c r="AC15" i="38" s="1"/>
  <c r="J8" i="13"/>
  <c r="F5" i="41"/>
  <c r="F4" i="41" s="1"/>
  <c r="E11" i="23"/>
  <c r="H28" i="24"/>
  <c r="J19" i="26"/>
  <c r="N468" i="13"/>
  <c r="V468" i="13"/>
  <c r="M5" i="13"/>
  <c r="J19" i="25"/>
  <c r="V469" i="13"/>
  <c r="V464" i="13"/>
  <c r="D11" i="41" l="1"/>
  <c r="I12" i="41" s="1"/>
  <c r="Y273" i="13"/>
  <c r="K36" i="38" s="1"/>
  <c r="H55" i="40" s="1"/>
  <c r="L8" i="13"/>
  <c r="D150" i="38"/>
  <c r="C33" i="23"/>
  <c r="V19" i="13"/>
  <c r="C22" i="23"/>
  <c r="C19" i="23" s="1"/>
  <c r="C8" i="23" s="1"/>
  <c r="V6" i="13"/>
  <c r="H7" i="13"/>
  <c r="Y271" i="13"/>
  <c r="D79" i="41"/>
  <c r="M22" i="25"/>
  <c r="E33" i="25"/>
  <c r="D149" i="38"/>
  <c r="I149" i="38"/>
  <c r="Y269" i="13"/>
  <c r="H5" i="41"/>
  <c r="H4" i="41" s="1"/>
  <c r="G11" i="23"/>
  <c r="D151" i="38"/>
  <c r="I151" i="38"/>
  <c r="K31" i="24"/>
  <c r="D44" i="24"/>
  <c r="D47" i="24" s="1"/>
  <c r="C34" i="23"/>
  <c r="H16" i="13"/>
  <c r="V18" i="13"/>
  <c r="E49" i="26"/>
  <c r="D46" i="38"/>
  <c r="D60" i="40"/>
  <c r="E46" i="38"/>
  <c r="B46" i="38" s="1"/>
  <c r="B64" i="40" s="1"/>
  <c r="D84" i="41"/>
  <c r="M22" i="26"/>
  <c r="E33" i="26"/>
  <c r="D152" i="38"/>
  <c r="I152" i="38"/>
  <c r="V467" i="13"/>
  <c r="J55" i="26"/>
  <c r="H21" i="23"/>
  <c r="V5" i="13"/>
  <c r="I11" i="41" l="1"/>
  <c r="I16" i="41"/>
  <c r="I13" i="41"/>
  <c r="I14" i="41"/>
  <c r="I15" i="41"/>
  <c r="I36" i="38"/>
  <c r="G36" i="38"/>
  <c r="H149" i="38"/>
  <c r="D5" i="41"/>
  <c r="D4" i="41" s="1"/>
  <c r="C11" i="23"/>
  <c r="H150" i="38"/>
  <c r="H20" i="13"/>
  <c r="H8" i="13" s="1"/>
  <c r="V16" i="13"/>
  <c r="G35" i="38"/>
  <c r="K35" i="38"/>
  <c r="D64" i="40"/>
  <c r="C94" i="38"/>
  <c r="C93" i="38"/>
  <c r="K34" i="38"/>
  <c r="D5" i="38"/>
  <c r="C31" i="23"/>
  <c r="H152" i="38"/>
  <c r="H151" i="38"/>
  <c r="C164" i="38" l="1"/>
  <c r="F164" i="38"/>
  <c r="G164" i="38"/>
  <c r="H155" i="38"/>
  <c r="H153" i="38"/>
  <c r="E164" i="38"/>
  <c r="D164" i="38"/>
  <c r="E163" i="38"/>
  <c r="G163" i="38"/>
  <c r="F163" i="38"/>
  <c r="C163" i="38"/>
  <c r="H53" i="40"/>
  <c r="G34" i="38"/>
  <c r="I34" i="38"/>
  <c r="I35" i="38"/>
  <c r="H54" i="40"/>
  <c r="C162" i="38"/>
  <c r="G162" i="38"/>
  <c r="I156" i="38"/>
  <c r="F162" i="38"/>
  <c r="E162" i="38"/>
  <c r="G161" i="38"/>
  <c r="F161" i="38"/>
  <c r="H154" i="38"/>
  <c r="H156" i="38"/>
  <c r="C161" i="38"/>
  <c r="E161" i="38"/>
  <c r="D163" i="38"/>
  <c r="D5" i="40"/>
  <c r="D9" i="40" s="1"/>
  <c r="B9" i="40" s="1"/>
  <c r="D9" i="38"/>
  <c r="D162" i="38"/>
  <c r="D161" i="38"/>
  <c r="M450" i="13"/>
  <c r="M13" i="13" s="1"/>
  <c r="M475" i="13" l="1"/>
  <c r="AB22" i="38" s="1"/>
  <c r="M550" i="13"/>
  <c r="M567" i="13" s="1"/>
  <c r="J91" i="26" s="1"/>
  <c r="J17" i="25"/>
  <c r="J33" i="25" s="1"/>
  <c r="M476" i="13"/>
  <c r="V450" i="13"/>
  <c r="Y448" i="13"/>
  <c r="H27" i="24"/>
  <c r="H46" i="24" s="1"/>
  <c r="H28" i="23"/>
  <c r="H24" i="23" s="1"/>
  <c r="J17" i="26"/>
  <c r="J71" i="26" s="1"/>
  <c r="M4" i="13"/>
  <c r="N450" i="13"/>
  <c r="N5" i="40" s="1"/>
  <c r="N11" i="40" s="1"/>
  <c r="J18" i="25"/>
  <c r="J18" i="26"/>
  <c r="H26" i="24"/>
  <c r="H44" i="24" s="1"/>
  <c r="J52" i="26"/>
  <c r="J56" i="26" s="1"/>
  <c r="Z450" i="13" l="1"/>
  <c r="Z452" i="13" s="1"/>
  <c r="H37" i="40" s="1"/>
  <c r="D12" i="38"/>
  <c r="V13" i="13"/>
  <c r="M9" i="13"/>
  <c r="J33" i="26"/>
  <c r="H20" i="23"/>
  <c r="M7" i="13"/>
  <c r="V475" i="13"/>
  <c r="K22" i="38"/>
  <c r="H19" i="23" l="1"/>
  <c r="H8" i="23" s="1"/>
  <c r="H11" i="23" s="1"/>
  <c r="D15" i="40"/>
  <c r="M20" i="13"/>
  <c r="V20" i="13" s="1"/>
  <c r="V9" i="13"/>
  <c r="V7" i="13"/>
  <c r="D6" i="38"/>
  <c r="I22" i="38"/>
  <c r="G22" i="38"/>
  <c r="E10" i="38" l="1"/>
  <c r="B10" i="38" s="1"/>
  <c r="B10" i="40" s="1"/>
  <c r="D13" i="40"/>
  <c r="D16" i="40" s="1"/>
  <c r="D10" i="38"/>
  <c r="M8" i="13"/>
  <c r="V8" i="13" s="1"/>
  <c r="C90" i="38" l="1"/>
  <c r="C89" i="38"/>
  <c r="D10" i="40"/>
  <c r="J9" i="46" l="1"/>
  <c r="L9" i="46"/>
  <c r="I9" i="46"/>
  <c r="H9" i="46"/>
  <c r="K9" i="46"/>
  <c r="M9" i="46"/>
</calcChain>
</file>

<file path=xl/comments1.xml><?xml version="1.0" encoding="utf-8"?>
<comments xmlns="http://schemas.openxmlformats.org/spreadsheetml/2006/main">
  <authors>
    <author>CER002</author>
  </authors>
  <commentList>
    <comment ref="F12" authorId="0">
      <text>
        <r>
          <rPr>
            <b/>
            <sz val="9"/>
            <color indexed="81"/>
            <rFont val="Tahoma"/>
            <family val="2"/>
          </rPr>
          <t>CER002:</t>
        </r>
        <r>
          <rPr>
            <sz val="9"/>
            <color indexed="81"/>
            <rFont val="Tahoma"/>
            <family val="2"/>
          </rPr>
          <t xml:space="preserve">
Green cells below use the specs of DIVA's products, but prices of tender products.  Philani is used for Nestum and Nutrimil is used as the energy drink</t>
        </r>
      </text>
    </comment>
  </commentList>
</comments>
</file>

<file path=xl/comments2.xml><?xml version="1.0" encoding="utf-8"?>
<comments xmlns="http://schemas.openxmlformats.org/spreadsheetml/2006/main">
  <authors>
    <author>CER002</author>
  </authors>
  <commentList>
    <comment ref="D9" authorId="0">
      <text>
        <r>
          <rPr>
            <b/>
            <sz val="9"/>
            <color indexed="81"/>
            <rFont val="Tahoma"/>
            <family val="2"/>
          </rPr>
          <t>CER002:</t>
        </r>
        <r>
          <rPr>
            <sz val="9"/>
            <color indexed="81"/>
            <rFont val="Tahoma"/>
            <family val="2"/>
          </rPr>
          <t xml:space="preserve">
Does should differ by age, but as total number of children with SAM is very low an average can be used</t>
        </r>
      </text>
    </comment>
  </commentList>
</comments>
</file>

<file path=xl/comments3.xml><?xml version="1.0" encoding="utf-8"?>
<comments xmlns="http://schemas.openxmlformats.org/spreadsheetml/2006/main">
  <authors>
    <author>CER002</author>
  </authors>
  <commentList>
    <comment ref="F17" authorId="0">
      <text>
        <r>
          <rPr>
            <b/>
            <sz val="9"/>
            <color indexed="81"/>
            <rFont val="Tahoma"/>
            <family val="2"/>
          </rPr>
          <t>CER002:</t>
        </r>
        <r>
          <rPr>
            <sz val="9"/>
            <color indexed="81"/>
            <rFont val="Tahoma"/>
            <family val="2"/>
          </rPr>
          <t xml:space="preserve">
Data provided by National Treasury - it includes CHCs and clinics, excludes hospitals</t>
        </r>
      </text>
    </comment>
  </commentList>
</comments>
</file>

<file path=xl/sharedStrings.xml><?xml version="1.0" encoding="utf-8"?>
<sst xmlns="http://schemas.openxmlformats.org/spreadsheetml/2006/main" count="4908" uniqueCount="1837">
  <si>
    <t>Health</t>
  </si>
  <si>
    <t>NDOH</t>
  </si>
  <si>
    <t>Chief Director</t>
  </si>
  <si>
    <t>Director</t>
  </si>
  <si>
    <t>Programme Management - Nutrition Unit</t>
  </si>
  <si>
    <t>Assistant Director</t>
  </si>
  <si>
    <t>Workshops</t>
  </si>
  <si>
    <t>Travel</t>
  </si>
  <si>
    <t>District Office</t>
  </si>
  <si>
    <t>Data Capturer</t>
  </si>
  <si>
    <t>Assitant Procurement manager</t>
  </si>
  <si>
    <t>Health Facilities</t>
  </si>
  <si>
    <t>Nurses</t>
  </si>
  <si>
    <t>Number of children</t>
  </si>
  <si>
    <t>Quintile 1</t>
  </si>
  <si>
    <t>Quintile 2</t>
  </si>
  <si>
    <t>Quintile 3</t>
  </si>
  <si>
    <t>Quintile 4</t>
  </si>
  <si>
    <t>Quintile 5</t>
  </si>
  <si>
    <t>Metros/District Municipalities</t>
  </si>
  <si>
    <t>Food fortification and food stuffs regulations</t>
  </si>
  <si>
    <t>Environmental Health Inspectors (Deputy Directors)</t>
  </si>
  <si>
    <t>Social Development</t>
  </si>
  <si>
    <t>ECD Policy and SROD Policy</t>
  </si>
  <si>
    <t>Districts</t>
  </si>
  <si>
    <t>District Manager</t>
  </si>
  <si>
    <t>Community Development Workers</t>
  </si>
  <si>
    <t>Distance travelled per facility</t>
  </si>
  <si>
    <t>Number of children per facility</t>
  </si>
  <si>
    <t>Per cent of children per quintile at subsidised facilities</t>
  </si>
  <si>
    <t>Social Workers</t>
  </si>
  <si>
    <t>Number of visits per ECD facility per year</t>
  </si>
  <si>
    <t>Extension Officers</t>
  </si>
  <si>
    <t>SASSA</t>
  </si>
  <si>
    <t>Programme Manager (Director)</t>
  </si>
  <si>
    <t>Procurement Manager</t>
  </si>
  <si>
    <t>Assistant Procurement Manager/Logistics Manager</t>
  </si>
  <si>
    <t>Officer Manager</t>
  </si>
  <si>
    <t>Reporting time per applicant</t>
  </si>
  <si>
    <t>Distance travelled per applicant</t>
  </si>
  <si>
    <t>DAFF</t>
  </si>
  <si>
    <t>Birth</t>
  </si>
  <si>
    <t>6 Weeks (if not breastfeeding)</t>
  </si>
  <si>
    <t>6 Months</t>
  </si>
  <si>
    <t>12 Months</t>
  </si>
  <si>
    <t>18 Months</t>
  </si>
  <si>
    <t>Vitamin A</t>
  </si>
  <si>
    <t>Deworming</t>
  </si>
  <si>
    <t>Family physician</t>
  </si>
  <si>
    <t>Potassium</t>
  </si>
  <si>
    <t>Co-trimoxazole 5 ml paediatric suspension</t>
  </si>
  <si>
    <t>Gentamicin 7.5 mg/kg IM/IV once daily for 7 days</t>
  </si>
  <si>
    <t>Multivitamin supplement</t>
  </si>
  <si>
    <t>Zinc 2 mg/kg/d</t>
  </si>
  <si>
    <t>Iron 3 mg/kg/d but only when gaining weight</t>
  </si>
  <si>
    <t>Metronidazole (7.5 mg/kg 8-hourly for 7 days)</t>
  </si>
  <si>
    <t>1 Year</t>
  </si>
  <si>
    <t>2 Year</t>
  </si>
  <si>
    <t>3 Year</t>
  </si>
  <si>
    <t>4 Year</t>
  </si>
  <si>
    <t>5 Year</t>
  </si>
  <si>
    <t>Time taken to assess each applicant</t>
  </si>
  <si>
    <t>CPT: City of Cape Town</t>
  </si>
  <si>
    <t>Western Cape</t>
  </si>
  <si>
    <t>DC5: Central Karoo</t>
  </si>
  <si>
    <t>DC4: Eden</t>
  </si>
  <si>
    <t>DC3: Overberg</t>
  </si>
  <si>
    <t>DC2: Cape Winelands</t>
  </si>
  <si>
    <t>DC1: West Coast</t>
  </si>
  <si>
    <t>DC45: John Taolo Gaetsewe</t>
  </si>
  <si>
    <t>Northern Cape</t>
  </si>
  <si>
    <t>DC9: Frances Baard</t>
  </si>
  <si>
    <t>DC8: Siyanda</t>
  </si>
  <si>
    <t>DC7: Pixley ka Seme</t>
  </si>
  <si>
    <t>DC6: Namakwa</t>
  </si>
  <si>
    <t>DC40: Dr Kenneth Kaunda</t>
  </si>
  <si>
    <t>North West</t>
  </si>
  <si>
    <t>DC39: Dr Ruth Segomotsi Mompati</t>
  </si>
  <si>
    <t>DC38: Ngaka Modiri Molema</t>
  </si>
  <si>
    <t>DC37: Bojanala</t>
  </si>
  <si>
    <t>DC32: Ehlanzeni</t>
  </si>
  <si>
    <t>Mpumalanga</t>
  </si>
  <si>
    <t>DC31: Nkangala</t>
  </si>
  <si>
    <t>DC30: Gert Sibande</t>
  </si>
  <si>
    <t>DC47: Greater Sekhukhune</t>
  </si>
  <si>
    <t>Limpopo</t>
  </si>
  <si>
    <t>DC36: Waterberg</t>
  </si>
  <si>
    <t>DC35: Capricorn</t>
  </si>
  <si>
    <t>DC34: Vhembe</t>
  </si>
  <si>
    <t>DC33: Mopani</t>
  </si>
  <si>
    <t>ETH: eThekwini</t>
  </si>
  <si>
    <t>KwaZulu-Natal</t>
  </si>
  <si>
    <t>DC29: iLembe</t>
  </si>
  <si>
    <t>DC26: Zululand</t>
  </si>
  <si>
    <t>DC25: Amajuba</t>
  </si>
  <si>
    <t>DC24: Umzinyathi</t>
  </si>
  <si>
    <t>DC43: Sisonke</t>
  </si>
  <si>
    <t>DC28: Uthungulu</t>
  </si>
  <si>
    <t>DC27: Umkhanyakude</t>
  </si>
  <si>
    <t>DC23: Uthukela</t>
  </si>
  <si>
    <t>DC22: UMgungundlovu</t>
  </si>
  <si>
    <t>DC21: Ugu</t>
  </si>
  <si>
    <t>TSH: City of Tshwane</t>
  </si>
  <si>
    <t>Gauteng</t>
  </si>
  <si>
    <t>JHB: City of Johannesburg</t>
  </si>
  <si>
    <t>EKU: Ekurhuleni</t>
  </si>
  <si>
    <t>DC48: West Rand</t>
  </si>
  <si>
    <t>DC42: Sedibeng</t>
  </si>
  <si>
    <t>MAN: Mangaung</t>
  </si>
  <si>
    <t>Free State</t>
  </si>
  <si>
    <t>DC20: Fezile Dabi</t>
  </si>
  <si>
    <t>DC19: Thabo Mofutsanyane</t>
  </si>
  <si>
    <t>DC18: Lejweleputswa</t>
  </si>
  <si>
    <t>DC16: Xhariep</t>
  </si>
  <si>
    <t>NMA: Nelson Mandela Bay</t>
  </si>
  <si>
    <t>Eastern Cape</t>
  </si>
  <si>
    <t>BUF: Buffalo City</t>
  </si>
  <si>
    <t>DC44: Alfred Nzo</t>
  </si>
  <si>
    <t>DC15: O.R.Tambo</t>
  </si>
  <si>
    <t>DC14: Joe Gqabi</t>
  </si>
  <si>
    <t>DC13: Chris Hani</t>
  </si>
  <si>
    <t>DC12: Amathole</t>
  </si>
  <si>
    <t>DC10: Cacadu</t>
  </si>
  <si>
    <t>85 - 120</t>
  </si>
  <si>
    <t>80 - 84</t>
  </si>
  <si>
    <t>75 - 79</t>
  </si>
  <si>
    <t>70 - 74</t>
  </si>
  <si>
    <t>65 - 69</t>
  </si>
  <si>
    <t>60 - 64</t>
  </si>
  <si>
    <t>55 - 59</t>
  </si>
  <si>
    <t>50 - 54</t>
  </si>
  <si>
    <t>45 - 49</t>
  </si>
  <si>
    <t>40 - 44</t>
  </si>
  <si>
    <t>35 - 39</t>
  </si>
  <si>
    <t>30 - 34</t>
  </si>
  <si>
    <t>25 - 29</t>
  </si>
  <si>
    <t>20 - 24</t>
  </si>
  <si>
    <t>15 - 19</t>
  </si>
  <si>
    <t>10 - 14</t>
  </si>
  <si>
    <t>5 - 9</t>
  </si>
  <si>
    <t>0 - 4</t>
  </si>
  <si>
    <t>District</t>
  </si>
  <si>
    <t>Province</t>
  </si>
  <si>
    <t>Age Group</t>
  </si>
  <si>
    <t>Metro</t>
  </si>
  <si>
    <t>WC053: Beaufort West</t>
  </si>
  <si>
    <t>WC052: Prince Albert</t>
  </si>
  <si>
    <t>WC051: Laingsburg</t>
  </si>
  <si>
    <t>WC048: Knysna</t>
  </si>
  <si>
    <t>WC047: Bitou</t>
  </si>
  <si>
    <t>WC045: Oudtshoorn</t>
  </si>
  <si>
    <t>WC044: George</t>
  </si>
  <si>
    <t>WC043: Mossel Bay</t>
  </si>
  <si>
    <t>WC042: Hessequa</t>
  </si>
  <si>
    <t>WC041: Kannaland</t>
  </si>
  <si>
    <t>WC033: Cape Agulhas</t>
  </si>
  <si>
    <t>WC032: Overstrand</t>
  </si>
  <si>
    <t>WC031: Theewaterskloof</t>
  </si>
  <si>
    <t>WC034: Swellendam</t>
  </si>
  <si>
    <t>WC026: Langeberg</t>
  </si>
  <si>
    <t>WC025: Breede Valley</t>
  </si>
  <si>
    <t>WC024: Stellenbosch</t>
  </si>
  <si>
    <t>WC023: Drakenstein</t>
  </si>
  <si>
    <t>WC022: Witzenberg</t>
  </si>
  <si>
    <t>WC015: Swartland</t>
  </si>
  <si>
    <t>WC014: Saldanha Bay</t>
  </si>
  <si>
    <t>WC013: Bergrivier</t>
  </si>
  <si>
    <t>WC012: Cederberg</t>
  </si>
  <si>
    <t>WC011: Matzikama</t>
  </si>
  <si>
    <t>NC453: Gamagara</t>
  </si>
  <si>
    <t>NC452: Ga-Segonyana</t>
  </si>
  <si>
    <t>NC451: Joe Morolong</t>
  </si>
  <si>
    <t>NC094: Phokwane</t>
  </si>
  <si>
    <t>NC093: Magareng</t>
  </si>
  <si>
    <t>NC092: Dikgatlong</t>
  </si>
  <si>
    <t>NC091: Sol Plaatjie</t>
  </si>
  <si>
    <t>NC086: Kgatelopele</t>
  </si>
  <si>
    <t>NC085: Tsantsabane</t>
  </si>
  <si>
    <t>NC084: !Kheis</t>
  </si>
  <si>
    <t>NC083: //Khara Hais</t>
  </si>
  <si>
    <t>NC082: Kai !Garib</t>
  </si>
  <si>
    <t>NC081: Mier</t>
  </si>
  <si>
    <t>NC078: Siyancuma</t>
  </si>
  <si>
    <t>NC077: Siyathemba</t>
  </si>
  <si>
    <t>NC076: Thembelihle</t>
  </si>
  <si>
    <t>NC075: Renosterberg</t>
  </si>
  <si>
    <t>NC074: Kareeberg</t>
  </si>
  <si>
    <t>NC073: Emthanjeni</t>
  </si>
  <si>
    <t>NC072: Umsobomvu</t>
  </si>
  <si>
    <t>NC071: Ubuntu</t>
  </si>
  <si>
    <t>NC067: Khâi-Ma</t>
  </si>
  <si>
    <t>NC066: Karoo Hoogland</t>
  </si>
  <si>
    <t>NC065: Hantam</t>
  </si>
  <si>
    <t>NC064: Kamiesberg</t>
  </si>
  <si>
    <t>NC062: Nama Khoi</t>
  </si>
  <si>
    <t>NC061: Richtersveld</t>
  </si>
  <si>
    <t>NW404: Maquassi Hills</t>
  </si>
  <si>
    <t>NW403: City of Matlosana</t>
  </si>
  <si>
    <t>NW402: Tlokwe City Council</t>
  </si>
  <si>
    <t>NW401: Ventersdorp</t>
  </si>
  <si>
    <t>NW397: Kagisano/Molopo</t>
  </si>
  <si>
    <t>NW396: Lekwa-Teemane</t>
  </si>
  <si>
    <t>NW394: Greater Taung</t>
  </si>
  <si>
    <t>NW393: Mamusa</t>
  </si>
  <si>
    <t>NW392: Naledi</t>
  </si>
  <si>
    <t>NW385: Ramotshere Moiloa</t>
  </si>
  <si>
    <t>NW384: Ditsobotla</t>
  </si>
  <si>
    <t>NW383: Mafikeng</t>
  </si>
  <si>
    <t>NW382: Tswaing</t>
  </si>
  <si>
    <t>NW381: Ratlou</t>
  </si>
  <si>
    <t>NW375: Moses Kotane</t>
  </si>
  <si>
    <t>NW374: Kgetlengrivier</t>
  </si>
  <si>
    <t>NW373: Rustenburg</t>
  </si>
  <si>
    <t>NW372: Madibeng</t>
  </si>
  <si>
    <t>NW371: Moretele</t>
  </si>
  <si>
    <t>MP325: Bushbuckridge</t>
  </si>
  <si>
    <t>MP324: Nkomazi</t>
  </si>
  <si>
    <t>MP323: Umjindi</t>
  </si>
  <si>
    <t>MP322: Mbombela</t>
  </si>
  <si>
    <t>MP321: Thaba Chweu</t>
  </si>
  <si>
    <t>MP316: Dr JS Moroka</t>
  </si>
  <si>
    <t>MP315: Thembisile</t>
  </si>
  <si>
    <t>MP314: Emakhazeni</t>
  </si>
  <si>
    <t>MP313: Steve Tshwete</t>
  </si>
  <si>
    <t>MP312: Emalahleni</t>
  </si>
  <si>
    <t>MP311: Victor Khanye</t>
  </si>
  <si>
    <t>MP307: Govan Mbeki</t>
  </si>
  <si>
    <t>MP306: Dipaleseng</t>
  </si>
  <si>
    <t>MP305: Lekwa</t>
  </si>
  <si>
    <t>MP304: Pixley Ka Seme</t>
  </si>
  <si>
    <t>MP303: Mkhondo</t>
  </si>
  <si>
    <t>MP302: Msukaligwa</t>
  </si>
  <si>
    <t>MP301: Albert Luthuli</t>
  </si>
  <si>
    <t>LIM475: Greater Tubatse</t>
  </si>
  <si>
    <t>LIM474: Fetakgomo</t>
  </si>
  <si>
    <t>LIM473: Makhuduthamaga</t>
  </si>
  <si>
    <t>LIM472: Elias Motsoaledi</t>
  </si>
  <si>
    <t>LIM471: Ephraim Mogale</t>
  </si>
  <si>
    <t>LIM367: Mogalakwena</t>
  </si>
  <si>
    <t>LIM366: Bela-Bela</t>
  </si>
  <si>
    <t>LIM365: Modimolle</t>
  </si>
  <si>
    <t>LIM364: Mookgopong</t>
  </si>
  <si>
    <t>LIM362: Lephalale</t>
  </si>
  <si>
    <t>LIM361: Thabazimbi</t>
  </si>
  <si>
    <t>LIM355: Lepele-Nkumpi</t>
  </si>
  <si>
    <t>LIM354: Polokwane</t>
  </si>
  <si>
    <t>LIM353: Molemole</t>
  </si>
  <si>
    <t>LIM352: Aganang</t>
  </si>
  <si>
    <t>LIM351: Blouberg</t>
  </si>
  <si>
    <t>LIM344: Makhado</t>
  </si>
  <si>
    <t>LIM341: Musina</t>
  </si>
  <si>
    <t>LIM343: Thulamela</t>
  </si>
  <si>
    <t>LIM342: Mutale</t>
  </si>
  <si>
    <t>LIM335: Maruleng</t>
  </si>
  <si>
    <t>LIM334: Ba-Phalaborwa</t>
  </si>
  <si>
    <t>LIM333: Greater Tzaneen</t>
  </si>
  <si>
    <t>LIM332: Greater Letaba</t>
  </si>
  <si>
    <t>LIM331: Greater Giyani</t>
  </si>
  <si>
    <t>KZN293: Ndwedwe</t>
  </si>
  <si>
    <t>KZN292: KwaDukuza</t>
  </si>
  <si>
    <t>KZN291: Mandeni</t>
  </si>
  <si>
    <t>KZN294: Maphumulo</t>
  </si>
  <si>
    <t>KZN266: Ulundi</t>
  </si>
  <si>
    <t>KZN265: Nongoma</t>
  </si>
  <si>
    <t>KZN262: UPhongolo</t>
  </si>
  <si>
    <t>KZN261: eDumbe</t>
  </si>
  <si>
    <t>KZN263: Abaqulusi</t>
  </si>
  <si>
    <t>KZN254: Dannhauser</t>
  </si>
  <si>
    <t>KZN253: Emadlangeni</t>
  </si>
  <si>
    <t>KZN252: Newcastle</t>
  </si>
  <si>
    <t>KZN245: Umvoti</t>
  </si>
  <si>
    <t>KZN244: Msinga</t>
  </si>
  <si>
    <t>KZN242: Nqutu</t>
  </si>
  <si>
    <t>KZN241: Endumeni</t>
  </si>
  <si>
    <t>KZN435: Umzimkhulu</t>
  </si>
  <si>
    <t>KZN434: Ubuhlebezwe</t>
  </si>
  <si>
    <t>KZN433: Greater Kokstad</t>
  </si>
  <si>
    <t>KZN432: Kwa Sani</t>
  </si>
  <si>
    <t>KZN431: Ingwe</t>
  </si>
  <si>
    <t>KZN285: Mthonjaneni</t>
  </si>
  <si>
    <t>KZN284: uMlalazi</t>
  </si>
  <si>
    <t>KZN283: Ntambanana</t>
  </si>
  <si>
    <t>KZN281: Mfolozi</t>
  </si>
  <si>
    <t>KZN286: Nkandla</t>
  </si>
  <si>
    <t>KZN282: uMhlathuze</t>
  </si>
  <si>
    <t>KZN275: Mtubatuba</t>
  </si>
  <si>
    <t>KZN274: Hlabisa</t>
  </si>
  <si>
    <t>KZN273: The Big 5 False Bay</t>
  </si>
  <si>
    <t>KZN272: Jozini</t>
  </si>
  <si>
    <t>KZN271: Umhlabuyalingana</t>
  </si>
  <si>
    <t>KZN236: Imbabazane</t>
  </si>
  <si>
    <t>KZN235: Okhahlamba</t>
  </si>
  <si>
    <t>KZN234: Umtshezi</t>
  </si>
  <si>
    <t>KZN233: Indaka</t>
  </si>
  <si>
    <t>KZN232: Emnambithi/Ladysmith</t>
  </si>
  <si>
    <t>KZN227: Richmond</t>
  </si>
  <si>
    <t>KZN226: Mkhambathini</t>
  </si>
  <si>
    <t>KZN225: The Msunduzi</t>
  </si>
  <si>
    <t>KZN224: Impendle</t>
  </si>
  <si>
    <t>KZN223: Mpofana</t>
  </si>
  <si>
    <t>KZN222: uMngeni</t>
  </si>
  <si>
    <t>KZN221: uMshwathi</t>
  </si>
  <si>
    <t>KZN212: Umdoni</t>
  </si>
  <si>
    <t>KZN211: Vulamehlo</t>
  </si>
  <si>
    <t>KZN216: Hibiscus Coast</t>
  </si>
  <si>
    <t>KZN215: Ezingoleni</t>
  </si>
  <si>
    <t>KZN214: UMuziwabantu</t>
  </si>
  <si>
    <t>KZN213: Umzumbe</t>
  </si>
  <si>
    <t>GT484: Merafong City</t>
  </si>
  <si>
    <t>GT483: Westonaria</t>
  </si>
  <si>
    <t>GT482: Randfontein</t>
  </si>
  <si>
    <t>GT481: Mogale City</t>
  </si>
  <si>
    <t>GT423: Lesedi</t>
  </si>
  <si>
    <t>GT422: Midvaal</t>
  </si>
  <si>
    <t>GT421: Emfuleni</t>
  </si>
  <si>
    <t>FS205: Mafube</t>
  </si>
  <si>
    <t>FS204: Metsimaholo</t>
  </si>
  <si>
    <t>FS203: Ngwathe</t>
  </si>
  <si>
    <t>FS201: Moqhaka</t>
  </si>
  <si>
    <t>FS196: Mantsopa</t>
  </si>
  <si>
    <t>FS195: Phumelela</t>
  </si>
  <si>
    <t>FS194: Maluti a Phofung</t>
  </si>
  <si>
    <t>FS193: Nketoana</t>
  </si>
  <si>
    <t>FS192: Dihlabeng</t>
  </si>
  <si>
    <t>FS191: Setsoto</t>
  </si>
  <si>
    <t>FS185: Nala</t>
  </si>
  <si>
    <t>FS184: Matjhabeng</t>
  </si>
  <si>
    <t>FS183: Tswelopele</t>
  </si>
  <si>
    <t>FS182: Tokologo</t>
  </si>
  <si>
    <t>FS181: Masilonyana</t>
  </si>
  <si>
    <t>FS164: Naledi</t>
  </si>
  <si>
    <t>FS163: Mohokare</t>
  </si>
  <si>
    <t>FS162: Kopanong</t>
  </si>
  <si>
    <t>FS161: Letsemeng</t>
  </si>
  <si>
    <t>EC444: Ntabankulu</t>
  </si>
  <si>
    <t>EC443: Mbizana</t>
  </si>
  <si>
    <t>EC442: Umzimvubu</t>
  </si>
  <si>
    <t>EC441: Matatiele</t>
  </si>
  <si>
    <t>EC157: King Sabata Dalindyebo</t>
  </si>
  <si>
    <t>EC156: Mhlontlo</t>
  </si>
  <si>
    <t>EC155: Nyandeni</t>
  </si>
  <si>
    <t>EC154: Port St Johns</t>
  </si>
  <si>
    <t>EC153: Ngquza Hill</t>
  </si>
  <si>
    <t>EC144: Gariep</t>
  </si>
  <si>
    <t>EC143: Maletswai</t>
  </si>
  <si>
    <t>EC142: Senqu</t>
  </si>
  <si>
    <t>EC141: Elundini</t>
  </si>
  <si>
    <t>EC138: Sakhisizwe</t>
  </si>
  <si>
    <t>EC137: Engcobo</t>
  </si>
  <si>
    <t>EC136: Emalahleni</t>
  </si>
  <si>
    <t>EC135: Intsika Yethu</t>
  </si>
  <si>
    <t>EC134: Lukanji</t>
  </si>
  <si>
    <t>EC133: Inkwanca</t>
  </si>
  <si>
    <t>EC132: Tsolwana</t>
  </si>
  <si>
    <t>EC131: Inxuba Yethemba</t>
  </si>
  <si>
    <t>EC128: Nxuba</t>
  </si>
  <si>
    <t>EC127: Nkonkobe</t>
  </si>
  <si>
    <t>EC126: Ngqushwa</t>
  </si>
  <si>
    <t>EC124: Amahlathi</t>
  </si>
  <si>
    <t>EC123: Great Kei</t>
  </si>
  <si>
    <t>EC122: Mnquma</t>
  </si>
  <si>
    <t>EC121: Mbhashe</t>
  </si>
  <si>
    <t>EC109: Kou-Kamma</t>
  </si>
  <si>
    <t>EC108: Kouga</t>
  </si>
  <si>
    <t>EC107: Baviaans</t>
  </si>
  <si>
    <t>EC106: Sundays River Valley</t>
  </si>
  <si>
    <t>EC105: Ndlambe</t>
  </si>
  <si>
    <t>EC104: Makana</t>
  </si>
  <si>
    <t>EC103: Ikwezi</t>
  </si>
  <si>
    <t>EC102: Blue Crane Route</t>
  </si>
  <si>
    <t>EC101: Camdeboo</t>
  </si>
  <si>
    <t>Municipality</t>
  </si>
  <si>
    <t>0 - 5</t>
  </si>
  <si>
    <t>Metros</t>
  </si>
  <si>
    <t>Time take to investigate and counsel malnourished children</t>
  </si>
  <si>
    <t>Promotion</t>
  </si>
  <si>
    <t>F-100 (formula)</t>
  </si>
  <si>
    <t>ReSoMal/Combined mineral and vitamin complex (CMV)</t>
  </si>
  <si>
    <t>Community meetings/district</t>
  </si>
  <si>
    <t>Visits per intervention per year</t>
  </si>
  <si>
    <t>Admin Clerks</t>
  </si>
  <si>
    <t>Scenario 1 (with MTEF)</t>
  </si>
  <si>
    <t>Scenario 2</t>
  </si>
  <si>
    <t>Scenario 3</t>
  </si>
  <si>
    <t>2014/15</t>
  </si>
  <si>
    <t>2015/16</t>
  </si>
  <si>
    <t>2016/17</t>
  </si>
  <si>
    <t>Assumptions</t>
  </si>
  <si>
    <t>Financial Assumptions</t>
  </si>
  <si>
    <t>Inflation</t>
  </si>
  <si>
    <t>Salary increases in base line budget per annum</t>
  </si>
  <si>
    <t>General Assumptions</t>
  </si>
  <si>
    <t>Operational expenses as a per cent of total salary costs - where not specified elsewhere</t>
  </si>
  <si>
    <t>Capital expenditure as a per cent of total salary costs - where not specified elsewhere</t>
  </si>
  <si>
    <t>Salary levels of key staff</t>
  </si>
  <si>
    <t>Baseline Salary</t>
  </si>
  <si>
    <t>Deputy Director General</t>
  </si>
  <si>
    <t>Directors</t>
  </si>
  <si>
    <t>Deputy directors</t>
  </si>
  <si>
    <t>Administrative staff (level 8)</t>
  </si>
  <si>
    <t>Level 6</t>
  </si>
  <si>
    <t>Level 3</t>
  </si>
  <si>
    <t>Work days per annum</t>
  </si>
  <si>
    <t>Non core work days per annum</t>
  </si>
  <si>
    <t>Core work days per annum</t>
  </si>
  <si>
    <t>Workshops per year</t>
  </si>
  <si>
    <t>About regulations on food stuffs</t>
  </si>
  <si>
    <t>Note: SROD activities not significant enough to cost</t>
  </si>
  <si>
    <t xml:space="preserve">Procurement Management </t>
  </si>
  <si>
    <t>District Manager (Chief Director)</t>
  </si>
  <si>
    <t>Days per audit of a health facility</t>
  </si>
  <si>
    <t>Per cent of audit dealing with nutrition</t>
  </si>
  <si>
    <t>Distance traveller per health facility per quarter (km)</t>
  </si>
  <si>
    <t>Community Health Care Workers</t>
  </si>
  <si>
    <t>Per cent of time spent on overseeing nutrition interventions</t>
  </si>
  <si>
    <t>Number per team</t>
  </si>
  <si>
    <t>Municipal Ward based PHC Teams</t>
  </si>
  <si>
    <t>District  Clinical Specialist Teams (DCSTs)</t>
  </si>
  <si>
    <t>Nursing Manager</t>
  </si>
  <si>
    <t>Dietitian</t>
  </si>
  <si>
    <t>Pharmacist</t>
  </si>
  <si>
    <t>Occupational Therapist</t>
  </si>
  <si>
    <t>Social Worker</t>
  </si>
  <si>
    <t>Paediatric Nurse</t>
  </si>
  <si>
    <t>CBS Coordinator</t>
  </si>
  <si>
    <t>Medicines</t>
  </si>
  <si>
    <t>Demand Variables</t>
  </si>
  <si>
    <t>Per cent of children accessing public health services</t>
  </si>
  <si>
    <t>Quntile 1</t>
  </si>
  <si>
    <t>Quntile 2</t>
  </si>
  <si>
    <t>Quntile 3</t>
  </si>
  <si>
    <t>Quntile 4</t>
  </si>
  <si>
    <t>Quntile 5</t>
  </si>
  <si>
    <t>Treatment administered (Yes/No)</t>
  </si>
  <si>
    <t xml:space="preserve"> Oral amoxycillin 15 mg/kg</t>
  </si>
  <si>
    <t>Chloramphenicol 25 mg</t>
  </si>
  <si>
    <t>At Metros</t>
  </si>
  <si>
    <t>At District Municipalities</t>
  </si>
  <si>
    <t>Under 24 Months</t>
  </si>
  <si>
    <t>24 Months to 36 Months</t>
  </si>
  <si>
    <t>36 Months to 48 Months</t>
  </si>
  <si>
    <t>48 Months to 60 Months</t>
  </si>
  <si>
    <t>Provincial Departments of Health</t>
  </si>
  <si>
    <t xml:space="preserve">per cent of time spent on ECD Nutrition Policy </t>
  </si>
  <si>
    <t>Minutes per month spent assessing provincial reports on ECD nutrition</t>
  </si>
  <si>
    <t>With Provinces about ECD Nutrition</t>
  </si>
  <si>
    <t>Provincial Departments of Social Development</t>
  </si>
  <si>
    <t>Per cent of facilities visited (spot visits)</t>
  </si>
  <si>
    <t>Per cent of time allocated to nutrition</t>
  </si>
  <si>
    <t>Per cent of ECD Subsidy to be spent on nutrition</t>
  </si>
  <si>
    <t>Number of days paid per year</t>
  </si>
  <si>
    <t>per cent of time spent on ECD Nutrition issues</t>
  </si>
  <si>
    <t>Per cent of subsidised ECD facilities trained per year</t>
  </si>
  <si>
    <t>Number of staff per facility that attend training</t>
  </si>
  <si>
    <t>Oversight of nutrition in ECD centres</t>
  </si>
  <si>
    <t>Counselling/investigating children with malnourished children</t>
  </si>
  <si>
    <t>District Management of ECD Nutrition</t>
  </si>
  <si>
    <t>Percentage distribution of households by household consumption expenditure including in-kind expenditure quintile</t>
  </si>
  <si>
    <t>Inkind Consumption quintile</t>
  </si>
  <si>
    <t>1st quintile</t>
  </si>
  <si>
    <t>2nd quintile</t>
  </si>
  <si>
    <t>3rd quintile</t>
  </si>
  <si>
    <t>4th quintile</t>
  </si>
  <si>
    <t>5th quintile</t>
  </si>
  <si>
    <t>KwaZulu Natal</t>
  </si>
  <si>
    <t>RSA</t>
  </si>
  <si>
    <t>Developing Nutrition Sensitive Agriculture Programmes</t>
  </si>
  <si>
    <t>per cent of time spent on programme development</t>
  </si>
  <si>
    <t>Number of workshops per year</t>
  </si>
  <si>
    <t>Per cent of workshop time spent on nutrition sensitive agriculture</t>
  </si>
  <si>
    <t>Provincial Departments of Agriculture</t>
  </si>
  <si>
    <t>Average length in years per interventions</t>
  </si>
  <si>
    <t>Number of ongoining interventions</t>
  </si>
  <si>
    <t>Average expenditure on inputs per intervention</t>
  </si>
  <si>
    <t>Number of workshops per district/year</t>
  </si>
  <si>
    <t>Workshops - Training members of public</t>
  </si>
  <si>
    <t>per cent of time spent on SROD</t>
  </si>
  <si>
    <t>Number of hours per month spent analysing expenditure reports</t>
  </si>
  <si>
    <t>Number of site visits perform per year related to SROD</t>
  </si>
  <si>
    <t>Time taken in hours per site visit</t>
  </si>
  <si>
    <t>Per cent of time spent on SROD</t>
  </si>
  <si>
    <t>Number of hours spent calculating district allocations (annual)</t>
  </si>
  <si>
    <t>Per cent of applicants that receive food vouchers</t>
  </si>
  <si>
    <t>Per cent of applicants that receive food parcels</t>
  </si>
  <si>
    <t>Time in minutes per event:</t>
  </si>
  <si>
    <t>Receive a food parcel</t>
  </si>
  <si>
    <t>Hand out a food parcel when collected</t>
  </si>
  <si>
    <t>Assess and sign off one voucher</t>
  </si>
  <si>
    <t>Per cent of applicants that are double checked by social workers</t>
  </si>
  <si>
    <t>Social Relief of Distress Policy Development</t>
  </si>
  <si>
    <t>SASSA Head Office</t>
  </si>
  <si>
    <t>SASSA Regional Office</t>
  </si>
  <si>
    <t>SASSA District Office</t>
  </si>
  <si>
    <t>SASSA Local Office</t>
  </si>
  <si>
    <t>Munites per application (with applicant)</t>
  </si>
  <si>
    <t>Compliance Officer (Assistant Director)</t>
  </si>
  <si>
    <t>Nutrition supplements for children</t>
  </si>
  <si>
    <t>Oversight and Monitoring of nutrition interventions, Food Fortification Regulations and Food Stuffs Regulations</t>
  </si>
  <si>
    <t xml:space="preserve">Nutrition Intervention </t>
  </si>
  <si>
    <r>
      <t>1.</t>
    </r>
    <r>
      <rPr>
        <sz val="7"/>
        <color theme="1"/>
        <rFont val="Times New Roman"/>
        <family val="1"/>
      </rPr>
      <t xml:space="preserve">    </t>
    </r>
    <r>
      <rPr>
        <sz val="11"/>
        <color theme="1"/>
        <rFont val="Arial"/>
        <family val="2"/>
      </rPr>
      <t xml:space="preserve">Access to (nutritious) food, food prices </t>
    </r>
  </si>
  <si>
    <t>DOH</t>
  </si>
  <si>
    <r>
      <t>2.</t>
    </r>
    <r>
      <rPr>
        <sz val="7"/>
        <color theme="1"/>
        <rFont val="Times New Roman"/>
        <family val="1"/>
      </rPr>
      <t xml:space="preserve">    </t>
    </r>
    <r>
      <rPr>
        <sz val="11"/>
        <color theme="1"/>
        <rFont val="Arial"/>
        <family val="2"/>
      </rPr>
      <t xml:space="preserve">BANC (Basic ante-natal care) – education and supplements, timing </t>
    </r>
  </si>
  <si>
    <r>
      <t>3.</t>
    </r>
    <r>
      <rPr>
        <sz val="7"/>
        <color theme="1"/>
        <rFont val="Times New Roman"/>
        <family val="1"/>
      </rPr>
      <t xml:space="preserve">    </t>
    </r>
    <r>
      <rPr>
        <sz val="11"/>
        <color theme="1"/>
        <rFont val="Arial"/>
        <family val="2"/>
      </rPr>
      <t xml:space="preserve">Breastfeeding support* </t>
    </r>
  </si>
  <si>
    <r>
      <t>4.</t>
    </r>
    <r>
      <rPr>
        <sz val="7"/>
        <color theme="1"/>
        <rFont val="Times New Roman"/>
        <family val="1"/>
      </rPr>
      <t xml:space="preserve">    </t>
    </r>
    <r>
      <rPr>
        <sz val="11"/>
        <color theme="1"/>
        <rFont val="Arial"/>
        <family val="2"/>
      </rPr>
      <t xml:space="preserve">Complementary feeding* </t>
    </r>
  </si>
  <si>
    <r>
      <t>5.</t>
    </r>
    <r>
      <rPr>
        <sz val="7"/>
        <color theme="1"/>
        <rFont val="Times New Roman"/>
        <family val="1"/>
      </rPr>
      <t xml:space="preserve">    </t>
    </r>
    <r>
      <rPr>
        <sz val="11"/>
        <color theme="1"/>
        <rFont val="Arial"/>
        <family val="2"/>
      </rPr>
      <t xml:space="preserve">Deworming </t>
    </r>
  </si>
  <si>
    <r>
      <t>6.</t>
    </r>
    <r>
      <rPr>
        <sz val="7"/>
        <color theme="1"/>
        <rFont val="Times New Roman"/>
        <family val="1"/>
      </rPr>
      <t xml:space="preserve">    </t>
    </r>
    <r>
      <rPr>
        <sz val="11"/>
        <color theme="1"/>
        <rFont val="Arial"/>
        <family val="2"/>
      </rPr>
      <t xml:space="preserve">ECD (food in ECD centres) (DSD) </t>
    </r>
  </si>
  <si>
    <t>DSD</t>
  </si>
  <si>
    <r>
      <t>7.</t>
    </r>
    <r>
      <rPr>
        <sz val="7"/>
        <color theme="1"/>
        <rFont val="Times New Roman"/>
        <family val="1"/>
      </rPr>
      <t xml:space="preserve">    </t>
    </r>
    <r>
      <rPr>
        <sz val="11"/>
        <color theme="1"/>
        <rFont val="Arial"/>
        <family val="2"/>
      </rPr>
      <t xml:space="preserve">Food access (e.g. food parcels, soup kitchens) </t>
    </r>
  </si>
  <si>
    <r>
      <t>8.</t>
    </r>
    <r>
      <rPr>
        <sz val="7"/>
        <color theme="1"/>
        <rFont val="Times New Roman"/>
        <family val="1"/>
      </rPr>
      <t xml:space="preserve">    </t>
    </r>
    <r>
      <rPr>
        <sz val="11"/>
        <color theme="1"/>
        <rFont val="Arial"/>
        <family val="2"/>
      </rPr>
      <t>Food fortification (Vitamin A, Iron and Iodine)*</t>
    </r>
  </si>
  <si>
    <r>
      <t>9.</t>
    </r>
    <r>
      <rPr>
        <sz val="7"/>
        <color theme="1"/>
        <rFont val="Times New Roman"/>
        <family val="1"/>
      </rPr>
      <t xml:space="preserve">    </t>
    </r>
    <r>
      <rPr>
        <sz val="11"/>
        <color theme="1"/>
        <rFont val="Arial"/>
        <family val="2"/>
      </rPr>
      <t xml:space="preserve">Food security (output 2 of outcome 7) </t>
    </r>
  </si>
  <si>
    <r>
      <t>10.</t>
    </r>
    <r>
      <rPr>
        <sz val="7"/>
        <color theme="1"/>
        <rFont val="Times New Roman"/>
        <family val="1"/>
      </rPr>
      <t xml:space="preserve">  </t>
    </r>
    <r>
      <rPr>
        <sz val="11"/>
        <color theme="1"/>
        <rFont val="Arial"/>
        <family val="2"/>
      </rPr>
      <t xml:space="preserve">Growth monitoring and promotion including the use of MUAC </t>
    </r>
  </si>
  <si>
    <r>
      <t>11.</t>
    </r>
    <r>
      <rPr>
        <sz val="7"/>
        <color theme="1"/>
        <rFont val="Times New Roman"/>
        <family val="1"/>
      </rPr>
      <t xml:space="preserve">  </t>
    </r>
    <r>
      <rPr>
        <sz val="11"/>
        <color theme="1"/>
        <rFont val="Arial"/>
        <family val="2"/>
      </rPr>
      <t xml:space="preserve">Household food production and preservation (home gardening) </t>
    </r>
  </si>
  <si>
    <r>
      <t>12.</t>
    </r>
    <r>
      <rPr>
        <sz val="7"/>
        <color theme="1"/>
        <rFont val="Times New Roman"/>
        <family val="1"/>
      </rPr>
      <t xml:space="preserve">  </t>
    </r>
    <r>
      <rPr>
        <sz val="11"/>
        <color theme="1"/>
        <rFont val="Arial"/>
        <family val="2"/>
      </rPr>
      <t xml:space="preserve">IMCI (integrated management of childhood illnesses) </t>
    </r>
  </si>
  <si>
    <r>
      <t>13.</t>
    </r>
    <r>
      <rPr>
        <sz val="7"/>
        <color theme="1"/>
        <rFont val="Times New Roman"/>
        <family val="1"/>
      </rPr>
      <t xml:space="preserve">  </t>
    </r>
    <r>
      <rPr>
        <sz val="11"/>
        <color theme="1"/>
        <rFont val="Arial"/>
        <family val="2"/>
      </rPr>
      <t>Improving hygiene practice (including in relation to water and sanitation)</t>
    </r>
  </si>
  <si>
    <t>DOH (with municipalities</t>
  </si>
  <si>
    <r>
      <t>14.</t>
    </r>
    <r>
      <rPr>
        <sz val="7"/>
        <color theme="1"/>
        <rFont val="Times New Roman"/>
        <family val="1"/>
      </rPr>
      <t xml:space="preserve">  </t>
    </r>
    <r>
      <rPr>
        <sz val="11"/>
        <color theme="1"/>
        <rFont val="Arial"/>
        <family val="2"/>
      </rPr>
      <t xml:space="preserve">Management of severe malnutrition* </t>
    </r>
  </si>
  <si>
    <r>
      <t>15.</t>
    </r>
    <r>
      <rPr>
        <sz val="7"/>
        <color theme="1"/>
        <rFont val="Times New Roman"/>
        <family val="1"/>
      </rPr>
      <t xml:space="preserve">  </t>
    </r>
    <r>
      <rPr>
        <sz val="11"/>
        <color theme="1"/>
        <rFont val="Arial"/>
        <family val="2"/>
      </rPr>
      <t>Micronutrient including Vitamin A supplementation*</t>
    </r>
  </si>
  <si>
    <r>
      <t>16.</t>
    </r>
    <r>
      <rPr>
        <sz val="7"/>
        <color theme="1"/>
        <rFont val="Times New Roman"/>
        <family val="1"/>
      </rPr>
      <t xml:space="preserve">  </t>
    </r>
    <r>
      <rPr>
        <sz val="11"/>
        <color theme="1"/>
        <rFont val="Arial"/>
        <family val="2"/>
      </rPr>
      <t xml:space="preserve">Nutrition education and counselling (part of all of these) </t>
    </r>
  </si>
  <si>
    <t>DOH, DSD</t>
  </si>
  <si>
    <r>
      <t>17.</t>
    </r>
    <r>
      <rPr>
        <sz val="7"/>
        <color theme="1"/>
        <rFont val="Times New Roman"/>
        <family val="1"/>
      </rPr>
      <t xml:space="preserve">  </t>
    </r>
    <r>
      <rPr>
        <sz val="11"/>
        <color theme="1"/>
        <rFont val="Arial"/>
        <family val="2"/>
      </rPr>
      <t xml:space="preserve">ORS and Zinc* </t>
    </r>
  </si>
  <si>
    <r>
      <t>18.</t>
    </r>
    <r>
      <rPr>
        <sz val="7"/>
        <color theme="1"/>
        <rFont val="Times New Roman"/>
        <family val="1"/>
      </rPr>
      <t xml:space="preserve">  </t>
    </r>
    <r>
      <rPr>
        <sz val="11"/>
        <color theme="1"/>
        <rFont val="Arial"/>
        <family val="2"/>
      </rPr>
      <t xml:space="preserve">Targeted Meal Supplementation /Management of moderate malnutrition * </t>
    </r>
  </si>
  <si>
    <t>Out of scope</t>
  </si>
  <si>
    <t xml:space="preserve">This is the main focus of the "Social Development" sheet </t>
  </si>
  <si>
    <t>Social Relief of Distress is costed in the SASSA sheet</t>
  </si>
  <si>
    <t>Under NDOH policy development and environmental health officers at metros and district municipalites, in the Health sheet</t>
  </si>
  <si>
    <t>Extension support, workshops and training on nutrition sensitive agriculture is costed in the Agriculture sheet</t>
  </si>
  <si>
    <t>This part of routine health inspections, so costed as the time of nurses and ward based outreach teams</t>
  </si>
  <si>
    <t>Time requirements of specialists are costed in the "Health" sheet, medicines used are costed in "SAM".</t>
  </si>
  <si>
    <t>Costed in the "Health" sheet</t>
  </si>
  <si>
    <t>Costed as time of nutrition counsellors in "Health" and time of Social Workers in "Social Development</t>
  </si>
  <si>
    <t>Costed as an amount of nurse or PHC outreach team's time</t>
  </si>
  <si>
    <t>Costed as an amount of nurse or PHC outreach team's time and workshops given to health facilities on breastfeeding</t>
  </si>
  <si>
    <t>Direct cost of deworming tablets is included</t>
  </si>
  <si>
    <t>Costed as amount of time nutrition counsellors spend with mothers</t>
  </si>
  <si>
    <t>Oral Rehydration Salts</t>
  </si>
  <si>
    <t>Zinc</t>
  </si>
  <si>
    <t>The time of a physician and dietician per child admitted for treatment is costed, and meal supplementations administered</t>
  </si>
  <si>
    <t>The time of a physician and dietician per child admitted for treatment is costed, ORS and Zinc doses costed</t>
  </si>
  <si>
    <t>Training and Workshops - building capacity to implement nutrition interventions</t>
  </si>
  <si>
    <t>Promotion and awareness of nutrition</t>
  </si>
  <si>
    <t>Management Support for Nutrition Interventions</t>
  </si>
  <si>
    <t>General Preventative Measures - (prevention of malnutrition)</t>
  </si>
  <si>
    <t>Medicines Administered per child admitted with SAM</t>
  </si>
  <si>
    <t>Training staff at ECD facilities on nutrition for young children</t>
  </si>
  <si>
    <t>Management Support of Nutrition Sensitive Agriculture</t>
  </si>
  <si>
    <t>Implementation of Agriculture Programmes</t>
  </si>
  <si>
    <t>Community Meetings on Nutrition Sensitive Agriculture</t>
  </si>
  <si>
    <t>Procurement of inputs for agriculture interventions</t>
  </si>
  <si>
    <t>Promoting Nutrition Sensitive Agriculture</t>
  </si>
  <si>
    <t>Logistics Management of food parcels</t>
  </si>
  <si>
    <t>Assessing SROD applicants - only in special cases</t>
  </si>
  <si>
    <t>Processing SROD Applications</t>
  </si>
  <si>
    <t>Oversight and Management Support of SROD</t>
  </si>
  <si>
    <t>Procurement of food parcels</t>
  </si>
  <si>
    <t>Regional Management Support of SROD</t>
  </si>
  <si>
    <t>District Management Support of SROD</t>
  </si>
  <si>
    <t>Variable</t>
  </si>
  <si>
    <t>How it impact costs?</t>
  </si>
  <si>
    <t>What are the potential impacts of trying to save this cost?</t>
  </si>
  <si>
    <t>Sheet</t>
  </si>
  <si>
    <t>PDOH</t>
  </si>
  <si>
    <t>If time reduced too much, quality of care drops and cost of curative health increases - most likely substantially more than potential cost savings in salaries</t>
  </si>
  <si>
    <t>If doses are too low they are likely to be inneffective, increasing the need for curative treatment which is much more expensivie</t>
  </si>
  <si>
    <t>Targeting</t>
  </si>
  <si>
    <t>What are the main variables affecting the cost of social development interventions</t>
  </si>
  <si>
    <t>Targeting of subsidy</t>
  </si>
  <si>
    <t>The wider the target the more subsidies have to be paid</t>
  </si>
  <si>
    <t>Deserving and needy children are not given the care they require and potentially become malnourished, which incure costly curative interventions</t>
  </si>
  <si>
    <t>Value of subsidy</t>
  </si>
  <si>
    <t>The smaller the subsidy, the less the total cost of subsidies</t>
  </si>
  <si>
    <t>ECD facilities won't have sufficient resources to provide quality care and nutrition.  Potential impact similar to above</t>
  </si>
  <si>
    <t>Criteria for accessing SROD</t>
  </si>
  <si>
    <t>If made more restrictive, fewer food parcels and food vouchers will be issued, which reduces total costs</t>
  </si>
  <si>
    <t>Children that are at risk of being malnourished will become malnourished and require costly curative treatment</t>
  </si>
  <si>
    <t>Value of SROD benefits (max value of food parcel and vouchers)</t>
  </si>
  <si>
    <t>What are the main variables affecting Social Relief of Distress?</t>
  </si>
  <si>
    <t>Lowering the cost of relief given to each beneficiary will lower the cost of the programme</t>
  </si>
  <si>
    <t>Similar to above</t>
  </si>
  <si>
    <t>Agriculture</t>
  </si>
  <si>
    <t>What are the main variables affecting Agriculture</t>
  </si>
  <si>
    <t>Amount of time Community Development Workers spend assisting ECD centres</t>
  </si>
  <si>
    <t>Lower salary costs</t>
  </si>
  <si>
    <t>Potential drop in the quality of care given at ECD facilities</t>
  </si>
  <si>
    <t>Amount of training provided</t>
  </si>
  <si>
    <t>As above</t>
  </si>
  <si>
    <t>How easy is it to delineate the cost?</t>
  </si>
  <si>
    <t>Very difficult as this is costed along with time of staff that focuses on a range of other programmes</t>
  </si>
  <si>
    <t>Cost can be shown</t>
  </si>
  <si>
    <t>Cost of tablets can be shown, but staff time involved is different to separate out</t>
  </si>
  <si>
    <t>The food parcels and vouchers can be costed accurately, but the cost of staff time can only be estimated.</t>
  </si>
  <si>
    <t>Costs directly related to children can at best be estimated as a per cent of a range of costs</t>
  </si>
  <si>
    <t>A small portion of the time nurses spend during checks is related to nutrition</t>
  </si>
  <si>
    <t>The costs estimated in the model related to this can be shown clearly</t>
  </si>
  <si>
    <t>What are the main variables affecting the cost of health interventions</t>
  </si>
  <si>
    <t>Nutrition sensitive agriculture affecting young children is a very small part of agriculture interventions and therefore the model will not support meaningful scenario anylses in this sector</t>
  </si>
  <si>
    <t>Totals</t>
  </si>
  <si>
    <t>Compensation of Employees</t>
  </si>
  <si>
    <t>Goods and Services</t>
  </si>
  <si>
    <t>Total</t>
  </si>
  <si>
    <t>Co-ordination of the Integrated Nutrition Programme</t>
  </si>
  <si>
    <t>What are the main variables impacting the cost of co-ordination?</t>
  </si>
  <si>
    <t>National communication strategy on nutrition</t>
  </si>
  <si>
    <t>What are the main variables impacting the cost of such a communciation strategy?</t>
  </si>
  <si>
    <t>How it impacts costs?</t>
  </si>
  <si>
    <t>Establishment and support to a National Nutrition Council</t>
  </si>
  <si>
    <t>Establishment and support to a Provincial Nutrition Committee</t>
  </si>
  <si>
    <t>Size of council</t>
  </si>
  <si>
    <t>Frequency of meetings</t>
  </si>
  <si>
    <t>Number of sub-committees</t>
  </si>
  <si>
    <t>Dedicated secretarial support</t>
  </si>
  <si>
    <t>Choice of media - TV, radio, print, internet, community outreach</t>
  </si>
  <si>
    <t>Size of committee</t>
  </si>
  <si>
    <t>Intensity of coverage</t>
  </si>
  <si>
    <t>Format of coverage</t>
  </si>
  <si>
    <t>Establishing a NNC will incur costs</t>
  </si>
  <si>
    <t>Establishing PNCs will incur costs</t>
  </si>
  <si>
    <t>Lack of national leadership for the INP may impact on the level of inter-departmental co-ordination and hinder the achievement of nutrition goals.</t>
  </si>
  <si>
    <t>Lack of provincial leadership and cordination may impact on the realisation of nutrition goals</t>
  </si>
  <si>
    <t>Smaller = less cost</t>
  </si>
  <si>
    <t>Less representative, may be less effective</t>
  </si>
  <si>
    <t>Fewer = less cost</t>
  </si>
  <si>
    <t>Minimum number required to be effective</t>
  </si>
  <si>
    <t>Depends how it is structured</t>
  </si>
  <si>
    <t>Involvement of NPOs as communication agents</t>
  </si>
  <si>
    <t>There are very different costs associated with each media</t>
  </si>
  <si>
    <t>Ads versus programming
Public broadcasting mandate?</t>
  </si>
  <si>
    <t>More intense = greater likelihood of reach</t>
  </si>
  <si>
    <t>Should the communication strategy be driven by national government?</t>
  </si>
  <si>
    <t>There are likely to be scale efficiencies in certain areas</t>
  </si>
  <si>
    <t>There are however region specific issues that may be missed thus reducing effectiveness</t>
  </si>
  <si>
    <r>
      <t xml:space="preserve">Similar to </t>
    </r>
    <r>
      <rPr>
        <i/>
        <sz val="10"/>
        <color theme="1"/>
        <rFont val="Arial"/>
        <family val="2"/>
      </rPr>
      <t>Love Life SA</t>
    </r>
  </si>
  <si>
    <t>Level and size of the unit responsible for nutrition</t>
  </si>
  <si>
    <t>Policy development work</t>
  </si>
  <si>
    <t>What is a cluster manager?</t>
  </si>
  <si>
    <t>Should this be a Chief Directorate?
How many directors and assistant directors?</t>
  </si>
  <si>
    <t>Frequency/dosage of supplements and medicines</t>
  </si>
  <si>
    <t>Research and policy development
Oversight of policy implementation
Training on nutrtition protocols (is this done by provinces)
Management of communication strategy
NNC secretariate</t>
  </si>
  <si>
    <t>Staffing to drive nutrition interventions:</t>
  </si>
  <si>
    <t>More staff = higher costs</t>
  </si>
  <si>
    <t>The lack of specialist staff was identified as a major contraint in the implementation of various nutrition interventions, particularly those aimed at changing behaviours.</t>
  </si>
  <si>
    <t>Level and size of the provincial HO nutrition unit</t>
  </si>
  <si>
    <t>Nutrition-trained persons for CHW programme</t>
  </si>
  <si>
    <t>Training on nutrition and nutrition interventions</t>
  </si>
  <si>
    <t>Clinic nurses</t>
  </si>
  <si>
    <t>The lack of knowledge about nutrition was identified has one of the obstacles to the succesful implementation of the various nutrition interventions</t>
  </si>
  <si>
    <t>Nutrition-trained person in each district  (on DCSTs)</t>
  </si>
  <si>
    <t>Ward Based Teams</t>
  </si>
  <si>
    <t>Administrative Assistant</t>
  </si>
  <si>
    <t>Number of Members on the Council</t>
  </si>
  <si>
    <t>Number of times the council meets per year</t>
  </si>
  <si>
    <t>Proportion of time the council spends dealing with nutrition for young children</t>
  </si>
  <si>
    <t>Proportion of time spent dealing with council issues</t>
  </si>
  <si>
    <t>Fee paid to members of the National Nutrition Council (annual)</t>
  </si>
  <si>
    <t>Fee paid to members of the Provincial Nutrition Council (annual)</t>
  </si>
  <si>
    <t>Catering costs per member of council per meeting</t>
  </si>
  <si>
    <t>Nights Accommodation per year</t>
  </si>
  <si>
    <t>Economy Flights per year</t>
  </si>
  <si>
    <t>Travel and accommodation may be required to attend national council meetings</t>
  </si>
  <si>
    <t>Roles and responsibilities</t>
  </si>
  <si>
    <t>CHWs ward-based teams</t>
  </si>
  <si>
    <t>Is there any targeting in the design of DOH nutrition programmes?</t>
  </si>
  <si>
    <t>Time taken to complete a nutrition related check up</t>
  </si>
  <si>
    <t>Affects the number of health professionals required, which impacts on cost of employment</t>
  </si>
  <si>
    <t>Time taken to provide in-clinic training and counselling on nutrition</t>
  </si>
  <si>
    <t>If time reduced too much, quality of care drops and cost of curative health increases</t>
  </si>
  <si>
    <t>The smaller or less frequent the doses, the less the total cost of medicines</t>
  </si>
  <si>
    <t>National DSD</t>
  </si>
  <si>
    <t>ECD subsidies</t>
  </si>
  <si>
    <t>Education/counselling</t>
  </si>
  <si>
    <t>Preventative interventions</t>
  </si>
  <si>
    <t>Clinical interventions</t>
  </si>
  <si>
    <t>Nutrition sensitive programmes</t>
  </si>
  <si>
    <t>The costs estimated in the model related to this can be shown</t>
  </si>
  <si>
    <t>Out of scope, unless we only focus on the education component?</t>
  </si>
  <si>
    <t>Cost of supplements can be shown, but staff time involved can only be estimated</t>
  </si>
  <si>
    <t xml:space="preserve">Cost of staff time is an estimate, but the cost of subsidy allocated to food can be calculated </t>
  </si>
  <si>
    <t>Categorising the Interventions for costing purposes</t>
  </si>
  <si>
    <t>How do we propose costing it?</t>
  </si>
  <si>
    <t>Dept.</t>
  </si>
  <si>
    <t>If there is specific policy development work required, this is usually quite expensive given the need to conduct public consultations.
- common operational plan
- regulating promotion of obesogenic food</t>
  </si>
  <si>
    <t>More training = higher costs</t>
  </si>
  <si>
    <t>Preventative intervention programme variables</t>
  </si>
  <si>
    <t>Not aware of any options here</t>
  </si>
  <si>
    <t>P DSDs</t>
  </si>
  <si>
    <t>More training = higher cost</t>
  </si>
  <si>
    <t>Staffing to drive SROD</t>
  </si>
  <si>
    <t>Level and size of the unit responsible for SROD</t>
  </si>
  <si>
    <t>Establishing and supporting a National Nutrition Council</t>
  </si>
  <si>
    <t>Establishing and Maintaining a Provincial Nutrition Committee</t>
  </si>
  <si>
    <t>Number on committee</t>
  </si>
  <si>
    <t>Number of Members on the Committee</t>
  </si>
  <si>
    <t>Number of times the committee meets per year</t>
  </si>
  <si>
    <t>Proportion of time the committee spends dealing with nutrition for young children</t>
  </si>
  <si>
    <t>Service offices</t>
  </si>
  <si>
    <t>National Department of Social Development</t>
  </si>
  <si>
    <t>Travel and Accommodation</t>
  </si>
  <si>
    <t>One night accommodation</t>
  </si>
  <si>
    <t>Domestic Economy Flight</t>
  </si>
  <si>
    <t>Venue Costs per participant/day (including catering)</t>
  </si>
  <si>
    <t>Audio-visual equipment hire per day</t>
  </si>
  <si>
    <t>Nutrition Council Meetings</t>
  </si>
  <si>
    <t>Car Hire per day</t>
  </si>
  <si>
    <t>Media and Promotion Material</t>
  </si>
  <si>
    <t>30 Second Advert on a community radio station</t>
  </si>
  <si>
    <t>Advert in a National Newspaper</t>
  </si>
  <si>
    <t>Advert in a Regional Newspaper</t>
  </si>
  <si>
    <t>Printing cost per T-Shirt with messaging</t>
  </si>
  <si>
    <t>Cost per branded wrist band</t>
  </si>
  <si>
    <t>30 Second Advert on National TV</t>
  </si>
  <si>
    <t>Cost to shoot a TV commercial</t>
  </si>
  <si>
    <t>Cost to record a radio commercial</t>
  </si>
  <si>
    <t>Peak</t>
  </si>
  <si>
    <t>Off Peak</t>
  </si>
  <si>
    <t>30 Second Advert on a  radio station</t>
  </si>
  <si>
    <t>About food fortification</t>
  </si>
  <si>
    <t>Operational Manager Nursing</t>
  </si>
  <si>
    <t>Grade 2 Nurse - (Paediatric Nurse)</t>
  </si>
  <si>
    <t>Number of days per workshop</t>
  </si>
  <si>
    <t>Facilitator Trainer Cost per day</t>
  </si>
  <si>
    <t>Advert in a Community newspaper</t>
  </si>
  <si>
    <t>Yes</t>
  </si>
  <si>
    <t>No</t>
  </si>
  <si>
    <t>Number of subsidised children</t>
  </si>
  <si>
    <t>Number of facilities</t>
  </si>
  <si>
    <t>South Africa</t>
  </si>
  <si>
    <t>Value of ECD Subsidy Per Child Per Day</t>
  </si>
  <si>
    <t>Subsidy Amount Spent on ECD Nutrition</t>
  </si>
  <si>
    <t>Time in minutes per facility to check oversight reports (from district)</t>
  </si>
  <si>
    <t>Time in minutes per spot visit (including travel)</t>
  </si>
  <si>
    <t>Distance Travelled per facility (km)</t>
  </si>
  <si>
    <t>Minutes spent on reports</t>
  </si>
  <si>
    <t>Minutes spent on spot visits</t>
  </si>
  <si>
    <t>Assistant Director - cost of time</t>
  </si>
  <si>
    <t>Minutes work per year</t>
  </si>
  <si>
    <t>Work hours per day</t>
  </si>
  <si>
    <t>District Manager (Director)</t>
  </si>
  <si>
    <t>District manager</t>
  </si>
  <si>
    <t>Cost of KM</t>
  </si>
  <si>
    <t>Cost per km travelled</t>
  </si>
  <si>
    <t>Minutes spent</t>
  </si>
  <si>
    <t>Number of visits per year (per facility)</t>
  </si>
  <si>
    <t>Time in minutes to visit and inspect a facility (including travel)</t>
  </si>
  <si>
    <t>Time in minutes taken to refer children to SASSA for SROD</t>
  </si>
  <si>
    <t>Age Groups - attending ECD facilities (Yes/No)</t>
  </si>
  <si>
    <t>Per cent of Quintile 1 Children referred to SROD</t>
  </si>
  <si>
    <t>Per cent of Quintile 1 Children requiring assessments and nutrition counselling</t>
  </si>
  <si>
    <t>referred for SROD</t>
  </si>
  <si>
    <t>requiring counseling</t>
  </si>
  <si>
    <t>Minutes</t>
  </si>
  <si>
    <t xml:space="preserve"> </t>
  </si>
  <si>
    <t>Per cent of workshops dedicated to nutrition</t>
  </si>
  <si>
    <t>Number of Workshops required</t>
  </si>
  <si>
    <t>For medical professionals and interactions with industry role players</t>
  </si>
  <si>
    <t>Cost per workshop per day</t>
  </si>
  <si>
    <t>Participants per workshop</t>
  </si>
  <si>
    <t>South Africa = 9, Province = 1 - costs x9 for SA</t>
  </si>
  <si>
    <t>Transfers and Subsidies</t>
  </si>
  <si>
    <t>Number of children applying</t>
  </si>
  <si>
    <t>Number of minutes spent assessing one service provider</t>
  </si>
  <si>
    <t>Number of service providers appointed (per district)</t>
  </si>
  <si>
    <t>staff costs</t>
  </si>
  <si>
    <t>Logistics Manager (Deputy Director)</t>
  </si>
  <si>
    <t>Voucher Manager (Assistant Director)</t>
  </si>
  <si>
    <t>Proportion of food parcels collected at SASSA Local Offices</t>
  </si>
  <si>
    <t>Number of food vouchers collected at SASSA offices</t>
  </si>
  <si>
    <t>Number of food vouchers procured per purchase order</t>
  </si>
  <si>
    <t>Number of minutes required to process purchase order</t>
  </si>
  <si>
    <t>Number of minutes required to prepare a purchase order</t>
  </si>
  <si>
    <t>Voucher Booklets</t>
  </si>
  <si>
    <t>Number of vouchers per booklet</t>
  </si>
  <si>
    <t>Price of booklet</t>
  </si>
  <si>
    <t>Number of purchase orders</t>
  </si>
  <si>
    <t>SASSA Districts</t>
  </si>
  <si>
    <t>Number of districts</t>
  </si>
  <si>
    <t>Directors salary (District Manager)</t>
  </si>
  <si>
    <t>Procurement Manager - salary cost</t>
  </si>
  <si>
    <t>Per cent of Quintile 1 Children receiving SROD each year</t>
  </si>
  <si>
    <t>Number of children that receive SROD</t>
  </si>
  <si>
    <t>Local Offices</t>
  </si>
  <si>
    <t>Km  travelled by social workers</t>
  </si>
  <si>
    <t>Cost of Vouchers and Parcels</t>
  </si>
  <si>
    <t>Food Vouchers</t>
  </si>
  <si>
    <t>Food Parcels</t>
  </si>
  <si>
    <t>Units</t>
  </si>
  <si>
    <t>Measure</t>
  </si>
  <si>
    <t>ml</t>
  </si>
  <si>
    <t>Cost Per unit</t>
  </si>
  <si>
    <t>Metrionidazole (200mg/5ml suspension)</t>
  </si>
  <si>
    <t>Vitamin A 100 000 IU Capsules</t>
  </si>
  <si>
    <t>Capsules</t>
  </si>
  <si>
    <t>Vitamin A 200 000 IU Capsules</t>
  </si>
  <si>
    <t>Co-trimoxazole Suspension</t>
  </si>
  <si>
    <t>Ampicillin 500mg Vial</t>
  </si>
  <si>
    <t>mg</t>
  </si>
  <si>
    <t>Gentamycin 20mg/2ml vial</t>
  </si>
  <si>
    <t>vial</t>
  </si>
  <si>
    <t>Folic Acid 5mg tablets</t>
  </si>
  <si>
    <t>Tablets</t>
  </si>
  <si>
    <t>Multivitamin (100ml)</t>
  </si>
  <si>
    <t>Multivitamin (20ml) - for infants</t>
  </si>
  <si>
    <t>Iron drops 20 ml (25mg/ml)</t>
  </si>
  <si>
    <t>Potassium Vial</t>
  </si>
  <si>
    <t>Mebendazole 500mg</t>
  </si>
  <si>
    <t>Tablet</t>
  </si>
  <si>
    <t>tube</t>
  </si>
  <si>
    <t>Zinc Dispersable Tablets (20mg)</t>
  </si>
  <si>
    <t>Demand</t>
  </si>
  <si>
    <t>Birth Occurences as a per cent of under 12 month olds</t>
  </si>
  <si>
    <t>Deworming (standard dose from 2 years)</t>
  </si>
  <si>
    <t>Inflation of medicines</t>
  </si>
  <si>
    <t>Vitamin A Supplementation</t>
  </si>
  <si>
    <t>2 Years</t>
  </si>
  <si>
    <t>3 Years</t>
  </si>
  <si>
    <t>4 Years</t>
  </si>
  <si>
    <t>5 Years</t>
  </si>
  <si>
    <t>Dietician</t>
  </si>
  <si>
    <t>Nutrition Counselor</t>
  </si>
  <si>
    <t>Committee Secretariat</t>
  </si>
  <si>
    <t>Committee meetings</t>
  </si>
  <si>
    <t>directors fees</t>
  </si>
  <si>
    <t>Allocation to nutrtion</t>
  </si>
  <si>
    <t>Secretariat travel</t>
  </si>
  <si>
    <t>Allocation to nutrition</t>
  </si>
  <si>
    <t>Procurement Management (Deputy Director)</t>
  </si>
  <si>
    <t>Per cent of travel costs that can be attributed to nutrition for young children</t>
  </si>
  <si>
    <t>Health Districts</t>
  </si>
  <si>
    <t>District Management Support for Nutrition Interventions</t>
  </si>
  <si>
    <t>No. hours procuring nutrition supplements per facility/year</t>
  </si>
  <si>
    <t>Wards</t>
  </si>
  <si>
    <t>Number of wards</t>
  </si>
  <si>
    <t>District Specialists Teams</t>
  </si>
  <si>
    <t>With District Health Specialist Teams on Severe Acute Malnutrition</t>
  </si>
  <si>
    <t>With Health Facilities and Ward Based Teams on nutrition and breastfeeding</t>
  </si>
  <si>
    <t>Health facilities</t>
  </si>
  <si>
    <t>Nurses per facility sent to workshops/year</t>
  </si>
  <si>
    <t>Team members per team sent on workshops/year</t>
  </si>
  <si>
    <t>Team members per team sent per workshop</t>
  </si>
  <si>
    <t>Catering costs per person at community outreach events</t>
  </si>
  <si>
    <t>Total number of visits to ECD centres</t>
  </si>
  <si>
    <t>Number of FTE nurses required</t>
  </si>
  <si>
    <t>Per cent of wards with dedicated Ward Based PHC Team</t>
  </si>
  <si>
    <t>Total FTE required for visits to ECD centres</t>
  </si>
  <si>
    <t>Time in minutes per visit per ECD Centre (on nutrition issues)</t>
  </si>
  <si>
    <t>Travel costs</t>
  </si>
  <si>
    <t>mix</t>
  </si>
  <si>
    <t>Amoxycillin Suspension (250mg/5ml)</t>
  </si>
  <si>
    <t xml:space="preserve"> vials</t>
  </si>
  <si>
    <t>Formula F-100 (200ml)</t>
  </si>
  <si>
    <t>Quintile 1 children accessing public health facilities</t>
  </si>
  <si>
    <t>Province Head Office</t>
  </si>
  <si>
    <t>Treatment of malnutrition</t>
  </si>
  <si>
    <t>Education, awareness and surveillance</t>
  </si>
  <si>
    <t>Allocation to child nutrition</t>
  </si>
  <si>
    <t>Provincial head office</t>
  </si>
  <si>
    <t>District office</t>
  </si>
  <si>
    <t>Training and Capacity Building</t>
  </si>
  <si>
    <t>Nutrition education and surveillance performed by Outreach teams</t>
  </si>
  <si>
    <t>Number of senior nurses required (specifically with respect to nutrition)</t>
  </si>
  <si>
    <t>Number nurses overseen by one paediatric nurse (in health facilities)</t>
  </si>
  <si>
    <t>Cost of time spent on surveillance etc</t>
  </si>
  <si>
    <t>Ward Based Outreach teams</t>
  </si>
  <si>
    <t>Medicine Costs:</t>
  </si>
  <si>
    <t>Non-medicine costs</t>
  </si>
  <si>
    <t>Medicines and supplements</t>
  </si>
  <si>
    <t>MS</t>
  </si>
  <si>
    <t>COE</t>
  </si>
  <si>
    <t>GS</t>
  </si>
  <si>
    <t>Number of people participating in each intervention</t>
  </si>
  <si>
    <t>15-64</t>
  </si>
  <si>
    <t>Per cent of 15 to 64 year olds accessing agriculture programmes</t>
  </si>
  <si>
    <t>sachet</t>
  </si>
  <si>
    <t>Workshops with provinces which include nutrition sensitive agriculture</t>
  </si>
  <si>
    <t>Business planning per new intervention (hours)</t>
  </si>
  <si>
    <t>Travel time per site visit (hours)</t>
  </si>
  <si>
    <t>Number of interventions required</t>
  </si>
  <si>
    <t>Number of interventions initiated each year as a per cent of total required</t>
  </si>
  <si>
    <t>Distance Travelled per intervention (km)</t>
  </si>
  <si>
    <t>Time per community meeting (minutes)</t>
  </si>
  <si>
    <t>Social Worker Grade 3 / Extension Officer</t>
  </si>
  <si>
    <t>Number of extension officers attending each meeting</t>
  </si>
  <si>
    <t>For training ECD practitioners, CDWs and communities</t>
  </si>
  <si>
    <t>Time (hours) per province assiting programme development</t>
  </si>
  <si>
    <t>Deputy Directors</t>
  </si>
  <si>
    <t>Chief director</t>
  </si>
  <si>
    <t>director</t>
  </si>
  <si>
    <t>deputy director</t>
  </si>
  <si>
    <t>Workshops (cost allocated to nutrition)</t>
  </si>
  <si>
    <t>Number of new interventions initiated each year</t>
  </si>
  <si>
    <t>Extensions officers</t>
  </si>
  <si>
    <t>cost allocated to nutrition</t>
  </si>
  <si>
    <t>Procurement manager time</t>
  </si>
  <si>
    <t>Procurement Officer (Assistant Director)</t>
  </si>
  <si>
    <t>goods procured</t>
  </si>
  <si>
    <t>Workshops and meetings</t>
  </si>
  <si>
    <t>Extension officers time</t>
  </si>
  <si>
    <t>Proportion of meetings dealing with child nutrition</t>
  </si>
  <si>
    <t>Per cent of workshop time on child nutrition sensitive agriculture</t>
  </si>
  <si>
    <t>Information pamphlets (per pamphlet)</t>
  </si>
  <si>
    <t>Cost to host a talk show on community radio</t>
  </si>
  <si>
    <t>National Department</t>
  </si>
  <si>
    <t>Provincial Departments</t>
  </si>
  <si>
    <t>Management</t>
  </si>
  <si>
    <t>Interventions</t>
  </si>
  <si>
    <t>Awareness and Education</t>
  </si>
  <si>
    <t>Time spent per food secuirity intervention (minutes)</t>
  </si>
  <si>
    <t>Deputy Director</t>
  </si>
  <si>
    <t>Visits to provinces and stakeholders</t>
  </si>
  <si>
    <t>Oversight visits to provinces - trips per province per year</t>
  </si>
  <si>
    <t>Meetings with role players in the milling industry (total trips/year)</t>
  </si>
  <si>
    <t>For meetings with role players affected by the food stuff regulations (total trips/year)</t>
  </si>
  <si>
    <t>Proportion of trips requiring:</t>
  </si>
  <si>
    <t>One nights accommodation</t>
  </si>
  <si>
    <t>One day car hire</t>
  </si>
  <si>
    <t>Economy flights</t>
  </si>
  <si>
    <t>Council costs (cost allocated to nutrition)</t>
  </si>
  <si>
    <t>Travel (cost allocated to nutrition)</t>
  </si>
  <si>
    <t>Proportion of travel costs attributed to nutrition for young children</t>
  </si>
  <si>
    <t>National Department of Health</t>
  </si>
  <si>
    <t>National Nutrition Council</t>
  </si>
  <si>
    <t>National Oversight Activities</t>
  </si>
  <si>
    <t>Promotion and Advertising</t>
  </si>
  <si>
    <t>Proporting benefitting children under 6 directly</t>
  </si>
  <si>
    <t>Number of Metros</t>
  </si>
  <si>
    <t>Number of District Municipalities</t>
  </si>
  <si>
    <t>EHS</t>
  </si>
  <si>
    <t>Municipalities</t>
  </si>
  <si>
    <t>South African Social Secuirity Agency</t>
  </si>
  <si>
    <t>Department of Agriculture Forestry and Fisheries</t>
  </si>
  <si>
    <t>Car Hire Days per year</t>
  </si>
  <si>
    <t>District offices</t>
  </si>
  <si>
    <t>National and provincial agriculture departments</t>
  </si>
  <si>
    <t>Time to prepare a sample for testing (in minutes)</t>
  </si>
  <si>
    <t>Cost of food stuffs tested per sample</t>
  </si>
  <si>
    <t>Number of food analyses submitted a year</t>
  </si>
  <si>
    <t>Cost to deliver food sample to labs</t>
  </si>
  <si>
    <t>Cost to conduct a laboratory test (Cost is for NDOH)</t>
  </si>
  <si>
    <t>Number of samples submitted each year</t>
  </si>
  <si>
    <t>food tests - for NDOH account</t>
  </si>
  <si>
    <t>cost to deliver</t>
  </si>
  <si>
    <t>cost to buy samples</t>
  </si>
  <si>
    <t>Food fortification testing</t>
  </si>
  <si>
    <t>Value of meeting stipend for council members - per meeting</t>
  </si>
  <si>
    <t>Materials for meetings - per meeting</t>
  </si>
  <si>
    <t>(see GenAssumptions for costs related to meetings)</t>
  </si>
  <si>
    <t>Council costs</t>
  </si>
  <si>
    <t>Policy and Monitoring</t>
  </si>
  <si>
    <t>Education/Counselling</t>
  </si>
  <si>
    <t>Preventative Interventions</t>
  </si>
  <si>
    <t>Clinical Interventions</t>
  </si>
  <si>
    <t>Nutrition Sensitive Programmes</t>
  </si>
  <si>
    <t>Ecd goes here</t>
  </si>
  <si>
    <t>how do you allocate 4bn across this</t>
  </si>
  <si>
    <t xml:space="preserve">what are the fixed costs </t>
  </si>
  <si>
    <t>give options to take headline number - and allocate across the 4 categories</t>
  </si>
  <si>
    <t>residual allocation</t>
  </si>
  <si>
    <t>Catering costs and stipends</t>
  </si>
  <si>
    <t>Council member fees</t>
  </si>
  <si>
    <t>Number of Government Officials that attend council meetings</t>
  </si>
  <si>
    <t>Catering and materials for meetings</t>
  </si>
  <si>
    <t>Number of government officials that attend committee meetings</t>
  </si>
  <si>
    <t>catering and materials</t>
  </si>
  <si>
    <t>(see GenAssumptions for costs related to committee meetings)</t>
  </si>
  <si>
    <t>Budget for nutrition awareness campaigns</t>
  </si>
  <si>
    <t>Number of Clinics and Community Health Centres</t>
  </si>
  <si>
    <t>Formula provided to mothers who cannot breastfeed</t>
  </si>
  <si>
    <t>Up to six months</t>
  </si>
  <si>
    <t>Cost per child</t>
  </si>
  <si>
    <t>Budget for promotion and advertising about nutrition (all issues)</t>
  </si>
  <si>
    <t>With Environmental Health Officers</t>
  </si>
  <si>
    <t>Days per workshop</t>
  </si>
  <si>
    <t>Provinces</t>
  </si>
  <si>
    <t>Food fortification</t>
  </si>
  <si>
    <t>food regulations</t>
  </si>
  <si>
    <t>With Provinces about Nutrition Interventions</t>
  </si>
  <si>
    <t>Proportion of workshops related directly to child nutrition</t>
  </si>
  <si>
    <t>Quintile 2 children accessing public health facilities</t>
  </si>
  <si>
    <t>Quintile 3 children accessing public health facilities</t>
  </si>
  <si>
    <t>Folic acid 1 mg/d ( 5 mg on Day 1)</t>
  </si>
  <si>
    <t>Folic Acid for pregnant women</t>
  </si>
  <si>
    <t>Tablets per pregnacy</t>
  </si>
  <si>
    <t>Number of trimesters they receive treatment</t>
  </si>
  <si>
    <t>Number of tablets per day</t>
  </si>
  <si>
    <t>Folic Acid</t>
  </si>
  <si>
    <t>The cost of the workshops can be isoloated
Time of staff "blended" with other activites related to a range of other programmes</t>
  </si>
  <si>
    <t>PM</t>
  </si>
  <si>
    <t>EC</t>
  </si>
  <si>
    <t>PI</t>
  </si>
  <si>
    <t>CI</t>
  </si>
  <si>
    <t>NSP</t>
  </si>
  <si>
    <t>promotion budget</t>
  </si>
  <si>
    <t>Is folic acid given to pregnant women?</t>
  </si>
  <si>
    <t>Subsidy amount - attributed to feeding</t>
  </si>
  <si>
    <t>TS</t>
  </si>
  <si>
    <t>Annual Budget for promotion per district</t>
  </si>
  <si>
    <t>Total Budget (for province(s))</t>
  </si>
  <si>
    <t>Per cent of promotion that can be directly attributed to young children</t>
  </si>
  <si>
    <t>Proportion of workshop spent on child nutrition</t>
  </si>
  <si>
    <t>per year</t>
  </si>
  <si>
    <t>Medical Supplies</t>
  </si>
  <si>
    <t>Up to 3 months</t>
  </si>
  <si>
    <t>3 months to 6 months</t>
  </si>
  <si>
    <t>Number of days treatment given</t>
  </si>
  <si>
    <t>Total treatment per child</t>
  </si>
  <si>
    <t>ml or g day</t>
  </si>
  <si>
    <t>Is formula provided? (see demand assumptions for coverage)</t>
  </si>
  <si>
    <t>All quintiles</t>
  </si>
  <si>
    <t>All quintiles - used to estimate demand for general services and preventative services - based on percent of population using health services</t>
  </si>
  <si>
    <t>Quintiles 1 - 3 - based on percentage of this population using health services</t>
  </si>
  <si>
    <t>Formula feeding - medicine costs</t>
  </si>
  <si>
    <t>Categorising the Interventions for costing purposes - All Department</t>
  </si>
  <si>
    <t>Categorising the Interventions for costing purposes - Health Functions</t>
  </si>
  <si>
    <t>Categorising the Interventions for costing purposes - Social Development Functions</t>
  </si>
  <si>
    <t>Categorising the Interventions for costing purposes - Agriculture</t>
  </si>
  <si>
    <t>Medicines and Food Stuffs used in the prevention and treatment of malnutrition</t>
  </si>
  <si>
    <t>Implementation of Food Secuirity Programmes</t>
  </si>
  <si>
    <t>60 months to 72 months</t>
  </si>
  <si>
    <t>&lt;6 Year</t>
  </si>
  <si>
    <t>&lt;6 years</t>
  </si>
  <si>
    <t>6 Years</t>
  </si>
  <si>
    <t>1 Year (up to 12 months)</t>
  </si>
  <si>
    <t>6 Years (60 months to 71 months)</t>
  </si>
  <si>
    <t>2 Years (24 months to 36 months)</t>
  </si>
  <si>
    <t>Expenditure and Performance Review</t>
  </si>
  <si>
    <t>Costing Model</t>
  </si>
  <si>
    <t>Model developed for the 
National Treasury</t>
  </si>
  <si>
    <t>Model developed by 
Jonathan Carter and Conrad Barberton</t>
  </si>
  <si>
    <r>
      <t xml:space="preserve">Senior economists with 
</t>
    </r>
    <r>
      <rPr>
        <b/>
        <i/>
        <sz val="9"/>
        <rFont val="Times New Roman"/>
        <family val="1"/>
      </rPr>
      <t>Cornerstone Economic Research</t>
    </r>
  </si>
  <si>
    <t>Cell: 083 465 2381</t>
  </si>
  <si>
    <t>Email: carmen@cornerstonesa.net</t>
  </si>
  <si>
    <t>Nutrition and food security for children five years old and under</t>
  </si>
  <si>
    <t>Select province or the whole country</t>
  </si>
  <si>
    <t>Medicine Costs</t>
  </si>
  <si>
    <t>Functional breakdown</t>
  </si>
  <si>
    <t>2017/18</t>
  </si>
  <si>
    <t>Senior Nurses</t>
  </si>
  <si>
    <t>District Health Specialist Teams</t>
  </si>
  <si>
    <t>Ward Based Outreach Team</t>
  </si>
  <si>
    <t>Staff Time</t>
  </si>
  <si>
    <t>Prevention and Surveillance</t>
  </si>
  <si>
    <t>Treatment of Malnutrition</t>
  </si>
  <si>
    <t>Medicine and other inputs</t>
  </si>
  <si>
    <t>Formula feeding</t>
  </si>
  <si>
    <t>Full council costs</t>
  </si>
  <si>
    <t>Full travel costs</t>
  </si>
  <si>
    <t>Full cost of workshops</t>
  </si>
  <si>
    <t>full cost</t>
  </si>
  <si>
    <t>Full cost of oversight</t>
  </si>
  <si>
    <t>fixxed/full cost</t>
  </si>
  <si>
    <t>Full/fixed costs</t>
  </si>
  <si>
    <t>Full/Fixed Costs</t>
  </si>
  <si>
    <t>Neslam Maize Cereal (250g)</t>
  </si>
  <si>
    <t>Infacare 1 (400g)</t>
  </si>
  <si>
    <t>Replace Junior Milk (400g)</t>
  </si>
  <si>
    <t>Unity Meal Children (1kg)</t>
  </si>
  <si>
    <t>Grams</t>
  </si>
  <si>
    <t>Excel energy Drink (1kg)</t>
  </si>
  <si>
    <t>Imunut (RUTF)  (450g)</t>
  </si>
  <si>
    <t>Ampicillin 50 mg/kg</t>
  </si>
  <si>
    <t>Category 1</t>
  </si>
  <si>
    <t>Category 2</t>
  </si>
  <si>
    <t>Category 3</t>
  </si>
  <si>
    <t>Category 4</t>
  </si>
  <si>
    <t>Category 5</t>
  </si>
  <si>
    <t>Vitamin A 100 000 IU</t>
  </si>
  <si>
    <t>Vitamin A 200 000 IU</t>
  </si>
  <si>
    <t>Multivitamin infant supplement</t>
  </si>
  <si>
    <t xml:space="preserve">Metronidazole </t>
  </si>
  <si>
    <t>Infacare 1</t>
  </si>
  <si>
    <t>Oral amoxycillin</t>
  </si>
  <si>
    <t>Gentamicin</t>
  </si>
  <si>
    <t>Regularity of dose</t>
  </si>
  <si>
    <t>Base of Dose</t>
  </si>
  <si>
    <t>Per kg</t>
  </si>
  <si>
    <t>Per day</t>
  </si>
  <si>
    <t>Once off</t>
  </si>
  <si>
    <t>Frequency</t>
  </si>
  <si>
    <t>One off</t>
  </si>
  <si>
    <t>Per cent of children in each category</t>
  </si>
  <si>
    <t>Proportion of time nutrition counsellors spend on young children</t>
  </si>
  <si>
    <t>Doses of preventative medicines</t>
  </si>
  <si>
    <t>Capsules per year or age group</t>
  </si>
  <si>
    <t>Capsules per year</t>
  </si>
  <si>
    <t>Formula provided for women who qualify</t>
  </si>
  <si>
    <t>Number of Days spent per District (all activities)</t>
  </si>
  <si>
    <t>Proportion of AD and Procure Management costs that can be attributed to child nutrition</t>
  </si>
  <si>
    <t>Per cent of time spent on policy development and oversight - related to child nutrition</t>
  </si>
  <si>
    <t>Number of days spent monitoringfood fortification</t>
  </si>
  <si>
    <t>Proportion of costs that can be attributed to child nutrition</t>
  </si>
  <si>
    <t>Assistant Director in food control directorate</t>
  </si>
  <si>
    <t>If age group does not visit/is not visited then set time to 0</t>
  </si>
  <si>
    <t>Travel time per visit as a per cent of visiting time</t>
  </si>
  <si>
    <t>Education, awareness and surveillance with regards to nutrition</t>
  </si>
  <si>
    <t>Stucture of Model for Health Interventions</t>
  </si>
  <si>
    <t>Assistant Director (office bound)</t>
  </si>
  <si>
    <t>Distance in km each CHW travels per month</t>
  </si>
  <si>
    <t>Proportion of children that visit facilities for check ups</t>
  </si>
  <si>
    <t>Proportion of children that are visited by Municipal Ward Based PHC Teams</t>
  </si>
  <si>
    <t>Proportion of children that are visited in community settings and also visit facilities</t>
  </si>
  <si>
    <t>Ceftriaxone</t>
  </si>
  <si>
    <t>F 75</t>
  </si>
  <si>
    <t>F 100</t>
  </si>
  <si>
    <t>RUTF</t>
  </si>
  <si>
    <t>Feeding and nutrition</t>
  </si>
  <si>
    <t>Antibiotics and medical treatment</t>
  </si>
  <si>
    <t>Moderate Acute Malnutrition</t>
  </si>
  <si>
    <t>Feeding and Nutrition</t>
  </si>
  <si>
    <t>RUSF</t>
  </si>
  <si>
    <t>Medical Treatment</t>
  </si>
  <si>
    <t>Growth Monitoring and Feeding Programme</t>
  </si>
  <si>
    <t>Number of children accessing health facilities (See PDOH sheet) is used as base population</t>
  </si>
  <si>
    <t>Number of children under 60 months accessing public health facilities</t>
  </si>
  <si>
    <t>Children not growing well</t>
  </si>
  <si>
    <t>Children with MAM</t>
  </si>
  <si>
    <t>Children with SAM without complications</t>
  </si>
  <si>
    <t>Children with SAM with complications</t>
  </si>
  <si>
    <t>Severe Acute Malnutrution - Stabilisation Phase, Treatment given to all cases of SAM</t>
  </si>
  <si>
    <t>Per Kg or per patient</t>
  </si>
  <si>
    <t>Per patient</t>
  </si>
  <si>
    <t>Number of Units/Dose</t>
  </si>
  <si>
    <t>F-75 (formula)</t>
  </si>
  <si>
    <t>Starter F-75 (200ml)</t>
  </si>
  <si>
    <t>grams</t>
  </si>
  <si>
    <t>Capsule</t>
  </si>
  <si>
    <t>Per cent of children given</t>
  </si>
  <si>
    <t>Mg vial</t>
  </si>
  <si>
    <t>Mebendazole</t>
  </si>
  <si>
    <t>Number of days</t>
  </si>
  <si>
    <t>Severe Acute Malnutrution - with medical complications</t>
  </si>
  <si>
    <t>PHC Nurse</t>
  </si>
  <si>
    <t>CBS Supervisor/Coordinator</t>
  </si>
  <si>
    <t>General Practitioner (Family Doctor)</t>
  </si>
  <si>
    <t>Median weight of child (kg) in category</t>
  </si>
  <si>
    <t>Not Growing Well</t>
  </si>
  <si>
    <t>Structure of population requiring malnutrition treatment</t>
  </si>
  <si>
    <t>Growth Monitoring and Feeding Programme - Number per category</t>
  </si>
  <si>
    <t>MAM - Number per category</t>
  </si>
  <si>
    <t>Moderate Acute</t>
  </si>
  <si>
    <t>SAM Without Complications</t>
  </si>
  <si>
    <t>SAM With complications</t>
  </si>
  <si>
    <t>Severe Acute Malnutrution - number category</t>
  </si>
  <si>
    <t>Severe Acute Malnutrution - number of children</t>
  </si>
  <si>
    <t>Number of days involved in treatement</t>
  </si>
  <si>
    <t>High Impact Curative Treatment Acute Malnutrition</t>
  </si>
  <si>
    <t>Cost of Health Staff</t>
  </si>
  <si>
    <t>Growth Monitoring and Feeding</t>
  </si>
  <si>
    <t>Staff Nursing Grade 1 (PHC Nurse)</t>
  </si>
  <si>
    <t>General Practitioner</t>
  </si>
  <si>
    <t>Senior Registrar</t>
  </si>
  <si>
    <t>Paediatrician</t>
  </si>
  <si>
    <t>Nutritionist Gr 3</t>
  </si>
  <si>
    <t>Registrar/Family Physician</t>
  </si>
  <si>
    <t>Nutrition Counsellor</t>
  </si>
  <si>
    <t>Hospital Beds</t>
  </si>
  <si>
    <t>Cost of beds</t>
  </si>
  <si>
    <t>Cost per night of a bed in a district hospital</t>
  </si>
  <si>
    <t>Cost per night of a bed in a tertiary hospital</t>
  </si>
  <si>
    <t>Medicines and Food Stuffs used in the prevention of malnutrition</t>
  </si>
  <si>
    <t>Food stuffs</t>
  </si>
  <si>
    <t>Medication</t>
  </si>
  <si>
    <t>Moderate Acute Malnutrition - food stuffs</t>
  </si>
  <si>
    <t>Moderate Acute Malnutrition - medicines</t>
  </si>
  <si>
    <t>MAM - Cost of food stuffs</t>
  </si>
  <si>
    <t>MAM - Cost of medicines</t>
  </si>
  <si>
    <t>Severe Acute Malnutrution - cost per child - food stuffs</t>
  </si>
  <si>
    <t>Severe Acute Malnutrution - cost per child - medicines</t>
  </si>
  <si>
    <t>Severe Acute Malnutrution - food stuffs</t>
  </si>
  <si>
    <t>Severe Acute Malnutrution - medications</t>
  </si>
  <si>
    <t>Severe Acute Malnutrution - medication</t>
  </si>
  <si>
    <t>Cost of Food Stuffs</t>
  </si>
  <si>
    <t>Cost of Medications</t>
  </si>
  <si>
    <t>Cost of medical staff involved in growth monitoring and acute malnutrtion</t>
  </si>
  <si>
    <t>Preventative medicines (includes formula for mothers that do not breastfeed)</t>
  </si>
  <si>
    <t>Food stuffs used in the treatment of malnutrition</t>
  </si>
  <si>
    <t>Medicines used in the treatment of malnutrition</t>
  </si>
  <si>
    <t>Treatment of Acute Malnutrition - Medicines</t>
  </si>
  <si>
    <t>Treatment of Acute Malnutrition - Food stuffs</t>
  </si>
  <si>
    <t>Preventative medicines and food stuffs</t>
  </si>
  <si>
    <t>Patient Beds</t>
  </si>
  <si>
    <t>IV Glucose</t>
  </si>
  <si>
    <t>Oral amoxycillin (if pneumonia)</t>
  </si>
  <si>
    <t xml:space="preserve">Oral Rehydration </t>
  </si>
  <si>
    <t>ARV Treatment</t>
  </si>
  <si>
    <t>Growth Monitoring and Feeding Programme - Growth Faltering</t>
  </si>
  <si>
    <t>Severe Acute Malnutrution - failed MAM management (RUTF)</t>
  </si>
  <si>
    <t>Phase 1 - Acute Stabilisation</t>
  </si>
  <si>
    <t>Phase 2 - Rehabilitation</t>
  </si>
  <si>
    <t>Medical Officer</t>
  </si>
  <si>
    <t>Severe Acute Malnutrution - Both phases</t>
  </si>
  <si>
    <t>Severe Acute Malnutrution - failed MAM</t>
  </si>
  <si>
    <t>Severe Acute Malnutrution</t>
  </si>
  <si>
    <t>Stabilisation</t>
  </si>
  <si>
    <t>Rehabilitation</t>
  </si>
  <si>
    <t>Medical Technical Officer Gr 2</t>
  </si>
  <si>
    <t>Modified ringers lactate</t>
  </si>
  <si>
    <t>Sachet</t>
  </si>
  <si>
    <t>Ampicilin</t>
  </si>
  <si>
    <t>Severe Acute Malnutrution -  post stabilisation rehabilitation</t>
  </si>
  <si>
    <t>Severe Acute Malnutrution - with medical complications, Stabilisation phase</t>
  </si>
  <si>
    <t>Median Length of in Patient Days per level of treatment</t>
  </si>
  <si>
    <t>Clinic or District Hospital</t>
  </si>
  <si>
    <t>Tertiary Hospital</t>
  </si>
  <si>
    <t>Children with SAM with complications - Stabilisation Phase</t>
  </si>
  <si>
    <t>Children with SAM with complications - Rehabilitation Phase</t>
  </si>
  <si>
    <t>SAM - Rehabilitation Phase</t>
  </si>
  <si>
    <t>SAM - Stabilisation Phase</t>
  </si>
  <si>
    <t>Per cent of children with SAM that don't have medical complications</t>
  </si>
  <si>
    <t>Per cent of children with SAM that get medical complications</t>
  </si>
  <si>
    <t>Administration of Co-trimoxazole for HIV exposed children (prevention of infection)</t>
  </si>
  <si>
    <t>ml per child</t>
  </si>
  <si>
    <t>Number times treatment given per year</t>
  </si>
  <si>
    <t>Per cent of children it is administered to</t>
  </si>
  <si>
    <t>Under 60 Months</t>
  </si>
  <si>
    <t>No. of Children up to 60 months (and mothers) accessing Public Health Facilities</t>
  </si>
  <si>
    <t>Growth Monitoring and Feeding Programme - cost of food stuffs</t>
  </si>
  <si>
    <t>Growth Monitoring and Feeding Programme - cost per child medication</t>
  </si>
  <si>
    <t>Growth Monitoring and Feeding Programme - food stuffs</t>
  </si>
  <si>
    <t>Growth Monitoring and Feeding Programme - medication</t>
  </si>
  <si>
    <t xml:space="preserve">Growth Faltering - Growth Monitoring and Feeding Programme </t>
  </si>
  <si>
    <t>this is for per kg vs once a day</t>
  </si>
  <si>
    <t>Prevalence of Acute Malnutrition and its Structure</t>
  </si>
  <si>
    <t>Children accessing public health</t>
  </si>
  <si>
    <t>Per cent of children that are growth faltering (prevalence)</t>
  </si>
  <si>
    <t>Total Acute Malnutrition In Children (prevalence)</t>
  </si>
  <si>
    <t>MAM Prevalence</t>
  </si>
  <si>
    <t>Total number of children with acute malnutrition</t>
  </si>
  <si>
    <t>Severe Acute Malnutrution -  without medical complications</t>
  </si>
  <si>
    <t>month</t>
  </si>
  <si>
    <t>day</t>
  </si>
  <si>
    <t>Days</t>
  </si>
  <si>
    <t>SAM Prevalence</t>
  </si>
  <si>
    <t>Energy Drink</t>
  </si>
  <si>
    <t>Energy Drink (1kg)</t>
  </si>
  <si>
    <t>Nestum Maize Cereal</t>
  </si>
  <si>
    <t>Number of contact sessions during treatment</t>
  </si>
  <si>
    <t>Minutes per contact session</t>
  </si>
  <si>
    <t>Additional time given to monitoring children who qualify for formula feeding</t>
  </si>
  <si>
    <t>Number of minutes in addition to time shown above (for six months)</t>
  </si>
  <si>
    <t>Patient recieves one of these four options so they should total to 100%.  In some provinces patients may get more than one and total can be &gt; 100%</t>
  </si>
  <si>
    <t>Outpatient</t>
  </si>
  <si>
    <t>Inpatient</t>
  </si>
  <si>
    <t>Cost of an inpatient equivalent (treatment of acute malnutrition)</t>
  </si>
  <si>
    <t>SAM without medical complications</t>
  </si>
  <si>
    <t>Patient Beds (MAM and SAM)</t>
  </si>
  <si>
    <t>Per cent of time spent on nutrition for young children</t>
  </si>
  <si>
    <t>Change on 2015/16 in Scenario 1</t>
  </si>
  <si>
    <t>Per cent of all children accessing public health facilities</t>
  </si>
  <si>
    <t>Training Staff in Malnutrition</t>
  </si>
  <si>
    <t>Don't cut</t>
  </si>
  <si>
    <t>Cut</t>
  </si>
  <si>
    <t>100% coverage =</t>
  </si>
  <si>
    <t>Folic acid to pregnant women</t>
  </si>
  <si>
    <t>Options for adressing shortfall</t>
  </si>
  <si>
    <t>Full Costs of Service Package</t>
  </si>
  <si>
    <t>Cost as per choices below</t>
  </si>
  <si>
    <t>Leave in or cut?</t>
  </si>
  <si>
    <t>Change coverage to</t>
  </si>
  <si>
    <t>Cost of subsidy to government</t>
  </si>
  <si>
    <t>Budget Allocated</t>
  </si>
  <si>
    <t>ECD Coverage in the following quintiles</t>
  </si>
  <si>
    <t>Current</t>
  </si>
  <si>
    <t>Expenditure on ECD Nutrition</t>
  </si>
  <si>
    <t>Age Groups included</t>
  </si>
  <si>
    <t>Social Relief of Distress</t>
  </si>
  <si>
    <t>0 Months to 60 Months</t>
  </si>
  <si>
    <t>Per cent of Quintile 2 Children receiving SROD each year</t>
  </si>
  <si>
    <t>Proportion of budget that can be attributed to child nutrition</t>
  </si>
  <si>
    <t>Formula for babies who qualify</t>
  </si>
  <si>
    <t>Budget allocated to ECD</t>
  </si>
  <si>
    <t>Impact on Service Delivery</t>
  </si>
  <si>
    <t>Cost Savings from choice</t>
  </si>
  <si>
    <t>Disbandon Nutrition Councils</t>
  </si>
  <si>
    <t>Provincial Nutrition Councils</t>
  </si>
  <si>
    <t>Reduce proportion trained to</t>
  </si>
  <si>
    <t>Number of provinces</t>
  </si>
  <si>
    <t>counted below</t>
  </si>
  <si>
    <t>Surveillance costs</t>
  </si>
  <si>
    <t>Growth falter</t>
  </si>
  <si>
    <t>Change in number of children</t>
  </si>
  <si>
    <t>Q1</t>
  </si>
  <si>
    <t>Q2</t>
  </si>
  <si>
    <t>Q3</t>
  </si>
  <si>
    <t>change in number of children by age group</t>
  </si>
  <si>
    <t>% of children in Quintile 1 receiving SROD</t>
  </si>
  <si>
    <t>% of children in Quintile 2 receiving SROD</t>
  </si>
  <si>
    <t>Budget allocated to SROD</t>
  </si>
  <si>
    <t>Comments</t>
  </si>
  <si>
    <t>Changes include COE costs of:</t>
  </si>
  <si>
    <r>
      <rPr>
        <b/>
        <sz val="10"/>
        <color theme="1"/>
        <rFont val="Arial"/>
        <family val="2"/>
      </rPr>
      <t>Total</t>
    </r>
    <r>
      <rPr>
        <sz val="10"/>
        <color theme="1"/>
        <rFont val="Arial"/>
        <family val="2"/>
      </rPr>
      <t xml:space="preserve"> Cost savings that must be found</t>
    </r>
  </si>
  <si>
    <t>Total cost savings that must be found</t>
  </si>
  <si>
    <t>Budget Choices</t>
  </si>
  <si>
    <t>Summary</t>
  </si>
  <si>
    <t>Catg-All</t>
  </si>
  <si>
    <t>Catg-Health</t>
  </si>
  <si>
    <t>Catg-Swelfare</t>
  </si>
  <si>
    <t>Catg-Agric</t>
  </si>
  <si>
    <t>Intervention List</t>
  </si>
  <si>
    <t>Policy Questions</t>
  </si>
  <si>
    <t>Health Flow</t>
  </si>
  <si>
    <t>Prev Treat</t>
  </si>
  <si>
    <t>Acute Treat</t>
  </si>
  <si>
    <t>Med-Prices</t>
  </si>
  <si>
    <t>DM&amp;Metros</t>
  </si>
  <si>
    <t>NDSD</t>
  </si>
  <si>
    <t>PDSD</t>
  </si>
  <si>
    <t>GenAssumptions</t>
  </si>
  <si>
    <t>H&amp;S Demand</t>
  </si>
  <si>
    <t>Agric Demand</t>
  </si>
  <si>
    <t>IES</t>
  </si>
  <si>
    <t>Contents/Comments</t>
  </si>
  <si>
    <t>User can set budget limits and change key cost drivers to reduce budget</t>
  </si>
  <si>
    <t>A high level categorisation according to policy areas of expenditure for all department</t>
  </si>
  <si>
    <t>Categorisation according to policy areas of expenditure for Health</t>
  </si>
  <si>
    <t>Categorisation according to policy areas of expenditure for Social Welfare</t>
  </si>
  <si>
    <t>Categorisation according to policy areas of expenditure for Agriculture</t>
  </si>
  <si>
    <t>Interventions listed in the evaluation report and where they are costed in the model</t>
  </si>
  <si>
    <t>Key policy questions the cost implications of which can be explored in the model</t>
  </si>
  <si>
    <t>A flow diagram showing the layout of health expendiotures in the model</t>
  </si>
  <si>
    <t>Variables and assumptions for costs related to the  National Department of Health</t>
  </si>
  <si>
    <t>Dosage levels for preventative medicines and food stuffs used in nutrition interventions</t>
  </si>
  <si>
    <t>Main input and demand assumptions for costs related to the  Provincial Departments of Health</t>
  </si>
  <si>
    <t>Prevalence of growth faltering and acute malnutrition and categories of 'median'weights for each</t>
  </si>
  <si>
    <t>Dosage levels for curative medicines and food stuffs used in the treatment of growth faltering and acute malnutrition</t>
  </si>
  <si>
    <t>Prices of medicines and food stuffs used (for information purposes only)</t>
  </si>
  <si>
    <t>Variables and assumptions for costs related to the District Municipalities and Metros (food fortification)</t>
  </si>
  <si>
    <t>Variables and assumptions for costs related to the National Department of Health</t>
  </si>
  <si>
    <t>Variables and assumptions for costs related to the Provincial Departments of Health</t>
  </si>
  <si>
    <t>Variables and assumptions for costs related to SASSA and Social Relief of Distress</t>
  </si>
  <si>
    <t>Variables and assumptions for costs related to the National and Provincial Departments of Agriculture</t>
  </si>
  <si>
    <t>Price and inflation assumptions for costs that are used in multiple sheets, includes salary assumptions</t>
  </si>
  <si>
    <t>Census data used for estimating demand for health and social development sections</t>
  </si>
  <si>
    <t>Census data used for estimating demand for agriculture programmes</t>
  </si>
  <si>
    <t>The quintiles according to the 2011 Income and Expenditure Survey, used to estimate quintiles</t>
  </si>
  <si>
    <t>Sheet Name</t>
  </si>
  <si>
    <r>
      <t>Contents of the Model</t>
    </r>
    <r>
      <rPr>
        <sz val="9"/>
        <rFont val="Arial"/>
        <family val="2"/>
      </rPr>
      <t xml:space="preserve"> (click on the sheet names to go to the relevant sheet)</t>
    </r>
  </si>
  <si>
    <r>
      <t xml:space="preserve">A high level summary of all expenditures for all departments - </t>
    </r>
    <r>
      <rPr>
        <b/>
        <sz val="10"/>
        <color rgb="FFFF0000"/>
        <rFont val="Arial"/>
        <family val="2"/>
      </rPr>
      <t>CHOOSE WHICH PROVINCE TO MODEL ON THIS SHEET</t>
    </r>
  </si>
  <si>
    <t>Nutritionist (C/S; Nutrition Counselor)</t>
  </si>
  <si>
    <t>A child is in an age group and a quintile. Changing in coverage impacts on both</t>
  </si>
  <si>
    <t>This is set on the Summary sheet</t>
  </si>
  <si>
    <t>Policy questions/scenarios that the model aims to address</t>
  </si>
  <si>
    <t>Budget being tested</t>
  </si>
  <si>
    <t>Expenditure on nutrition services for children 5 years and under: summary by department and by province</t>
  </si>
  <si>
    <t>Cost of medication  and food stuffs per child admitted</t>
  </si>
  <si>
    <t>Severe Acute Malnutrution with medical complications</t>
  </si>
  <si>
    <t>Medicines used for treating:</t>
  </si>
  <si>
    <t>Severe Acute Malnutrition</t>
  </si>
  <si>
    <t>Treatment of Growth Faltering and Malnutrition</t>
  </si>
  <si>
    <t>Food stuffs used in treating:</t>
  </si>
  <si>
    <t>Cost of Hospital beds</t>
  </si>
  <si>
    <t>Applies to following % of cases</t>
  </si>
  <si>
    <t>Cost per patient</t>
  </si>
  <si>
    <t>ARV Treatment (see PDOH for whether this is included in costing)</t>
  </si>
  <si>
    <t>ARV included (0=no)</t>
  </si>
  <si>
    <t>Moderate Acute Malnutrition - supplementary feeding (RUSF)</t>
  </si>
  <si>
    <t>Per cent of time on nutrition data</t>
  </si>
  <si>
    <t>Deputy Director in the Food Control Directorate</t>
  </si>
  <si>
    <r>
      <t xml:space="preserve">Per cent of </t>
    </r>
    <r>
      <rPr>
        <b/>
        <sz val="10"/>
        <color theme="1"/>
        <rFont val="Arial"/>
        <family val="2"/>
      </rPr>
      <t>children</t>
    </r>
    <r>
      <rPr>
        <sz val="10"/>
        <color theme="1"/>
        <rFont val="Arial"/>
        <family val="2"/>
      </rPr>
      <t xml:space="preserve"> that qualify medically for formula support (replace breastfeeding)</t>
    </r>
  </si>
  <si>
    <t>See "Prevalence" sheet for prevalence assumptions re acute malnutrition</t>
  </si>
  <si>
    <t>Children with severe acute malnutrition</t>
  </si>
  <si>
    <t>Chirldren with moderate acute malnutrition</t>
  </si>
  <si>
    <t>Coverage of treatment of above prevalence</t>
  </si>
  <si>
    <t>Deworming (standard dose from 2 years, see PDOH for ages administered to)</t>
  </si>
  <si>
    <t>SAM</t>
  </si>
  <si>
    <t>MAM</t>
  </si>
  <si>
    <t>Costs</t>
  </si>
  <si>
    <t>Choices</t>
  </si>
  <si>
    <t>Starting</t>
  </si>
  <si>
    <t>Full Cost</t>
  </si>
  <si>
    <t>Outputs</t>
  </si>
  <si>
    <t>I think the IF function was part of earlier desing thinking which wasn't used</t>
  </si>
  <si>
    <t>number babies</t>
  </si>
  <si>
    <t>costs</t>
  </si>
  <si>
    <t>outputs</t>
  </si>
  <si>
    <t>deworming</t>
  </si>
  <si>
    <t>formula</t>
  </si>
  <si>
    <t>folic acid</t>
  </si>
  <si>
    <t>Training health facilities</t>
  </si>
  <si>
    <t>training WBT</t>
  </si>
  <si>
    <t>training DST</t>
  </si>
  <si>
    <t>children not growing well</t>
  </si>
  <si>
    <t>Surveillance</t>
  </si>
  <si>
    <t>Base</t>
  </si>
  <si>
    <t>Full cost</t>
  </si>
  <si>
    <t>Vit A</t>
  </si>
  <si>
    <t>Training</t>
  </si>
  <si>
    <t>DST</t>
  </si>
  <si>
    <t>Proportion of Districts with Dedicated DCSTs</t>
  </si>
  <si>
    <r>
      <t xml:space="preserve">per cent time of each team member spent on </t>
    </r>
    <r>
      <rPr>
        <b/>
        <i/>
        <sz val="10"/>
        <color theme="1"/>
        <rFont val="Arial"/>
        <family val="2"/>
      </rPr>
      <t>preventative</t>
    </r>
    <r>
      <rPr>
        <i/>
        <sz val="10"/>
        <color theme="1"/>
        <rFont val="Arial"/>
        <family val="2"/>
      </rPr>
      <t xml:space="preserve"> nutrition for young children (where there are DCSTs)</t>
    </r>
  </si>
  <si>
    <t>Malnutrioon</t>
  </si>
  <si>
    <t>Growth Faltering</t>
  </si>
  <si>
    <t>SAM with medical complications</t>
  </si>
  <si>
    <t>Current coverage</t>
  </si>
  <si>
    <t>Change coverage in blue cells</t>
  </si>
  <si>
    <t>Surveillance and check ups</t>
  </si>
  <si>
    <t>hide row</t>
  </si>
  <si>
    <t>Current coverage of need</t>
  </si>
  <si>
    <t>Full costs of service package</t>
  </si>
  <si>
    <t>Cost as per options chosen</t>
  </si>
  <si>
    <t>Budget allocated</t>
  </si>
  <si>
    <t>Proposed</t>
  </si>
  <si>
    <t>Change proportion of staff trained in malnutrition:</t>
  </si>
  <si>
    <t>Overview of health budget</t>
  </si>
  <si>
    <t>Overview of Social Development budget</t>
  </si>
  <si>
    <t>Policy options for the health sector:</t>
  </si>
  <si>
    <t>Change coverage rates:</t>
  </si>
  <si>
    <t>Change ECD coverage:</t>
  </si>
  <si>
    <t>Change age groups included in ECD:</t>
  </si>
  <si>
    <t>Cost saving</t>
  </si>
  <si>
    <t>Change the number of children receiving SROD</t>
  </si>
  <si>
    <t>% of children in Quintile 1</t>
  </si>
  <si>
    <t>% of children in Quintile 2</t>
  </si>
  <si>
    <t>Savings achieved</t>
  </si>
  <si>
    <t>Savings still required</t>
  </si>
  <si>
    <t>SD</t>
  </si>
  <si>
    <t>SRD</t>
  </si>
  <si>
    <t>Current (%)</t>
  </si>
  <si>
    <t>Proposed (%)</t>
  </si>
  <si>
    <t>Graph 1 data:</t>
  </si>
  <si>
    <t>Fewer children receiving treatment compared to baseline</t>
  </si>
  <si>
    <t>Graph 2 data:</t>
  </si>
  <si>
    <t>Fewer children receiving malnutrition treatment compared to baseline</t>
  </si>
  <si>
    <t>Growth faltering</t>
  </si>
  <si>
    <t>Moderate acute malnutrition</t>
  </si>
  <si>
    <t>Severe acute malnutrition</t>
  </si>
  <si>
    <t>Graph 3 data</t>
  </si>
  <si>
    <t>Ward based teams</t>
  </si>
  <si>
    <t>District specialist teams</t>
  </si>
  <si>
    <t>Fewer staff receiving malnutrition training as a result of cost savings (compared to baseline)</t>
  </si>
  <si>
    <t>Graph 4 data</t>
  </si>
  <si>
    <t>Fewer children in ECD centres</t>
  </si>
  <si>
    <t>Graph 5 data</t>
  </si>
  <si>
    <t>Fewer SROD beneficiaries</t>
  </si>
  <si>
    <t>Children excluded</t>
  </si>
  <si>
    <t>Baseline coverage</t>
  </si>
  <si>
    <t>Children added</t>
  </si>
  <si>
    <t>Formula</t>
  </si>
  <si>
    <t>Pie graph data</t>
  </si>
  <si>
    <t>Fewer staff</t>
  </si>
  <si>
    <t>More staff</t>
  </si>
  <si>
    <t>Districit specialist teams</t>
  </si>
  <si>
    <t>Change treatment rate for:</t>
  </si>
  <si>
    <t>Children with moderate acute malnutrition (MAM)</t>
  </si>
  <si>
    <t>Children with severe acute malnutrition (SAM)</t>
  </si>
  <si>
    <t>Ward Based Teams (WBT)</t>
  </si>
  <si>
    <t>District Specialists Teams (DST)</t>
  </si>
  <si>
    <t>Children in ECD centres</t>
  </si>
  <si>
    <t>SROD beneficiaries</t>
  </si>
  <si>
    <t>Beneficiaries excluded</t>
  </si>
  <si>
    <t>Beneficiaries added</t>
  </si>
  <si>
    <t>Continue</t>
  </si>
  <si>
    <t>Net effect</t>
  </si>
  <si>
    <t>click here to change</t>
  </si>
  <si>
    <t>Check-ups</t>
  </si>
  <si>
    <t>Fewer visits</t>
  </si>
  <si>
    <t>Additional visits</t>
  </si>
  <si>
    <t>Surveilance and check-up baseline</t>
  </si>
  <si>
    <t>Non personnel expenditure</t>
  </si>
  <si>
    <t>Subsidy per day</t>
  </si>
  <si>
    <t>Of which is designated for food</t>
  </si>
  <si>
    <t>Unit Costs</t>
  </si>
  <si>
    <t>Preventative interventions and education and counselling costs per child accessing public health services</t>
  </si>
  <si>
    <t>Clinical Intervetions per patient</t>
  </si>
  <si>
    <t>This is set on the Budget Choices  sheet</t>
  </si>
  <si>
    <t>Preventative Health Interventions</t>
  </si>
  <si>
    <t>Click on button to go to relevant section</t>
  </si>
  <si>
    <t>Clinical Health Interventions</t>
  </si>
  <si>
    <t>Cost of service package based on changes below:</t>
  </si>
  <si>
    <t>Of which</t>
  </si>
  <si>
    <t>(full cost of subsidy included)</t>
  </si>
  <si>
    <t>Net Effect of changes</t>
  </si>
  <si>
    <t>Options for changing ECD coverage</t>
  </si>
  <si>
    <t>Options for coverage of social relief and distress:</t>
  </si>
  <si>
    <t>Per cent of applicants who receive support for 6 months</t>
  </si>
  <si>
    <t>Per cent of applicants who receive support for 3 months</t>
  </si>
  <si>
    <t>Per cent of beneficiaries who receive support for</t>
  </si>
  <si>
    <t>3 months</t>
  </si>
  <si>
    <t>6 months</t>
  </si>
  <si>
    <t>Basline:</t>
  </si>
  <si>
    <t>Cuts in COE resulting from savings:</t>
  </si>
  <si>
    <t>Baseline value is</t>
  </si>
  <si>
    <t>Stack graph data</t>
  </si>
  <si>
    <t>Full Coverage</t>
  </si>
  <si>
    <t>Children uncovered</t>
  </si>
  <si>
    <t>Budget Baseline</t>
  </si>
  <si>
    <t>New funds or cuts (-)</t>
  </si>
  <si>
    <t>Children covered</t>
  </si>
  <si>
    <t>stack graph data</t>
  </si>
  <si>
    <t>Full cost scenario</t>
  </si>
  <si>
    <t>covered + added</t>
  </si>
  <si>
    <t>Staff covered</t>
  </si>
  <si>
    <t>Staff excluded</t>
  </si>
  <si>
    <t>Staff added</t>
  </si>
  <si>
    <t>Full coverage</t>
  </si>
  <si>
    <r>
      <t xml:space="preserve">Children </t>
    </r>
    <r>
      <rPr>
        <sz val="11"/>
        <color rgb="FF00B050"/>
        <rFont val="Calibri"/>
        <family val="2"/>
        <scheme val="minor"/>
      </rPr>
      <t>added</t>
    </r>
    <r>
      <rPr>
        <sz val="11"/>
        <color theme="1"/>
        <rFont val="Calibri"/>
        <family val="2"/>
        <scheme val="minor"/>
      </rPr>
      <t>/</t>
    </r>
    <r>
      <rPr>
        <sz val="11"/>
        <color theme="5"/>
        <rFont val="Calibri"/>
        <family val="2"/>
        <scheme val="minor"/>
      </rPr>
      <t>excluded</t>
    </r>
  </si>
  <si>
    <t>Staff uncovered</t>
  </si>
  <si>
    <t>Severe Acute</t>
  </si>
  <si>
    <r>
      <rPr>
        <sz val="11"/>
        <color rgb="FF00B050"/>
        <rFont val="Calibri"/>
        <family val="2"/>
        <scheme val="minor"/>
      </rPr>
      <t>More</t>
    </r>
    <r>
      <rPr>
        <sz val="11"/>
        <color theme="1"/>
        <rFont val="Calibri"/>
        <family val="2"/>
        <scheme val="minor"/>
      </rPr>
      <t>/</t>
    </r>
    <r>
      <rPr>
        <sz val="11"/>
        <color theme="5"/>
        <rFont val="Calibri"/>
        <family val="2"/>
        <scheme val="minor"/>
      </rPr>
      <t>less health workers trained</t>
    </r>
  </si>
  <si>
    <t>How much can you cut COE by?</t>
  </si>
  <si>
    <t>Total Malnutrition heath staff costs</t>
  </si>
  <si>
    <t>Salary costs of nurses and senior nurses</t>
  </si>
  <si>
    <t>Total COE related to policy choices</t>
  </si>
  <si>
    <t>Lowest they can go</t>
  </si>
  <si>
    <t>Lowest COE can go</t>
  </si>
  <si>
    <t>Estimated Cost of Basic Service Package</t>
  </si>
  <si>
    <t>Value of food parcels</t>
  </si>
  <si>
    <t>Value of food vouchers</t>
  </si>
  <si>
    <t>Baseline</t>
  </si>
  <si>
    <t>Cost per food parcel</t>
  </si>
  <si>
    <t>Cost per food voucher</t>
  </si>
  <si>
    <t>Cost of vouchers</t>
  </si>
  <si>
    <t>Cost of parcels</t>
  </si>
  <si>
    <t>Number of food parcels</t>
  </si>
  <si>
    <t>Number of vouchers</t>
  </si>
  <si>
    <t>Some graphs need to be clicked on it to activate</t>
  </si>
  <si>
    <t>Total cuts to COE still permissible, but not available to all choices</t>
  </si>
  <si>
    <t>Unit costs</t>
  </si>
  <si>
    <t>Hospital overheads</t>
  </si>
  <si>
    <t>Food Stuffs</t>
  </si>
  <si>
    <t>Hospital Overheads</t>
  </si>
  <si>
    <t>Other Goods and Services</t>
  </si>
  <si>
    <t>Acute Prevalence</t>
  </si>
  <si>
    <t>Unit costs as per cent</t>
  </si>
  <si>
    <t>Social Welfare</t>
  </si>
  <si>
    <t>Education and Prevention</t>
  </si>
  <si>
    <r>
      <t xml:space="preserve">Total </t>
    </r>
    <r>
      <rPr>
        <i/>
        <sz val="9"/>
        <color theme="1"/>
        <rFont val="Arial"/>
        <family val="2"/>
      </rPr>
      <t>(full cost)</t>
    </r>
  </si>
  <si>
    <r>
      <t xml:space="preserve">Total </t>
    </r>
    <r>
      <rPr>
        <sz val="9"/>
        <color theme="1"/>
        <rFont val="Arial"/>
        <family val="2"/>
      </rPr>
      <t>(attributable to nutrition)</t>
    </r>
  </si>
  <si>
    <r>
      <t xml:space="preserve">Transfers and Subsidies </t>
    </r>
    <r>
      <rPr>
        <i/>
        <sz val="9"/>
        <color theme="1"/>
        <rFont val="Arial"/>
        <family val="2"/>
      </rPr>
      <t>(full cost)</t>
    </r>
  </si>
  <si>
    <t>report graphs</t>
  </si>
  <si>
    <t>Children with MAM but do not have other acute illnesses and underlying infections</t>
  </si>
  <si>
    <t>Children with MAM that do have other acute illnesses and underlying infections</t>
  </si>
  <si>
    <t>MAM children without other ilnesses</t>
  </si>
  <si>
    <r>
      <t xml:space="preserve">Per cent of children with MAM that have other acute illnesses </t>
    </r>
    <r>
      <rPr>
        <i/>
        <sz val="10"/>
        <color theme="1"/>
        <rFont val="Arial"/>
        <family val="2"/>
      </rPr>
      <t>(this is used only to estimate health worker contact time)</t>
    </r>
  </si>
  <si>
    <t>Number of 3-5 Years in Quintiles 1 and 2</t>
  </si>
  <si>
    <t>60 Months to 72 Months</t>
  </si>
  <si>
    <t>Starting (%)</t>
  </si>
  <si>
    <r>
      <t xml:space="preserve">Costs </t>
    </r>
    <r>
      <rPr>
        <sz val="11"/>
        <color theme="5"/>
        <rFont val="Calibri"/>
        <family val="2"/>
        <scheme val="minor"/>
      </rPr>
      <t>added</t>
    </r>
    <r>
      <rPr>
        <sz val="11"/>
        <color theme="1"/>
        <rFont val="Calibri"/>
        <family val="2"/>
        <scheme val="minor"/>
      </rPr>
      <t>/</t>
    </r>
    <r>
      <rPr>
        <sz val="11"/>
        <color rgb="FF00B050"/>
        <rFont val="Calibri"/>
        <family val="2"/>
        <scheme val="minor"/>
      </rPr>
      <t>saved</t>
    </r>
  </si>
  <si>
    <r>
      <t xml:space="preserve">Costs </t>
    </r>
    <r>
      <rPr>
        <sz val="11"/>
        <color rgb="FF00B050"/>
        <rFont val="Calibri"/>
        <family val="2"/>
        <scheme val="minor"/>
      </rPr>
      <t>saved</t>
    </r>
    <r>
      <rPr>
        <sz val="11"/>
        <color theme="1"/>
        <rFont val="Calibri"/>
        <family val="2"/>
        <scheme val="minor"/>
      </rPr>
      <t>/</t>
    </r>
    <r>
      <rPr>
        <sz val="11"/>
        <color theme="5" tint="-0.249977111117893"/>
        <rFont val="Calibri"/>
        <family val="2"/>
        <scheme val="minor"/>
      </rPr>
      <t>added</t>
    </r>
  </si>
  <si>
    <t>Space-Time Research</t>
  </si>
  <si>
    <t>CENSUS2011</t>
  </si>
  <si>
    <t>Table 1</t>
  </si>
  <si>
    <t>Geography by Age in completed years</t>
  </si>
  <si>
    <t xml:space="preserve"> for Person adjusted</t>
  </si>
  <si>
    <t>0</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</si>
  <si>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</si>
  <si>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</si>
  <si>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</si>
  <si>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</si>
  <si>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</si>
  <si>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</si>
  <si>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</si>
  <si>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</si>
  <si>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</si>
  <si>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</si>
  <si>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</si>
  <si>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</si>
  <si>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</si>
  <si>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</si>
  <si>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</si>
  <si>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</si>
  <si>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</si>
  <si>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</si>
  <si>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</si>
  <si>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</si>
  <si>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</si>
  <si>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</si>
  <si>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</si>
  <si>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</si>
  <si>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</si>
  <si>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</si>
  <si>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</si>
  <si>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</si>
  <si>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</si>
  <si>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</si>
  <si>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</si>
  <si>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</si>
  <si>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</si>
  <si>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</si>
  <si>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</si>
  <si>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</si>
  <si>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</si>
  <si>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</si>
  <si>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</si>
  <si>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</si>
  <si>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</si>
  <si>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</si>
  <si>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</si>
  <si>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</si>
  <si>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</si>
  <si>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</si>
  <si>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</si>
  <si>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</si>
  <si>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</si>
  <si>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</si>
  <si>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</si>
  <si>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</si>
  <si>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</si>
  <si>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</si>
  <si>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</si>
  <si>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</si>
  <si>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</si>
  <si>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</si>
  <si>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</si>
  <si>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</si>
  <si>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</si>
  <si>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</si>
  <si>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</si>
  <si>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</si>
  <si>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</si>
  <si>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</si>
  <si>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</si>
  <si>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</si>
  <si>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</si>
  <si>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</si>
  <si>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</si>
  <si>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</si>
  <si>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</si>
  <si>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</si>
  <si>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</si>
  <si>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</si>
  <si>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</si>
  <si>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</si>
  <si>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</si>
  <si>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</si>
  <si>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</si>
  <si>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</si>
  <si>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</si>
  <si>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</si>
  <si>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</si>
  <si>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</si>
  <si>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</si>
  <si>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</si>
  <si>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</si>
  <si>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</si>
  <si>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</si>
  <si>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</si>
  <si>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</si>
  <si>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</si>
  <si>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</si>
  <si>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</si>
  <si>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</si>
  <si>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</si>
  <si>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</si>
  <si>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</si>
  <si>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</si>
  <si>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</si>
  <si>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</si>
  <si>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</si>
  <si>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</si>
  <si>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</si>
  <si>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</si>
  <si>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</si>
  <si>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</si>
  <si>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</si>
  <si>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</si>
  <si>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</si>
  <si>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</si>
  <si>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</si>
  <si>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</si>
  <si>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</si>
  <si>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</si>
  <si>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</si>
  <si>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</si>
  <si>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</si>
  <si>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Unspecified</t>
  </si>
  <si>
    <t>-</t>
  </si>
  <si>
    <t>Created on 02 June 2015</t>
  </si>
  <si>
    <t>Space-Time Research Web page: www.str.com.au</t>
  </si>
  <si>
    <t>Space-Time Research Online support: support@str.com.au</t>
  </si>
  <si>
    <t>SuperCROSS. Copyright © 1993-2015 Space Time Research Pty Ltd. All rights reserved.</t>
  </si>
  <si>
    <t>0 - 59 Months</t>
  </si>
  <si>
    <t>59-71 months</t>
  </si>
  <si>
    <t>0 to 71 months</t>
  </si>
  <si>
    <t>Quntiles 1 and 2</t>
  </si>
  <si>
    <t>Up to age in months</t>
  </si>
  <si>
    <t>Spend per child in Quintiles 1 - 3 2014/15</t>
  </si>
  <si>
    <r>
      <t xml:space="preserve">Total time spent by </t>
    </r>
    <r>
      <rPr>
        <b/>
        <sz val="11"/>
        <color theme="1"/>
        <rFont val="Arial"/>
        <family val="2"/>
      </rPr>
      <t>Nurses</t>
    </r>
    <r>
      <rPr>
        <sz val="11"/>
        <color theme="1"/>
        <rFont val="Arial"/>
        <family val="2"/>
      </rPr>
      <t xml:space="preserve"> on check ups per age group -</t>
    </r>
    <r>
      <rPr>
        <b/>
        <sz val="11"/>
        <color rgb="FFFF0000"/>
        <rFont val="Arial"/>
        <family val="2"/>
      </rPr>
      <t xml:space="preserve"> nutrition issues only</t>
    </r>
  </si>
  <si>
    <t>Number of Nurses (overseeing Ward Based Teams)</t>
  </si>
  <si>
    <t>Visiting ECD Centres</t>
  </si>
  <si>
    <t>Average distance travelled per ECD centre visited</t>
  </si>
  <si>
    <t>Total FTE CHW's required for ECD Nutrition</t>
  </si>
  <si>
    <t>Total Number of Community Health Workers</t>
  </si>
  <si>
    <t>Total Ward Based Outreach Team Costs</t>
  </si>
  <si>
    <t>Professional Nurse (Community Service)</t>
  </si>
  <si>
    <t>At clinics - this is not relevant any more</t>
  </si>
  <si>
    <t>By CHWs - this is not relevant any more</t>
  </si>
  <si>
    <t>Time spent by nurses on check ups - TOTAL TIME Nutritrion only - assumptions around row 126</t>
  </si>
  <si>
    <t>Per cent of time CHWs and Nurses spend on nutriton for young children</t>
  </si>
  <si>
    <t>Number of teams each nurse manages/oversees (full time, or FTE)</t>
  </si>
  <si>
    <t>Include the cost of ARV treatment for patients with acute malnutrition in costing?</t>
  </si>
  <si>
    <t>Ward Based Outreach Teams</t>
  </si>
  <si>
    <t>Per cent of wards with teams</t>
  </si>
  <si>
    <t>For Budget Choices</t>
  </si>
  <si>
    <t>Change in Ward Based Team costs</t>
  </si>
  <si>
    <t>FTE CHWs</t>
  </si>
  <si>
    <t xml:space="preserve">Starting </t>
  </si>
  <si>
    <t>Budget choices</t>
  </si>
  <si>
    <t>Ending</t>
  </si>
  <si>
    <r>
      <rPr>
        <sz val="11"/>
        <color rgb="FF009900"/>
        <rFont val="Calibri"/>
        <family val="2"/>
        <scheme val="minor"/>
      </rPr>
      <t>Add</t>
    </r>
    <r>
      <rPr>
        <sz val="11"/>
        <color theme="1"/>
        <rFont val="Calibri"/>
        <family val="2"/>
        <scheme val="minor"/>
      </rPr>
      <t>/</t>
    </r>
    <r>
      <rPr>
        <sz val="11"/>
        <color rgb="FFC00000"/>
        <rFont val="Calibri"/>
        <family val="2"/>
        <scheme val="minor"/>
      </rPr>
      <t xml:space="preserve">less </t>
    </r>
    <r>
      <rPr>
        <sz val="11"/>
        <color theme="1"/>
        <rFont val="Calibri"/>
        <family val="2"/>
        <scheme val="minor"/>
      </rPr>
      <t>CHW needed</t>
    </r>
  </si>
  <si>
    <r>
      <rPr>
        <sz val="11"/>
        <color rgb="FF009900"/>
        <rFont val="Calibri"/>
        <family val="2"/>
        <scheme val="minor"/>
      </rPr>
      <t>Add</t>
    </r>
    <r>
      <rPr>
        <sz val="11"/>
        <color theme="5" tint="-0.249977111117893"/>
        <rFont val="Calibri"/>
        <family val="2"/>
        <scheme val="minor"/>
      </rPr>
      <t>/less</t>
    </r>
    <r>
      <rPr>
        <sz val="11"/>
        <color theme="1"/>
        <rFont val="Calibri"/>
        <family val="2"/>
        <scheme val="minor"/>
      </rPr>
      <t xml:space="preserve"> Nurses needed</t>
    </r>
  </si>
  <si>
    <t>Added</t>
  </si>
  <si>
    <t>Reduced</t>
  </si>
  <si>
    <t>FTE CHWs and Nurses</t>
  </si>
  <si>
    <t>change in surveillance costs</t>
  </si>
  <si>
    <t>Nutrition Counsellors</t>
  </si>
  <si>
    <t>Include Nutrition Counsellors at all Clinics</t>
  </si>
  <si>
    <t>Full Additional Cost</t>
  </si>
  <si>
    <t>Cost Allocated to Nutrition</t>
  </si>
  <si>
    <t>Number of Nutrition Counsellors Required</t>
  </si>
  <si>
    <t>Does the province employ nutrition counsellors at clinics? In KZN this should be "Yes")</t>
  </si>
  <si>
    <t>Nutrition counsellors - full cost</t>
  </si>
  <si>
    <t>Number of nutrition counsellors required</t>
  </si>
  <si>
    <t>Number of clinics each nutrition counsellor visits</t>
  </si>
  <si>
    <t>Number of clinics per counsellor</t>
  </si>
  <si>
    <t>Full time Equivalent Staff Required</t>
  </si>
  <si>
    <t>non ECD</t>
  </si>
  <si>
    <t>ECD</t>
  </si>
  <si>
    <t>Community Health Worker</t>
  </si>
  <si>
    <t>Calculating FTES - salary costs</t>
  </si>
  <si>
    <t>Social Auxiliary Worker</t>
  </si>
  <si>
    <t>Social Auxiliary Worker Grade 1/Community Health Worker/CBS Coordinator</t>
  </si>
  <si>
    <t>Community Nurse</t>
  </si>
  <si>
    <t>Number of DST Teams</t>
  </si>
  <si>
    <t>Child Support Grant</t>
  </si>
  <si>
    <t>0 Months to 11 Months</t>
  </si>
  <si>
    <t>12 Monthes to 23 Months</t>
  </si>
  <si>
    <t>Per cent of Quintiles 1 and 2 that access the Child Support Grant, per age group</t>
  </si>
  <si>
    <t>24 Monthes to 35 Months</t>
  </si>
  <si>
    <t>36 Monthes to 47 Months</t>
  </si>
  <si>
    <t>48 Monthes to 59 Months</t>
  </si>
  <si>
    <t>Cost of CSG</t>
  </si>
  <si>
    <t>Total in Q1 and 2</t>
  </si>
  <si>
    <t>Access to the Child Support Grant</t>
  </si>
  <si>
    <t>From Birth to up to 24 Months</t>
  </si>
  <si>
    <t>From 24 months up to 59 months</t>
  </si>
  <si>
    <t>Current (%, Average)</t>
  </si>
  <si>
    <t>Proportion of grant spent on nutrition</t>
  </si>
  <si>
    <t>Monthly value of the Child Support Grant</t>
  </si>
  <si>
    <t>Total Child Support Grant</t>
  </si>
  <si>
    <t>Child Support Grant (spent on Nutrition)</t>
  </si>
  <si>
    <t>Difference</t>
  </si>
  <si>
    <t>Overview of Social Relief of Distress and Child Support Grant</t>
  </si>
  <si>
    <t>Total Cost to Government</t>
  </si>
  <si>
    <t>Proportion of nurses time during check ups for children up to 24 Months dedicated to breast feeding</t>
  </si>
  <si>
    <t>Time spent promoting breastfeeding - is part of the time calculated below</t>
  </si>
  <si>
    <t>PHC Nurse FTE spent promoting breastfeeding</t>
  </si>
  <si>
    <t>Cost of PHC Nurses spent promoting breastfeeding (set at 35% of time during check ups)</t>
  </si>
  <si>
    <t>Change here</t>
  </si>
  <si>
    <t>Transfers and Subsidies (CSG)</t>
  </si>
  <si>
    <t>Full Cost Table</t>
  </si>
  <si>
    <t xml:space="preserve">Of which is </t>
  </si>
  <si>
    <t>ECD Subsidies</t>
  </si>
  <si>
    <t>Full Cost to Government</t>
  </si>
  <si>
    <t>Amount allocated to Nutrition</t>
  </si>
  <si>
    <t>ECD Subsidy</t>
  </si>
  <si>
    <t>Is Quintile 3 included in the above coverage rates</t>
  </si>
  <si>
    <t>Total in Quntile 3</t>
  </si>
  <si>
    <t>Number of CHWs per team</t>
  </si>
  <si>
    <t>Ward</t>
  </si>
  <si>
    <t>Discontinue</t>
  </si>
  <si>
    <t>Prevenative Scenario</t>
  </si>
  <si>
    <t>Preventative Scenario</t>
  </si>
  <si>
    <t>Prevantative Scenario</t>
  </si>
  <si>
    <t>Scenario 1</t>
  </si>
  <si>
    <t>Assumed Subsidy Amount Spent on ECD Nutrition</t>
  </si>
  <si>
    <t>Savings</t>
  </si>
  <si>
    <t>Cost savings</t>
  </si>
  <si>
    <t>SAM WiMC</t>
  </si>
  <si>
    <t>SAM WoMC</t>
  </si>
  <si>
    <t>Curative Treatment Cost</t>
  </si>
  <si>
    <t>Effectiveness  - impact on cases</t>
  </si>
  <si>
    <t>Prevenative interventions Cost</t>
  </si>
  <si>
    <t>Preventative 3</t>
  </si>
  <si>
    <t>No. Children</t>
  </si>
  <si>
    <t>Expenditure</t>
  </si>
  <si>
    <t>Prevention Baseline</t>
  </si>
  <si>
    <t>Curative treatment - baseline</t>
  </si>
  <si>
    <t>Treatment Expenditure</t>
  </si>
  <si>
    <t>Added Preventative Spend</t>
  </si>
  <si>
    <t>Total Number of Children</t>
  </si>
  <si>
    <t>Prevelance Statistics</t>
  </si>
  <si>
    <t>SAM Without Medical Complications</t>
  </si>
  <si>
    <t>SAM With Medical Complications</t>
  </si>
  <si>
    <t>Per cent</t>
  </si>
  <si>
    <t>Number</t>
  </si>
  <si>
    <t>Children Reached by Preventative Interventions</t>
  </si>
  <si>
    <t>Prev Baseline</t>
  </si>
  <si>
    <t>Prev Exp</t>
  </si>
  <si>
    <t>Treat Baseline</t>
  </si>
  <si>
    <t>Total Children in SA</t>
  </si>
  <si>
    <t>Number of children Accessed</t>
  </si>
  <si>
    <t>Children Reached</t>
  </si>
  <si>
    <t>Effectiveness - number of children</t>
  </si>
  <si>
    <t>Prevenative Baseline</t>
  </si>
  <si>
    <t>Prevelance Assumptions</t>
  </si>
  <si>
    <t>Total curative treatment</t>
  </si>
  <si>
    <t>Draft v.3</t>
  </si>
  <si>
    <t>03 August 2015</t>
  </si>
  <si>
    <t>budget choices</t>
  </si>
  <si>
    <t>Treatment Baseline</t>
  </si>
  <si>
    <t>Prevention Expenditure</t>
  </si>
  <si>
    <t>5% - Treatment savings</t>
  </si>
  <si>
    <t>10% - Treatment savings</t>
  </si>
  <si>
    <t>15% - Treatment savings</t>
  </si>
  <si>
    <t>Coverage</t>
  </si>
  <si>
    <t>Preventative Costs</t>
  </si>
  <si>
    <t>%</t>
  </si>
  <si>
    <t>No.</t>
  </si>
  <si>
    <t>Increases in preventative expenditure</t>
  </si>
  <si>
    <t>Decreases in prevalence (numbers)</t>
  </si>
  <si>
    <t>Scenario 1 - Numbers of children</t>
  </si>
  <si>
    <t>Scenario 2 - Numbers of children</t>
  </si>
  <si>
    <t>Scenario 3 - Numbers of children</t>
  </si>
  <si>
    <t>Scenario 1 - Cost of treatment</t>
  </si>
  <si>
    <t>Scenario 2 - Cost of treatment</t>
  </si>
  <si>
    <t>Scenario 3 - Cost of treatment</t>
  </si>
  <si>
    <t>Current Reality</t>
  </si>
  <si>
    <t>Full Cost Scenario 1 (with MTEF)</t>
  </si>
  <si>
    <t>Full Cost Scenario</t>
  </si>
  <si>
    <t>12 Months to 23 Months</t>
  </si>
  <si>
    <t>24 Months to 35 Months</t>
  </si>
  <si>
    <t>36 Months to 47 Months</t>
  </si>
  <si>
    <t>48 Months to 59 Months</t>
  </si>
  <si>
    <t>Number of children receiving CSG</t>
  </si>
  <si>
    <t>Cost of Child Support Grant to Government</t>
  </si>
  <si>
    <t>CSG Assumed to be spent on nutrition</t>
  </si>
  <si>
    <t>% of Children in Quintiles 1 and 2 that access the grant:</t>
  </si>
  <si>
    <t>Full Cost Scenario (with MTEF)</t>
  </si>
  <si>
    <t>Preventative Expenditure</t>
  </si>
  <si>
    <t>% of total cost in 2015/16 Full Cost Scenario</t>
  </si>
  <si>
    <t>cost of interventions</t>
  </si>
  <si>
    <t>5% savings</t>
  </si>
  <si>
    <t>10% savings</t>
  </si>
  <si>
    <t>15% savings</t>
  </si>
  <si>
    <t>Cost of ECD subsidy</t>
  </si>
  <si>
    <t>Cost of ECD subsidy to government</t>
  </si>
  <si>
    <t>ECD subsidy  assumed to be spend on nutrition</t>
  </si>
  <si>
    <t>CSG coverage scenarios</t>
  </si>
  <si>
    <t>Cost of Child Support Grant to government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</si>
</sst>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R&quot;\ #,##0;[Red]&quot;R&quot;\ \-#,##0"/>
    <numFmt numFmtId="7" formatCode="&quot;R&quot;\ #,##0.00;&quot;R&quot;\ \-#,##0.00"/>
    <numFmt numFmtId="8" formatCode="&quot;R&quot;\ #,##0.00;[Red]&quot;R&quot;\ \-#,##0.00"/>
    <numFmt numFmtId="44" formatCode="_ &quot;R&quot;\ * #,##0.00_ ;_ &quot;R&quot;\ * \-#,##0.00_ ;_ &quot;R&quot;\ * &quot;-&quot;??_ ;_ @_ "/>
    <numFmt numFmtId="43" formatCode="_ * #,##0.00_ ;_ * \-#,##0.00_ ;_ * &quot;-&quot;??_ ;_ @_ "/>
    <numFmt numFmtId="164" formatCode="_ * #,##0_ ;_ * \-#,##0_ ;_ * &quot;-&quot;??_ ;_ @_ "/>
    <numFmt numFmtId="165" formatCode="0.0%"/>
    <numFmt numFmtId="166" formatCode="0.0"/>
    <numFmt numFmtId="167" formatCode="_ &quot;R&quot;\ * #,##0_ ;_ &quot;R&quot;\ * \-#,##0_ ;_ &quot;R&quot;\ * &quot;-&quot;??_ ;_ @_ "/>
    <numFmt numFmtId="168" formatCode="_ &quot;R&quot;\ #,##0.00_ ;_ &quot;R&quot;\ \-#,##0.00_ ;_ &quot;R&quot;\ &quot;-&quot;??_ ;_ @_ "/>
    <numFmt numFmtId="169" formatCode="_ * #,##0.0_ ;_ * \-#,##0.0_ ;_ * &quot;-&quot;??_ ;_ @_ "/>
    <numFmt numFmtId="170" formatCode="_ [$R-1C09]\ * #,##0_ ;_ [$R-1C09]\ * \-#,##0_ ;_ [$R-1C09]\ * &quot;-&quot;??_ ;_ @_ "/>
    <numFmt numFmtId="171" formatCode="_ [$R-1C09]\ * #,##0.00_ ;_ [$R-1C09]\ * \-#,##0.00_ ;_ [$R-1C09]\ * &quot;-&quot;??_ ;_ @_ "/>
    <numFmt numFmtId="172" formatCode="##,###,###"/>
    <numFmt numFmtId="173" formatCode="###,###,###"/>
    <numFmt numFmtId="174" formatCode="0.000%"/>
    <numFmt numFmtId="175" formatCode="&quot;R&quot;\ #,##0"/>
  </numFmts>
  <fonts count="115" x14ac:knownFonts="1">
    <font>
      <sz val="11"/>
      <color theme="1"/>
      <name val="Calibri"/>
      <family val="2"/>
      <scheme val="minor"/>
    </font>
    <font>
      <b/>
      <sz val="10"/>
      <color theme="1"/>
      <name val="Arial"/>
      <family val="2"/>
    </font>
    <font>
      <b/>
      <sz val="10"/>
      <color theme="0"/>
      <name val="Arial"/>
      <family val="2"/>
    </font>
    <font>
      <sz val="10"/>
      <color theme="0"/>
      <name val="Arial"/>
      <family val="2"/>
    </font>
    <font>
      <sz val="10"/>
      <color theme="1"/>
      <name val="Arial"/>
      <family val="2"/>
    </font>
    <font>
      <sz val="11"/>
      <color theme="1"/>
      <name val="Calibri"/>
      <family val="2"/>
      <scheme val="minor"/>
    </font>
    <font>
      <sz val="11"/>
      <color theme="1"/>
      <name val="Arial"/>
      <family val="2"/>
    </font>
    <font>
      <sz val="10"/>
      <name val="Tahoma"/>
      <family val="2"/>
    </font>
    <font>
      <sz val="8"/>
      <name val="Arial"/>
      <family val="2"/>
    </font>
    <font>
      <b/>
      <sz val="10"/>
      <name val="Tahoma"/>
      <family val="2"/>
    </font>
    <font>
      <b/>
      <sz val="8"/>
      <name val="Arial"/>
      <family val="2"/>
    </font>
    <font>
      <i/>
      <sz val="10"/>
      <color theme="1"/>
      <name val="Arial"/>
      <family val="2"/>
    </font>
    <font>
      <sz val="9"/>
      <color indexed="81"/>
      <name val="Tahoma"/>
      <family val="2"/>
    </font>
    <font>
      <b/>
      <sz val="9"/>
      <color indexed="81"/>
      <name val="Tahoma"/>
      <family val="2"/>
    </font>
    <font>
      <b/>
      <sz val="10"/>
      <color indexed="8"/>
      <name val="Arial"/>
      <family val="2"/>
    </font>
    <font>
      <sz val="9"/>
      <color theme="1"/>
      <name val="Arial"/>
      <family val="2"/>
    </font>
    <font>
      <b/>
      <sz val="16"/>
      <color theme="1"/>
      <name val="Arial"/>
      <family val="2"/>
    </font>
    <font>
      <b/>
      <sz val="11"/>
      <color theme="1"/>
      <name val="Arial"/>
      <family val="2"/>
    </font>
    <font>
      <b/>
      <sz val="11"/>
      <color rgb="FF000000"/>
      <name val="Arial"/>
      <family val="2"/>
    </font>
    <font>
      <sz val="11"/>
      <color rgb="FFFF0000"/>
      <name val="Arial"/>
      <family val="2"/>
    </font>
    <font>
      <sz val="10"/>
      <color rgb="FFFF0000"/>
      <name val="Arial"/>
      <family val="2"/>
    </font>
    <font>
      <sz val="10"/>
      <name val="Arial"/>
      <family val="2"/>
    </font>
    <font>
      <sz val="11"/>
      <name val="Arial"/>
      <family val="2"/>
    </font>
    <font>
      <sz val="11"/>
      <color theme="3" tint="0.39997558519241921"/>
      <name val="Arial"/>
      <family val="2"/>
    </font>
    <font>
      <sz val="10"/>
      <color theme="3" tint="0.39997558519241921"/>
      <name val="Arial"/>
      <family val="2"/>
    </font>
    <font>
      <sz val="10"/>
      <color theme="1"/>
      <name val="Calibri"/>
      <family val="2"/>
    </font>
    <font>
      <i/>
      <sz val="9"/>
      <color theme="1"/>
      <name val="Arial"/>
      <family val="2"/>
    </font>
    <font>
      <sz val="10"/>
      <name val="MS Sans Serif"/>
      <family val="2"/>
    </font>
    <font>
      <b/>
      <sz val="10"/>
      <name val="Arial"/>
      <family val="2"/>
    </font>
    <font>
      <sz val="7"/>
      <color theme="1"/>
      <name val="Times New Roman"/>
      <family val="1"/>
    </font>
    <font>
      <b/>
      <sz val="18"/>
      <color theme="1"/>
      <name val="Arial"/>
      <family val="2"/>
    </font>
    <font>
      <sz val="18"/>
      <color theme="1"/>
      <name val="Arial"/>
      <family val="2"/>
    </font>
    <font>
      <b/>
      <sz val="9"/>
      <color theme="1"/>
      <name val="Arial"/>
      <family val="2"/>
    </font>
    <font>
      <i/>
      <sz val="9"/>
      <color rgb="FFFF0000"/>
      <name val="Arial"/>
      <family val="2"/>
    </font>
    <font>
      <i/>
      <sz val="10"/>
      <color rgb="FFFF0000"/>
      <name val="Arial"/>
      <family val="2"/>
    </font>
    <font>
      <sz val="8"/>
      <name val="Tahoma"/>
      <family val="2"/>
    </font>
    <font>
      <b/>
      <sz val="8"/>
      <name val="Tahoma"/>
      <family val="2"/>
    </font>
    <font>
      <b/>
      <i/>
      <sz val="10"/>
      <color theme="1"/>
      <name val="Arial"/>
      <family val="2"/>
    </font>
    <font>
      <b/>
      <sz val="11"/>
      <color rgb="FFFF0000"/>
      <name val="Arial"/>
      <family val="2"/>
    </font>
    <font>
      <b/>
      <sz val="11"/>
      <color theme="1"/>
      <name val="Calibri"/>
      <family val="2"/>
      <scheme val="minor"/>
    </font>
    <font>
      <b/>
      <sz val="10"/>
      <color rgb="FFFF0000"/>
      <name val="Arial"/>
      <family val="2"/>
    </font>
    <font>
      <b/>
      <sz val="12"/>
      <color theme="0"/>
      <name val="Arial"/>
      <family val="2"/>
    </font>
    <font>
      <i/>
      <sz val="10"/>
      <color theme="0"/>
      <name val="Arial"/>
      <family val="2"/>
    </font>
    <font>
      <b/>
      <i/>
      <sz val="10"/>
      <color theme="0"/>
      <name val="Arial"/>
      <family val="2"/>
    </font>
    <font>
      <b/>
      <i/>
      <sz val="11"/>
      <color theme="1"/>
      <name val="Arial"/>
      <family val="2"/>
    </font>
    <font>
      <b/>
      <i/>
      <sz val="11"/>
      <name val="Arial"/>
      <family val="2"/>
    </font>
    <font>
      <b/>
      <i/>
      <sz val="10"/>
      <name val="Arial"/>
      <family val="2"/>
    </font>
    <font>
      <i/>
      <sz val="11"/>
      <color theme="1"/>
      <name val="Calibri"/>
      <family val="2"/>
      <scheme val="minor"/>
    </font>
    <font>
      <i/>
      <sz val="10"/>
      <color theme="1" tint="4.9989318521683403E-2"/>
      <name val="Arial"/>
      <family val="2"/>
    </font>
    <font>
      <b/>
      <sz val="20"/>
      <name val="Arial"/>
      <family val="2"/>
    </font>
    <font>
      <b/>
      <i/>
      <sz val="22"/>
      <color theme="0" tint="-0.499984740745262"/>
      <name val="Times New Roman"/>
      <family val="1"/>
    </font>
    <font>
      <b/>
      <i/>
      <sz val="11"/>
      <color theme="4" tint="-0.249977111117893"/>
      <name val="Arial"/>
      <family val="2"/>
    </font>
    <font>
      <b/>
      <i/>
      <sz val="16"/>
      <color theme="4" tint="-0.249977111117893"/>
      <name val="Arial"/>
      <family val="2"/>
    </font>
    <font>
      <b/>
      <sz val="16"/>
      <color theme="4" tint="-0.249977111117893"/>
      <name val="Arial"/>
      <family val="2"/>
    </font>
    <font>
      <b/>
      <sz val="22"/>
      <name val="Times New Roman"/>
      <family val="1"/>
    </font>
    <font>
      <b/>
      <sz val="14"/>
      <color rgb="FFFF0000"/>
      <name val="Times New Roman"/>
      <family val="1"/>
    </font>
    <font>
      <sz val="11"/>
      <name val="Times New Roman"/>
      <family val="1"/>
    </font>
    <font>
      <b/>
      <sz val="10"/>
      <name val="Times New Roman"/>
      <family val="1"/>
    </font>
    <font>
      <sz val="9"/>
      <name val="Times New Roman"/>
      <family val="1"/>
    </font>
    <font>
      <sz val="10"/>
      <name val="Times New Roman"/>
      <family val="1"/>
    </font>
    <font>
      <i/>
      <sz val="9"/>
      <name val="Times New Roman"/>
      <family val="1"/>
    </font>
    <font>
      <b/>
      <i/>
      <sz val="9"/>
      <name val="Times New Roman"/>
      <family val="1"/>
    </font>
    <font>
      <sz val="20"/>
      <color theme="1"/>
      <name val="Calibri"/>
      <family val="2"/>
      <scheme val="minor"/>
    </font>
    <font>
      <sz val="8"/>
      <name val="Times New Roman"/>
      <family val="1"/>
    </font>
    <font>
      <b/>
      <sz val="16"/>
      <color theme="0"/>
      <name val="Arial"/>
      <family val="2"/>
    </font>
    <font>
      <sz val="16"/>
      <color theme="0"/>
      <name val="Arial"/>
      <family val="2"/>
    </font>
    <font>
      <b/>
      <sz val="11"/>
      <color theme="0"/>
      <name val="Arial"/>
      <family val="2"/>
    </font>
    <font>
      <sz val="11"/>
      <color rgb="FFFF0000"/>
      <name val="Calibri"/>
      <family val="2"/>
      <scheme val="minor"/>
    </font>
    <font>
      <sz val="11"/>
      <color theme="0" tint="-4.9989318521683403E-2"/>
      <name val="Calibri"/>
      <family val="2"/>
      <scheme val="minor"/>
    </font>
    <font>
      <b/>
      <sz val="11"/>
      <color theme="2"/>
      <name val="Calibri"/>
      <family val="2"/>
      <scheme val="minor"/>
    </font>
    <font>
      <sz val="11"/>
      <color theme="2"/>
      <name val="Calibri"/>
      <family val="2"/>
      <scheme val="minor"/>
    </font>
    <font>
      <sz val="11"/>
      <color theme="0" tint="-0.249977111117893"/>
      <name val="Calibri"/>
      <family val="2"/>
      <scheme val="minor"/>
    </font>
    <font>
      <b/>
      <sz val="11"/>
      <color theme="0" tint="-0.249977111117893"/>
      <name val="Calibri"/>
      <family val="2"/>
      <scheme val="minor"/>
    </font>
    <font>
      <b/>
      <sz val="11"/>
      <color theme="0" tint="-0.249977111117893"/>
      <name val="Arial"/>
      <family val="2"/>
    </font>
    <font>
      <sz val="11"/>
      <color theme="0" tint="-0.249977111117893"/>
      <name val="Arial"/>
      <family val="2"/>
    </font>
    <font>
      <b/>
      <sz val="9"/>
      <name val="Tahoma"/>
      <family val="2"/>
    </font>
    <font>
      <sz val="10"/>
      <color rgb="FF222222"/>
      <name val="Segoe UI"/>
      <family val="2"/>
    </font>
    <font>
      <b/>
      <sz val="11"/>
      <name val="Arial"/>
      <family val="2"/>
    </font>
    <font>
      <b/>
      <sz val="12"/>
      <color theme="1"/>
      <name val="Arial"/>
      <family val="2"/>
    </font>
    <font>
      <sz val="10"/>
      <color theme="5" tint="0.39997558519241921"/>
      <name val="Arial"/>
      <family val="2"/>
    </font>
    <font>
      <sz val="9"/>
      <name val="Arial"/>
      <family val="2"/>
    </font>
    <font>
      <u/>
      <sz val="11"/>
      <color theme="10"/>
      <name val="Calibri"/>
      <family val="2"/>
      <scheme val="minor"/>
    </font>
    <font>
      <sz val="10"/>
      <color theme="1"/>
      <name val="Calibri"/>
      <family val="2"/>
      <scheme val="minor"/>
    </font>
    <font>
      <u/>
      <sz val="10"/>
      <name val="Arial"/>
      <family val="2"/>
    </font>
    <font>
      <b/>
      <sz val="26"/>
      <color theme="1"/>
      <name val="Calibri"/>
      <family val="2"/>
      <scheme val="minor"/>
    </font>
    <font>
      <sz val="11"/>
      <color theme="0" tint="-4.9989318521683403E-2"/>
      <name val="Arial"/>
      <family val="2"/>
    </font>
    <font>
      <b/>
      <sz val="11"/>
      <color theme="0" tint="-4.9989318521683403E-2"/>
      <name val="Arial"/>
      <family val="2"/>
    </font>
    <font>
      <b/>
      <sz val="10"/>
      <color theme="0" tint="-4.9989318521683403E-2"/>
      <name val="Arial"/>
      <family val="2"/>
    </font>
    <font>
      <sz val="10"/>
      <color theme="0" tint="-4.9989318521683403E-2"/>
      <name val="Arial"/>
      <family val="2"/>
    </font>
    <font>
      <sz val="9"/>
      <color theme="1"/>
      <name val="Calibri"/>
      <family val="2"/>
      <scheme val="minor"/>
    </font>
    <font>
      <sz val="11"/>
      <name val="Calibri"/>
      <family val="2"/>
      <scheme val="minor"/>
    </font>
    <font>
      <u/>
      <sz val="11"/>
      <color theme="11"/>
      <name val="Calibri"/>
      <family val="2"/>
      <scheme val="minor"/>
    </font>
    <font>
      <b/>
      <u/>
      <sz val="11"/>
      <color theme="1"/>
      <name val="Calibri"/>
      <family val="2"/>
      <scheme val="minor"/>
    </font>
    <font>
      <b/>
      <i/>
      <sz val="11"/>
      <color theme="1"/>
      <name val="Calibri"/>
      <family val="2"/>
      <scheme val="minor"/>
    </font>
    <font>
      <b/>
      <sz val="11"/>
      <name val="Calibri"/>
      <family val="2"/>
      <scheme val="minor"/>
    </font>
    <font>
      <b/>
      <sz val="20"/>
      <name val="Calibri"/>
      <family val="2"/>
      <scheme val="minor"/>
    </font>
    <font>
      <b/>
      <u/>
      <sz val="14"/>
      <color theme="1"/>
      <name val="Calibri"/>
      <family val="2"/>
      <scheme val="minor"/>
    </font>
    <font>
      <sz val="11"/>
      <color rgb="FF008000"/>
      <name val="Calibri"/>
      <family val="2"/>
      <scheme val="minor"/>
    </font>
    <font>
      <b/>
      <sz val="14"/>
      <color theme="1"/>
      <name val="Calibri"/>
      <family val="2"/>
      <scheme val="minor"/>
    </font>
    <font>
      <b/>
      <sz val="12"/>
      <name val="Calibri"/>
      <family val="2"/>
      <scheme val="minor"/>
    </font>
    <font>
      <i/>
      <sz val="10"/>
      <color theme="1"/>
      <name val="Calibri"/>
      <family val="2"/>
      <scheme val="minor"/>
    </font>
    <font>
      <sz val="11"/>
      <color rgb="FF00B050"/>
      <name val="Calibri"/>
      <family val="2"/>
      <scheme val="minor"/>
    </font>
    <font>
      <sz val="11"/>
      <color theme="5"/>
      <name val="Calibri"/>
      <family val="2"/>
      <scheme val="minor"/>
    </font>
    <font>
      <sz val="9"/>
      <color rgb="FFFF0000"/>
      <name val="Arial"/>
      <family val="2"/>
    </font>
    <font>
      <b/>
      <sz val="9"/>
      <color rgb="FF000000"/>
      <name val="Calibri"/>
      <family val="2"/>
      <scheme val="minor"/>
    </font>
    <font>
      <sz val="8"/>
      <color theme="1"/>
      <name val="Calibri"/>
      <family val="2"/>
      <scheme val="minor"/>
    </font>
    <font>
      <sz val="11"/>
      <color theme="5" tint="-0.249977111117893"/>
      <name val="Calibri"/>
      <family val="2"/>
      <scheme val="minor"/>
    </font>
    <font>
      <sz val="11"/>
      <color rgb="FFFF3399"/>
      <name val="Arial"/>
      <family val="2"/>
    </font>
    <font>
      <sz val="10"/>
      <color rgb="FFFF3399"/>
      <name val="Arial"/>
      <family val="2"/>
    </font>
    <font>
      <sz val="11"/>
      <color rgb="FF009900"/>
      <name val="Calibri"/>
      <family val="2"/>
      <scheme val="minor"/>
    </font>
    <font>
      <sz val="11"/>
      <color rgb="FFC00000"/>
      <name val="Calibri"/>
      <family val="2"/>
      <scheme val="minor"/>
    </font>
    <font>
      <b/>
      <sz val="10"/>
      <color theme="5" tint="0.79998168889431442"/>
      <name val="Arial"/>
      <family val="2"/>
    </font>
    <font>
      <b/>
      <sz val="10"/>
      <color indexed="8"/>
      <name val="Arial Narrow"/>
      <family val="2"/>
    </font>
    <font>
      <sz val="10"/>
      <color rgb="FF0070C0"/>
      <name val="Arial"/>
      <family val="2"/>
    </font>
    <font>
      <sz val="11"/>
      <color rgb="FF0070C0"/>
      <name val="Arial"/>
      <family val="2"/>
    </font>
  </fonts>
  <fills count="40">
    <fill>
      <patternFill patternType="none"/>
    </fill>
    <fill>
      <patternFill patternType="gray125"/>
    </fill>
    <fill>
      <patternFill patternType="solid">
        <fgColor theme="3" tint="0.39997558519241921"/>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rgb="FFFFFF99"/>
        <bgColor indexed="64"/>
      </patternFill>
    </fill>
    <fill>
      <patternFill patternType="solid">
        <fgColor theme="3" tint="0.59999389629810485"/>
        <bgColor indexed="64"/>
      </patternFill>
    </fill>
    <fill>
      <patternFill patternType="solid">
        <fgColor rgb="FFDBEEF3"/>
        <bgColor rgb="FF000000"/>
      </patternFill>
    </fill>
    <fill>
      <patternFill patternType="solid">
        <fgColor theme="3" tint="0.79998168889431442"/>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D9D9D9"/>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rgb="FFFF0000"/>
        <bgColor indexed="64"/>
      </patternFill>
    </fill>
    <fill>
      <patternFill patternType="solid">
        <fgColor rgb="FF92D050"/>
        <bgColor indexed="64"/>
      </patternFill>
    </fill>
    <fill>
      <patternFill patternType="solid">
        <fgColor theme="8" tint="0.39997558519241921"/>
        <bgColor indexed="64"/>
      </patternFill>
    </fill>
    <fill>
      <patternFill patternType="solid">
        <fgColor indexed="9"/>
        <bgColor indexed="64"/>
      </patternFill>
    </fill>
    <fill>
      <patternFill patternType="solid">
        <fgColor rgb="FF00B0F0"/>
        <bgColor indexed="64"/>
      </patternFill>
    </fill>
    <fill>
      <patternFill patternType="solid">
        <fgColor rgb="FFFF3399"/>
        <bgColor indexed="64"/>
      </patternFill>
    </fill>
    <fill>
      <patternFill patternType="solid">
        <fgColor theme="2"/>
        <bgColor indexed="64"/>
      </patternFill>
    </fill>
    <fill>
      <patternFill patternType="solid">
        <fgColor rgb="FF00FF00"/>
        <bgColor indexed="64"/>
      </patternFill>
    </fill>
    <fill>
      <patternFill patternType="solid">
        <fgColor rgb="FFFFFF66"/>
        <bgColor indexed="64"/>
      </patternFill>
    </fill>
    <fill>
      <patternFill patternType="solid">
        <fgColor theme="4" tint="0.39997558519241921"/>
        <bgColor indexed="64"/>
      </patternFill>
    </fill>
    <fill>
      <patternFill patternType="solid">
        <fgColor theme="4"/>
        <bgColor indexed="64"/>
      </patternFill>
    </fill>
    <fill>
      <patternFill patternType="solid">
        <fgColor theme="2" tint="-9.9978637043366805E-2"/>
        <bgColor indexed="64"/>
      </patternFill>
    </fill>
    <fill>
      <patternFill patternType="solid">
        <fgColor rgb="FF7030A0"/>
        <bgColor indexed="64"/>
      </patternFill>
    </fill>
    <fill>
      <patternFill patternType="solid">
        <fgColor theme="7" tint="0.59999389629810485"/>
        <bgColor indexed="64"/>
      </patternFill>
    </fill>
    <fill>
      <patternFill patternType="solid">
        <fgColor rgb="FFFF0066"/>
        <bgColor indexed="64"/>
      </patternFill>
    </fill>
    <fill>
      <patternFill patternType="solid">
        <fgColor theme="5" tint="0.79998168889431442"/>
        <bgColor indexed="64"/>
      </patternFill>
    </fill>
    <fill>
      <gradientFill type="path" left="0.5" right="0.5" top="0.5" bottom="0.5">
        <stop position="0">
          <color theme="0"/>
        </stop>
        <stop position="1">
          <color theme="4"/>
        </stop>
      </gradientFill>
    </fill>
    <fill>
      <patternFill patternType="solid">
        <fgColor theme="6" tint="0.79998168889431442"/>
        <bgColor indexed="64"/>
      </patternFill>
    </fill>
  </fills>
  <borders count="77">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hair">
        <color auto="1"/>
      </left>
      <right style="hair">
        <color auto="1"/>
      </right>
      <top style="hair">
        <color auto="1"/>
      </top>
      <bottom style="hair">
        <color auto="1"/>
      </bottom>
      <diagonal/>
    </border>
    <border>
      <left/>
      <right/>
      <top style="thin">
        <color auto="1"/>
      </top>
      <bottom/>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hair">
        <color auto="1"/>
      </left>
      <right style="hair">
        <color auto="1"/>
      </right>
      <top style="thin">
        <color auto="1"/>
      </top>
      <bottom style="double">
        <color auto="1"/>
      </bottom>
      <diagonal/>
    </border>
    <border>
      <left style="hair">
        <color auto="1"/>
      </left>
      <right style="hair">
        <color auto="1"/>
      </right>
      <top style="hair">
        <color auto="1"/>
      </top>
      <bottom/>
      <diagonal/>
    </border>
    <border>
      <left/>
      <right/>
      <top style="dashed">
        <color auto="1"/>
      </top>
      <bottom/>
      <diagonal/>
    </border>
    <border>
      <left style="thin">
        <color auto="1"/>
      </left>
      <right style="thin">
        <color auto="1"/>
      </right>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style="hair">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thin">
        <color auto="1"/>
      </bottom>
      <diagonal/>
    </border>
    <border>
      <left style="thin">
        <color auto="1"/>
      </left>
      <right style="thin">
        <color auto="1"/>
      </right>
      <top style="thin">
        <color auto="1"/>
      </top>
      <bottom style="double">
        <color auto="1"/>
      </bottom>
      <diagonal/>
    </border>
    <border>
      <left style="hair">
        <color auto="1"/>
      </left>
      <right style="hair">
        <color auto="1"/>
      </right>
      <top/>
      <bottom style="hair">
        <color auto="1"/>
      </bottom>
      <diagonal/>
    </border>
    <border>
      <left/>
      <right/>
      <top style="thin">
        <color auto="1"/>
      </top>
      <bottom style="double">
        <color auto="1"/>
      </bottom>
      <diagonal/>
    </border>
    <border>
      <left style="hair">
        <color auto="1"/>
      </left>
      <right style="hair">
        <color auto="1"/>
      </right>
      <top/>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style="thin">
        <color auto="1"/>
      </top>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bottom style="double">
        <color auto="1"/>
      </bottom>
      <diagonal/>
    </border>
    <border>
      <left/>
      <right style="thin">
        <color auto="1"/>
      </right>
      <top/>
      <bottom style="thin">
        <color auto="1"/>
      </bottom>
      <diagonal/>
    </border>
    <border>
      <left/>
      <right/>
      <top style="hair">
        <color auto="1"/>
      </top>
      <bottom style="thin">
        <color auto="1"/>
      </bottom>
      <diagonal/>
    </border>
    <border>
      <left/>
      <right/>
      <top style="thin">
        <color auto="1"/>
      </top>
      <bottom style="medium">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style="thin">
        <color auto="1"/>
      </right>
      <top style="hair">
        <color auto="1"/>
      </top>
      <bottom style="hair">
        <color auto="1"/>
      </bottom>
      <diagonal/>
    </border>
    <border>
      <left/>
      <right style="hair">
        <color auto="1"/>
      </right>
      <top style="hair">
        <color auto="1"/>
      </top>
      <bottom style="hair">
        <color auto="1"/>
      </bottom>
      <diagonal/>
    </border>
    <border>
      <left style="thin">
        <color auto="1"/>
      </left>
      <right style="thin">
        <color auto="1"/>
      </right>
      <top/>
      <bottom style="thin">
        <color auto="1"/>
      </bottom>
      <diagonal/>
    </border>
    <border>
      <left/>
      <right style="hair">
        <color auto="1"/>
      </right>
      <top/>
      <bottom/>
      <diagonal/>
    </border>
    <border>
      <left/>
      <right/>
      <top style="hair">
        <color auto="1"/>
      </top>
      <bottom style="hair">
        <color auto="1"/>
      </bottom>
      <diagonal/>
    </border>
    <border>
      <left style="hair">
        <color auto="1"/>
      </left>
      <right/>
      <top style="thin">
        <color auto="1"/>
      </top>
      <bottom style="double">
        <color auto="1"/>
      </bottom>
      <diagonal/>
    </border>
    <border>
      <left style="hair">
        <color auto="1"/>
      </left>
      <right/>
      <top style="hair">
        <color auto="1"/>
      </top>
      <bottom/>
      <diagonal/>
    </border>
    <border>
      <left/>
      <right/>
      <top style="hair">
        <color auto="1"/>
      </top>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bottom style="hair">
        <color auto="1"/>
      </bottom>
      <diagonal/>
    </border>
    <border>
      <left style="hair">
        <color auto="1"/>
      </left>
      <right/>
      <top style="thin">
        <color auto="1"/>
      </top>
      <bottom/>
      <diagonal/>
    </border>
    <border>
      <left/>
      <right style="hair">
        <color auto="1"/>
      </right>
      <top style="thin">
        <color auto="1"/>
      </top>
      <bottom/>
      <diagonal/>
    </border>
    <border>
      <left style="hair">
        <color auto="1"/>
      </left>
      <right/>
      <top/>
      <bottom/>
      <diagonal/>
    </border>
    <border>
      <left style="hair">
        <color auto="1"/>
      </left>
      <right/>
      <top/>
      <bottom style="thin">
        <color auto="1"/>
      </bottom>
      <diagonal/>
    </border>
    <border>
      <left/>
      <right style="hair">
        <color auto="1"/>
      </right>
      <top/>
      <bottom style="thin">
        <color auto="1"/>
      </bottom>
      <diagonal/>
    </border>
    <border>
      <left/>
      <right/>
      <top/>
      <bottom style="dashed">
        <color auto="1"/>
      </bottom>
      <diagonal/>
    </border>
    <border>
      <left style="hair">
        <color auto="1"/>
      </left>
      <right style="hair">
        <color auto="1"/>
      </right>
      <top style="hair">
        <color auto="1"/>
      </top>
      <bottom style="dashed">
        <color auto="1"/>
      </bottom>
      <diagonal/>
    </border>
    <border>
      <left style="hair">
        <color auto="1"/>
      </left>
      <right style="hair">
        <color auto="1"/>
      </right>
      <top/>
      <bottom style="dashed">
        <color auto="1"/>
      </bottom>
      <diagonal/>
    </border>
    <border>
      <left style="thin">
        <color indexed="64"/>
      </left>
      <right style="thin">
        <color indexed="64"/>
      </right>
      <top style="thin">
        <color indexed="64"/>
      </top>
      <bottom style="hair">
        <color auto="1"/>
      </bottom>
      <diagonal/>
    </border>
    <border>
      <left style="thin">
        <color indexed="64"/>
      </left>
      <right style="thin">
        <color indexed="64"/>
      </right>
      <top/>
      <bottom style="hair">
        <color auto="1"/>
      </bottom>
      <diagonal/>
    </border>
    <border>
      <left style="hair">
        <color theme="5" tint="0.79998168889431442"/>
      </left>
      <right style="hair">
        <color theme="5" tint="0.79998168889431442"/>
      </right>
      <top style="hair">
        <color theme="5" tint="0.79998168889431442"/>
      </top>
      <bottom style="hair">
        <color theme="5" tint="0.79998168889431442"/>
      </bottom>
      <diagonal/>
    </border>
    <border>
      <left/>
      <right/>
      <top style="dotted">
        <color auto="1"/>
      </top>
      <bottom/>
      <diagonal/>
    </border>
    <border>
      <left style="hair">
        <color auto="1"/>
      </left>
      <right style="hair">
        <color auto="1"/>
      </right>
      <top style="dotted">
        <color auto="1"/>
      </top>
      <bottom style="hair">
        <color auto="1"/>
      </bottom>
      <diagonal/>
    </border>
    <border>
      <left/>
      <right/>
      <top/>
      <bottom style="dotted">
        <color auto="1"/>
      </bottom>
      <diagonal/>
    </border>
    <border>
      <left style="hair">
        <color auto="1"/>
      </left>
      <right style="hair">
        <color auto="1"/>
      </right>
      <top style="hair">
        <color auto="1"/>
      </top>
      <bottom style="dotted">
        <color auto="1"/>
      </bottom>
      <diagonal/>
    </border>
    <border>
      <left/>
      <right style="hair">
        <color auto="1"/>
      </right>
      <top style="hair">
        <color auto="1"/>
      </top>
      <bottom/>
      <diagonal/>
    </border>
    <border>
      <left/>
      <right/>
      <top style="thin">
        <color auto="1"/>
      </top>
      <bottom style="hair">
        <color auto="1"/>
      </bottom>
      <diagonal/>
    </border>
    <border>
      <left style="thin">
        <color auto="1"/>
      </left>
      <right/>
      <top style="thin">
        <color auto="1"/>
      </top>
      <bottom style="hair">
        <color auto="1"/>
      </bottom>
      <diagonal/>
    </border>
    <border>
      <left style="thin">
        <color auto="1"/>
      </left>
      <right/>
      <top/>
      <bottom style="hair">
        <color auto="1"/>
      </bottom>
      <diagonal/>
    </border>
    <border>
      <left style="hair">
        <color auto="1"/>
      </left>
      <right style="thin">
        <color auto="1"/>
      </right>
      <top style="thin">
        <color auto="1"/>
      </top>
      <bottom style="hair">
        <color auto="1"/>
      </bottom>
      <diagonal/>
    </border>
    <border>
      <left style="thin">
        <color auto="1"/>
      </left>
      <right/>
      <top style="hair">
        <color auto="1"/>
      </top>
      <bottom style="thin">
        <color auto="1"/>
      </bottom>
      <diagonal/>
    </border>
  </borders>
  <cellStyleXfs count="44">
    <xf numFmtId="0" fontId="0" fillId="0" borderId="0"/>
    <xf numFmtId="43" fontId="5" fillId="0" borderId="0" applyFont="0" applyFill="0" applyBorder="0" applyAlignment="0" applyProtection="0"/>
    <xf numFmtId="9" fontId="5" fillId="0" borderId="0" applyFont="0" applyFill="0" applyBorder="0" applyAlignment="0" applyProtection="0"/>
    <xf numFmtId="0" fontId="7" fillId="0" borderId="0"/>
    <xf numFmtId="0" fontId="8" fillId="0" borderId="0">
      <alignment horizontal="right"/>
    </xf>
    <xf numFmtId="0" fontId="8" fillId="0" borderId="0">
      <alignment horizontal="left" vertical="center" wrapText="1"/>
    </xf>
    <xf numFmtId="0" fontId="8" fillId="0" borderId="0">
      <alignment horizontal="center" vertical="center" wrapText="1"/>
    </xf>
    <xf numFmtId="0" fontId="8" fillId="0" borderId="0">
      <alignment horizontal="left"/>
    </xf>
    <xf numFmtId="0" fontId="10" fillId="0" borderId="0">
      <alignment horizontal="left"/>
    </xf>
    <xf numFmtId="0" fontId="8" fillId="0" borderId="0">
      <alignment horizontal="left"/>
    </xf>
    <xf numFmtId="0" fontId="8" fillId="0" borderId="0">
      <alignment horizontal="center" vertical="center" wrapText="1"/>
    </xf>
    <xf numFmtId="0" fontId="8" fillId="0" borderId="0">
      <alignment horizontal="left" vertical="center" wrapText="1"/>
    </xf>
    <xf numFmtId="0" fontId="8" fillId="0" borderId="0">
      <alignment horizontal="right"/>
    </xf>
    <xf numFmtId="43" fontId="7" fillId="0" borderId="0" applyFont="0" applyFill="0" applyBorder="0" applyAlignment="0" applyProtection="0"/>
    <xf numFmtId="0" fontId="21" fillId="0" borderId="0"/>
    <xf numFmtId="0" fontId="21" fillId="0" borderId="0"/>
    <xf numFmtId="0" fontId="25" fillId="0" borderId="0"/>
    <xf numFmtId="0" fontId="27" fillId="0" borderId="0"/>
    <xf numFmtId="44" fontId="5" fillId="0" borderId="0" applyFont="0" applyFill="0" applyBorder="0" applyAlignment="0" applyProtection="0"/>
    <xf numFmtId="0" fontId="8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cellStyleXfs>
  <cellXfs count="1144">
    <xf numFmtId="0" fontId="0" fillId="0" borderId="0" xfId="0"/>
    <xf numFmtId="0" fontId="1" fillId="3" borderId="0" xfId="0" applyFont="1" applyFill="1"/>
    <xf numFmtId="0" fontId="2" fillId="2" borderId="0" xfId="0" applyFont="1" applyFill="1"/>
    <xf numFmtId="0" fontId="3" fillId="2" borderId="0" xfId="0" applyFont="1" applyFill="1"/>
    <xf numFmtId="0" fontId="1" fillId="0" borderId="0" xfId="0" applyFont="1"/>
    <xf numFmtId="0" fontId="4" fillId="0" borderId="0" xfId="0" applyFont="1"/>
    <xf numFmtId="0" fontId="4" fillId="0" borderId="0" xfId="0" applyFont="1" applyAlignment="1">
      <alignment horizontal="left" indent="1"/>
    </xf>
    <xf numFmtId="0" fontId="4" fillId="0" borderId="0" xfId="0" applyFont="1" applyAlignment="1">
      <alignment horizontal="left"/>
    </xf>
    <xf numFmtId="0" fontId="7" fillId="0" borderId="0" xfId="3"/>
    <xf numFmtId="1" fontId="8" fillId="0" borderId="1" xfId="4" applyNumberFormat="1" applyBorder="1">
      <alignment horizontal="right"/>
    </xf>
    <xf numFmtId="0" fontId="8" fillId="0" borderId="1" xfId="5" applyBorder="1">
      <alignment horizontal="left" vertical="center" wrapText="1"/>
    </xf>
    <xf numFmtId="0" fontId="8" fillId="0" borderId="1" xfId="5" applyFont="1" applyBorder="1">
      <alignment horizontal="left" vertical="center" wrapText="1"/>
    </xf>
    <xf numFmtId="0" fontId="9" fillId="3" borderId="0" xfId="3" applyFont="1" applyFill="1"/>
    <xf numFmtId="0" fontId="10" fillId="3" borderId="1" xfId="6" applyFont="1" applyFill="1" applyBorder="1">
      <alignment horizontal="center" vertical="center" wrapText="1"/>
    </xf>
    <xf numFmtId="0" fontId="10" fillId="3" borderId="1" xfId="7" applyFont="1" applyFill="1" applyBorder="1">
      <alignment horizontal="left"/>
    </xf>
    <xf numFmtId="0" fontId="10" fillId="0" borderId="1" xfId="6" applyFont="1" applyBorder="1">
      <alignment horizontal="center" vertical="center" wrapText="1"/>
    </xf>
    <xf numFmtId="164" fontId="0" fillId="0" borderId="0" xfId="13" applyNumberFormat="1" applyFont="1"/>
    <xf numFmtId="1" fontId="8" fillId="0" borderId="1" xfId="12" applyNumberFormat="1" applyBorder="1">
      <alignment horizontal="right"/>
    </xf>
    <xf numFmtId="0" fontId="8" fillId="0" borderId="1" xfId="11" applyBorder="1">
      <alignment horizontal="left" vertical="center" wrapText="1"/>
    </xf>
    <xf numFmtId="0" fontId="9" fillId="0" borderId="0" xfId="3" applyFont="1"/>
    <xf numFmtId="0" fontId="10" fillId="0" borderId="1" xfId="10" applyFont="1" applyBorder="1">
      <alignment horizontal="center" vertical="center" wrapText="1"/>
    </xf>
    <xf numFmtId="0" fontId="10" fillId="0" borderId="1" xfId="9" applyFont="1" applyBorder="1">
      <alignment horizontal="left"/>
    </xf>
    <xf numFmtId="0" fontId="8" fillId="0" borderId="1" xfId="6" applyBorder="1">
      <alignment horizontal="center" vertical="center" wrapText="1"/>
    </xf>
    <xf numFmtId="0" fontId="8" fillId="0" borderId="1" xfId="7" applyBorder="1">
      <alignment horizontal="left"/>
    </xf>
    <xf numFmtId="0" fontId="11" fillId="0" borderId="0" xfId="0" applyFont="1"/>
    <xf numFmtId="0" fontId="4" fillId="0" borderId="0" xfId="0" applyFont="1" applyBorder="1"/>
    <xf numFmtId="0" fontId="11" fillId="0" borderId="0" xfId="0" applyFont="1" applyBorder="1"/>
    <xf numFmtId="0" fontId="4" fillId="0" borderId="0" xfId="0" applyFont="1" applyBorder="1" applyAlignment="1">
      <alignment horizontal="left" indent="1"/>
    </xf>
    <xf numFmtId="0" fontId="14" fillId="5" borderId="2" xfId="0" applyFont="1" applyFill="1" applyBorder="1" applyAlignment="1" applyProtection="1">
      <alignment horizontal="center"/>
    </xf>
    <xf numFmtId="0" fontId="14" fillId="6" borderId="2" xfId="0" applyFont="1" applyFill="1" applyBorder="1" applyAlignment="1" applyProtection="1">
      <alignment horizontal="center"/>
    </xf>
    <xf numFmtId="0" fontId="16" fillId="8" borderId="0" xfId="0" applyFont="1" applyFill="1" applyBorder="1" applyAlignment="1" applyProtection="1">
      <alignment vertical="top"/>
    </xf>
    <xf numFmtId="164" fontId="17" fillId="8" borderId="0" xfId="1" applyNumberFormat="1" applyFont="1" applyFill="1" applyBorder="1" applyAlignment="1" applyProtection="1">
      <alignment vertical="top"/>
    </xf>
    <xf numFmtId="0" fontId="17" fillId="8" borderId="0" xfId="0" applyFont="1" applyFill="1" applyBorder="1" applyAlignment="1" applyProtection="1">
      <alignment horizontal="right" vertical="top"/>
    </xf>
    <xf numFmtId="0" fontId="6" fillId="8" borderId="0" xfId="0" applyFont="1" applyFill="1" applyBorder="1" applyAlignment="1" applyProtection="1">
      <alignment horizontal="right" vertical="top"/>
    </xf>
    <xf numFmtId="0" fontId="6" fillId="8" borderId="0" xfId="0" applyFont="1" applyFill="1" applyAlignment="1" applyProtection="1">
      <alignment vertical="top"/>
    </xf>
    <xf numFmtId="0" fontId="6" fillId="0" borderId="0" xfId="0" applyFont="1" applyProtection="1"/>
    <xf numFmtId="0" fontId="18" fillId="9" borderId="4" xfId="0" applyFont="1" applyFill="1" applyBorder="1" applyProtection="1"/>
    <xf numFmtId="0" fontId="18" fillId="9" borderId="0" xfId="0" applyFont="1" applyFill="1" applyBorder="1" applyProtection="1"/>
    <xf numFmtId="0" fontId="19" fillId="9" borderId="0" xfId="0" applyFont="1" applyFill="1" applyBorder="1" applyAlignment="1" applyProtection="1">
      <alignment horizontal="center"/>
    </xf>
    <xf numFmtId="0" fontId="17" fillId="9" borderId="0" xfId="0" applyFont="1" applyFill="1" applyBorder="1" applyAlignment="1" applyProtection="1">
      <alignment horizontal="center"/>
    </xf>
    <xf numFmtId="0" fontId="15" fillId="0" borderId="0" xfId="0" applyFont="1" applyAlignment="1" applyProtection="1">
      <alignment horizontal="left" vertical="center" indent="2"/>
    </xf>
    <xf numFmtId="165" fontId="6" fillId="10" borderId="0" xfId="2" applyNumberFormat="1" applyFont="1" applyFill="1" applyBorder="1" applyAlignment="1" applyProtection="1">
      <alignment vertical="top"/>
      <protection locked="0"/>
    </xf>
    <xf numFmtId="165" fontId="20" fillId="10" borderId="0" xfId="2" applyNumberFormat="1" applyFont="1" applyFill="1" applyBorder="1" applyAlignment="1" applyProtection="1">
      <alignment vertical="top"/>
      <protection locked="0"/>
    </xf>
    <xf numFmtId="165" fontId="4" fillId="10" borderId="0" xfId="2" applyNumberFormat="1" applyFont="1" applyFill="1" applyBorder="1" applyAlignment="1" applyProtection="1">
      <alignment vertical="top"/>
      <protection locked="0"/>
    </xf>
    <xf numFmtId="0" fontId="6" fillId="0" borderId="0" xfId="0" applyFont="1" applyBorder="1" applyAlignment="1" applyProtection="1">
      <alignment vertical="top"/>
    </xf>
    <xf numFmtId="164" fontId="6" fillId="0" borderId="0" xfId="1" applyNumberFormat="1" applyFont="1" applyAlignment="1" applyProtection="1">
      <alignment vertical="top"/>
    </xf>
    <xf numFmtId="0" fontId="6" fillId="0" borderId="0" xfId="0" applyFont="1" applyBorder="1" applyAlignment="1" applyProtection="1">
      <alignment horizontal="right" vertical="top"/>
    </xf>
    <xf numFmtId="0" fontId="6" fillId="0" borderId="0" xfId="0" applyFont="1" applyAlignment="1" applyProtection="1">
      <alignment vertical="top"/>
    </xf>
    <xf numFmtId="0" fontId="4" fillId="0" borderId="0" xfId="0" applyFont="1" applyBorder="1" applyAlignment="1" applyProtection="1">
      <alignment wrapText="1"/>
    </xf>
    <xf numFmtId="9" fontId="4" fillId="10" borderId="0" xfId="2" applyFont="1" applyFill="1" applyBorder="1" applyAlignment="1" applyProtection="1">
      <alignment horizontal="right" vertical="center" wrapText="1"/>
      <protection locked="0"/>
    </xf>
    <xf numFmtId="6" fontId="4" fillId="10" borderId="0" xfId="0" applyNumberFormat="1" applyFont="1" applyFill="1" applyProtection="1">
      <protection locked="0"/>
    </xf>
    <xf numFmtId="6" fontId="4" fillId="0" borderId="0" xfId="0" applyNumberFormat="1" applyFont="1" applyFill="1" applyProtection="1"/>
    <xf numFmtId="164" fontId="22" fillId="0" borderId="0" xfId="1" applyNumberFormat="1" applyFont="1" applyFill="1" applyAlignment="1" applyProtection="1">
      <alignment vertical="top"/>
    </xf>
    <xf numFmtId="0" fontId="17" fillId="11" borderId="0" xfId="0" applyFont="1" applyFill="1" applyBorder="1" applyAlignment="1" applyProtection="1">
      <alignment vertical="top"/>
    </xf>
    <xf numFmtId="164" fontId="23" fillId="11" borderId="0" xfId="1" applyNumberFormat="1" applyFont="1" applyFill="1" applyBorder="1" applyAlignment="1" applyProtection="1">
      <alignment vertical="top"/>
    </xf>
    <xf numFmtId="0" fontId="6" fillId="11" borderId="0" xfId="0" applyFont="1" applyFill="1" applyBorder="1" applyAlignment="1" applyProtection="1">
      <alignment vertical="top"/>
    </xf>
    <xf numFmtId="0" fontId="6" fillId="11" borderId="0" xfId="0" applyFont="1" applyFill="1" applyBorder="1" applyAlignment="1" applyProtection="1">
      <alignment horizontal="right" vertical="top"/>
    </xf>
    <xf numFmtId="164" fontId="22" fillId="11" borderId="0" xfId="1" applyNumberFormat="1" applyFont="1" applyFill="1" applyAlignment="1" applyProtection="1">
      <alignment vertical="top"/>
    </xf>
    <xf numFmtId="0" fontId="4" fillId="0" borderId="0" xfId="0" applyFont="1" applyBorder="1" applyAlignment="1" applyProtection="1">
      <alignment vertical="top"/>
    </xf>
    <xf numFmtId="164" fontId="4" fillId="12" borderId="0" xfId="1" applyNumberFormat="1" applyFont="1" applyFill="1" applyBorder="1" applyAlignment="1" applyProtection="1">
      <alignment vertical="top"/>
      <protection locked="0"/>
    </xf>
    <xf numFmtId="0" fontId="4" fillId="0" borderId="0" xfId="0" applyFont="1" applyBorder="1" applyAlignment="1" applyProtection="1">
      <alignment horizontal="right" vertical="top"/>
    </xf>
    <xf numFmtId="9" fontId="4" fillId="12" borderId="0" xfId="2" applyFont="1" applyFill="1" applyBorder="1" applyAlignment="1" applyProtection="1">
      <alignment vertical="top"/>
      <protection locked="0"/>
    </xf>
    <xf numFmtId="164" fontId="24" fillId="0" borderId="0" xfId="1" applyNumberFormat="1" applyFont="1" applyBorder="1" applyAlignment="1" applyProtection="1">
      <alignment vertical="top"/>
    </xf>
    <xf numFmtId="0" fontId="6" fillId="0" borderId="0" xfId="0" applyFont="1" applyFill="1" applyProtection="1"/>
    <xf numFmtId="0" fontId="1" fillId="13" borderId="0" xfId="0" applyFont="1" applyFill="1"/>
    <xf numFmtId="0" fontId="4" fillId="0" borderId="0" xfId="0" applyFont="1" applyAlignment="1">
      <alignment horizontal="left" indent="2"/>
    </xf>
    <xf numFmtId="0" fontId="4" fillId="0" borderId="0" xfId="0" applyFont="1" applyAlignment="1">
      <alignment horizontal="left" indent="3"/>
    </xf>
    <xf numFmtId="0" fontId="1" fillId="0" borderId="0" xfId="0" applyFont="1" applyAlignment="1">
      <alignment horizontal="left" indent="1"/>
    </xf>
    <xf numFmtId="0" fontId="26" fillId="0" borderId="0" xfId="0" applyFont="1" applyAlignment="1">
      <alignment horizontal="center" wrapText="1"/>
    </xf>
    <xf numFmtId="9" fontId="4" fillId="12" borderId="3" xfId="2" applyFont="1" applyFill="1" applyBorder="1"/>
    <xf numFmtId="9" fontId="4" fillId="12" borderId="5" xfId="2" applyFont="1" applyFill="1" applyBorder="1"/>
    <xf numFmtId="9" fontId="4" fillId="7" borderId="3" xfId="2" applyFont="1" applyFill="1" applyBorder="1"/>
    <xf numFmtId="0" fontId="4" fillId="0" borderId="0" xfId="0" applyFont="1" applyBorder="1" applyAlignment="1">
      <alignment horizontal="left" indent="2"/>
    </xf>
    <xf numFmtId="0" fontId="1" fillId="0" borderId="0" xfId="0" applyFont="1" applyBorder="1"/>
    <xf numFmtId="0" fontId="0" fillId="0" borderId="0" xfId="0" applyBorder="1"/>
    <xf numFmtId="0" fontId="1" fillId="0" borderId="0" xfId="0" applyFont="1" applyBorder="1" applyAlignment="1">
      <alignment horizontal="center" wrapText="1"/>
    </xf>
    <xf numFmtId="0" fontId="1" fillId="0" borderId="0" xfId="0" applyFont="1" applyBorder="1" applyAlignment="1">
      <alignment horizontal="left"/>
    </xf>
    <xf numFmtId="0" fontId="1" fillId="0" borderId="0" xfId="0" applyFont="1" applyFill="1"/>
    <xf numFmtId="0" fontId="1" fillId="3" borderId="7" xfId="0" applyFont="1" applyFill="1" applyBorder="1"/>
    <xf numFmtId="0" fontId="4" fillId="0" borderId="0" xfId="0" applyFont="1" applyFill="1"/>
    <xf numFmtId="0" fontId="3" fillId="2" borderId="0" xfId="0" applyFont="1" applyFill="1" applyBorder="1"/>
    <xf numFmtId="0" fontId="3" fillId="0" borderId="0" xfId="0" applyFont="1" applyFill="1"/>
    <xf numFmtId="0" fontId="21" fillId="0" borderId="0" xfId="17" applyFont="1"/>
    <xf numFmtId="0" fontId="27" fillId="0" borderId="0" xfId="17"/>
    <xf numFmtId="0" fontId="28" fillId="0" borderId="1" xfId="17" applyFont="1" applyBorder="1" applyAlignment="1">
      <alignment wrapText="1"/>
    </xf>
    <xf numFmtId="0" fontId="21" fillId="0" borderId="1" xfId="17" applyFont="1" applyBorder="1"/>
    <xf numFmtId="166" fontId="21" fillId="0" borderId="1" xfId="17" applyNumberFormat="1" applyFont="1" applyBorder="1"/>
    <xf numFmtId="166" fontId="27" fillId="0" borderId="0" xfId="17" applyNumberFormat="1"/>
    <xf numFmtId="0" fontId="2" fillId="0" borderId="0" xfId="0" applyFont="1" applyFill="1"/>
    <xf numFmtId="0" fontId="1" fillId="0" borderId="0" xfId="0" applyFont="1" applyAlignment="1">
      <alignment horizontal="left"/>
    </xf>
    <xf numFmtId="0" fontId="4" fillId="0" borderId="0" xfId="0" applyFont="1" applyBorder="1" applyAlignment="1">
      <alignment horizontal="left" indent="3"/>
    </xf>
    <xf numFmtId="0" fontId="6" fillId="0" borderId="0" xfId="0" applyFont="1"/>
    <xf numFmtId="0" fontId="0" fillId="0" borderId="0" xfId="0" applyBorder="1" applyAlignment="1"/>
    <xf numFmtId="0" fontId="17" fillId="14" borderId="1" xfId="0" applyFont="1" applyFill="1" applyBorder="1" applyAlignment="1">
      <alignment horizontal="left" vertical="center" wrapText="1"/>
    </xf>
    <xf numFmtId="0" fontId="6" fillId="0" borderId="0" xfId="0" applyFont="1" applyBorder="1" applyAlignment="1"/>
    <xf numFmtId="0" fontId="17" fillId="0" borderId="0" xfId="0" applyFont="1"/>
    <xf numFmtId="0" fontId="1" fillId="0" borderId="0" xfId="0" applyFont="1" applyAlignment="1">
      <alignment wrapText="1"/>
    </xf>
    <xf numFmtId="0" fontId="1" fillId="0" borderId="0" xfId="0" applyFont="1" applyAlignment="1"/>
    <xf numFmtId="0" fontId="17" fillId="14" borderId="1" xfId="0" applyFont="1" applyFill="1" applyBorder="1" applyAlignment="1">
      <alignment horizontal="center" wrapText="1"/>
    </xf>
    <xf numFmtId="0" fontId="3" fillId="13" borderId="0" xfId="0" applyFont="1" applyFill="1"/>
    <xf numFmtId="0" fontId="2" fillId="13" borderId="0" xfId="0" applyFont="1" applyFill="1"/>
    <xf numFmtId="0" fontId="6" fillId="0" borderId="1" xfId="0" applyFont="1" applyBorder="1" applyAlignment="1">
      <alignment vertical="top"/>
    </xf>
    <xf numFmtId="0" fontId="6" fillId="0" borderId="1" xfId="0" applyFont="1" applyBorder="1" applyAlignment="1">
      <alignment vertical="top" wrapText="1"/>
    </xf>
    <xf numFmtId="0" fontId="17" fillId="15" borderId="1" xfId="0" applyFont="1" applyFill="1" applyBorder="1" applyAlignment="1">
      <alignment vertical="center"/>
    </xf>
    <xf numFmtId="0" fontId="17" fillId="15" borderId="1" xfId="0" applyFont="1" applyFill="1" applyBorder="1" applyAlignment="1">
      <alignment vertical="center" wrapText="1"/>
    </xf>
    <xf numFmtId="9" fontId="4" fillId="7" borderId="11" xfId="2" applyFont="1" applyFill="1" applyBorder="1"/>
    <xf numFmtId="0" fontId="0" fillId="0" borderId="0" xfId="0" applyFill="1"/>
    <xf numFmtId="0" fontId="0" fillId="0" borderId="0" xfId="0" applyBorder="1" applyAlignment="1">
      <alignment vertical="top"/>
    </xf>
    <xf numFmtId="0" fontId="6" fillId="0" borderId="1" xfId="0" applyFont="1" applyBorder="1" applyAlignment="1">
      <alignment horizontal="left" vertical="top" wrapText="1"/>
    </xf>
    <xf numFmtId="0" fontId="30" fillId="2" borderId="0" xfId="0" applyFont="1" applyFill="1"/>
    <xf numFmtId="0" fontId="31" fillId="2" borderId="0" xfId="0" applyFont="1" applyFill="1"/>
    <xf numFmtId="0" fontId="17" fillId="10" borderId="0" xfId="0" applyFont="1" applyFill="1"/>
    <xf numFmtId="0" fontId="6" fillId="10" borderId="0" xfId="0" applyFont="1" applyFill="1"/>
    <xf numFmtId="0" fontId="4" fillId="0" borderId="1" xfId="0" applyFont="1" applyBorder="1" applyAlignment="1">
      <alignment vertical="top"/>
    </xf>
    <xf numFmtId="0" fontId="4" fillId="0" borderId="1" xfId="0" applyFont="1" applyBorder="1" applyAlignment="1">
      <alignment vertical="top" wrapText="1"/>
    </xf>
    <xf numFmtId="0" fontId="4" fillId="0" borderId="1" xfId="0" applyFont="1" applyFill="1" applyBorder="1" applyAlignment="1">
      <alignment vertical="center"/>
    </xf>
    <xf numFmtId="0" fontId="4" fillId="0" borderId="1" xfId="0" applyFont="1" applyFill="1" applyBorder="1" applyAlignment="1">
      <alignment vertical="center" wrapText="1"/>
    </xf>
    <xf numFmtId="0" fontId="4" fillId="0" borderId="1" xfId="0" applyFont="1" applyBorder="1" applyAlignment="1">
      <alignment horizontal="left" vertical="top" wrapText="1" indent="2"/>
    </xf>
    <xf numFmtId="0" fontId="4" fillId="0" borderId="1" xfId="0" applyFont="1" applyFill="1" applyBorder="1" applyAlignment="1">
      <alignment vertical="top"/>
    </xf>
    <xf numFmtId="0" fontId="1" fillId="0" borderId="1" xfId="0" applyFont="1" applyBorder="1" applyAlignment="1">
      <alignment horizontal="left" vertical="top" wrapText="1"/>
    </xf>
    <xf numFmtId="164" fontId="4" fillId="12" borderId="3" xfId="1" applyNumberFormat="1" applyFont="1" applyFill="1" applyBorder="1"/>
    <xf numFmtId="0" fontId="32" fillId="0" borderId="0" xfId="0" applyFont="1" applyAlignment="1">
      <alignment horizontal="center" vertical="center" wrapText="1"/>
    </xf>
    <xf numFmtId="0" fontId="33" fillId="0" borderId="0" xfId="0" applyFont="1" applyFill="1"/>
    <xf numFmtId="0" fontId="20" fillId="0" borderId="1" xfId="0" applyFont="1" applyFill="1" applyBorder="1" applyAlignment="1">
      <alignment vertical="top" wrapText="1"/>
    </xf>
    <xf numFmtId="0" fontId="1" fillId="0" borderId="1" xfId="0" applyFont="1" applyBorder="1" applyAlignment="1">
      <alignment vertical="top"/>
    </xf>
    <xf numFmtId="0" fontId="0" fillId="0" borderId="0" xfId="0" applyBorder="1" applyAlignment="1">
      <alignment wrapText="1"/>
    </xf>
    <xf numFmtId="0" fontId="17" fillId="14" borderId="13" xfId="0" applyFont="1" applyFill="1" applyBorder="1" applyAlignment="1">
      <alignment horizontal="left" vertical="center" wrapText="1"/>
    </xf>
    <xf numFmtId="0" fontId="0" fillId="0" borderId="0" xfId="0" applyBorder="1" applyAlignment="1">
      <alignment vertical="center"/>
    </xf>
    <xf numFmtId="0" fontId="6" fillId="0" borderId="1" xfId="0" applyFont="1" applyBorder="1" applyAlignment="1">
      <alignment horizontal="left" vertical="top"/>
    </xf>
    <xf numFmtId="0" fontId="17" fillId="14" borderId="1" xfId="0" applyFont="1" applyFill="1" applyBorder="1" applyAlignment="1">
      <alignment horizontal="left" vertical="top" wrapText="1"/>
    </xf>
    <xf numFmtId="0" fontId="17" fillId="14" borderId="1" xfId="0" applyFont="1" applyFill="1" applyBorder="1" applyAlignment="1">
      <alignment horizontal="center" vertical="top" wrapText="1"/>
    </xf>
    <xf numFmtId="0" fontId="17" fillId="14" borderId="13" xfId="0" applyFont="1" applyFill="1" applyBorder="1" applyAlignment="1">
      <alignment horizontal="left" vertical="top" wrapText="1"/>
    </xf>
    <xf numFmtId="0" fontId="17" fillId="8" borderId="1" xfId="0" applyFont="1" applyFill="1" applyBorder="1" applyAlignment="1">
      <alignment horizontal="left" vertical="center" wrapText="1"/>
    </xf>
    <xf numFmtId="0" fontId="17" fillId="8" borderId="1" xfId="0" applyFont="1" applyFill="1" applyBorder="1" applyAlignment="1">
      <alignment horizontal="center" vertical="center" wrapText="1"/>
    </xf>
    <xf numFmtId="0" fontId="1" fillId="0" borderId="1" xfId="0" applyFont="1" applyBorder="1" applyAlignment="1">
      <alignment vertical="top" wrapText="1"/>
    </xf>
    <xf numFmtId="0" fontId="4" fillId="0" borderId="0" xfId="0" applyFont="1" applyBorder="1" applyAlignment="1">
      <alignment vertical="top"/>
    </xf>
    <xf numFmtId="0" fontId="1" fillId="0" borderId="0" xfId="0" applyFont="1" applyBorder="1" applyAlignment="1">
      <alignment vertical="top" wrapText="1"/>
    </xf>
    <xf numFmtId="0" fontId="4" fillId="0" borderId="0" xfId="0" applyFont="1" applyBorder="1" applyAlignment="1">
      <alignment vertical="top" wrapText="1"/>
    </xf>
    <xf numFmtId="0" fontId="1" fillId="0" borderId="1" xfId="0" applyFont="1" applyBorder="1" applyAlignment="1">
      <alignment horizontal="left" vertical="top"/>
    </xf>
    <xf numFmtId="0" fontId="1" fillId="0" borderId="1" xfId="0" applyFont="1" applyFill="1" applyBorder="1" applyAlignment="1">
      <alignment vertical="top"/>
    </xf>
    <xf numFmtId="0" fontId="4" fillId="0" borderId="0" xfId="0" applyFont="1" applyAlignment="1"/>
    <xf numFmtId="0" fontId="17" fillId="0" borderId="1" xfId="0" applyFont="1" applyFill="1" applyBorder="1" applyAlignment="1">
      <alignment vertical="center"/>
    </xf>
    <xf numFmtId="0" fontId="17" fillId="0" borderId="1" xfId="0" applyFont="1" applyFill="1" applyBorder="1" applyAlignment="1">
      <alignment vertical="center" wrapText="1"/>
    </xf>
    <xf numFmtId="0" fontId="34" fillId="0" borderId="0" xfId="0" applyFont="1"/>
    <xf numFmtId="164" fontId="4" fillId="10" borderId="0" xfId="1" applyNumberFormat="1" applyFont="1" applyFill="1" applyProtection="1">
      <protection locked="0"/>
    </xf>
    <xf numFmtId="6" fontId="1" fillId="7" borderId="0" xfId="0" applyNumberFormat="1" applyFont="1" applyFill="1" applyProtection="1"/>
    <xf numFmtId="6" fontId="4" fillId="7" borderId="0" xfId="0" applyNumberFormat="1" applyFont="1" applyFill="1" applyProtection="1">
      <protection locked="0"/>
    </xf>
    <xf numFmtId="0" fontId="15" fillId="0" borderId="0" xfId="0" applyFont="1" applyAlignment="1" applyProtection="1">
      <alignment horizontal="left" vertical="center" indent="4"/>
    </xf>
    <xf numFmtId="164" fontId="8" fillId="0" borderId="1" xfId="1" applyNumberFormat="1" applyFont="1" applyBorder="1" applyAlignment="1">
      <alignment horizontal="right"/>
    </xf>
    <xf numFmtId="0" fontId="35" fillId="0" borderId="0" xfId="3" applyFont="1" applyAlignment="1">
      <alignment horizontal="center"/>
    </xf>
    <xf numFmtId="0" fontId="8" fillId="8" borderId="1" xfId="6" applyFill="1" applyBorder="1" applyAlignment="1">
      <alignment horizontal="centerContinuous" vertical="center" wrapText="1"/>
    </xf>
    <xf numFmtId="0" fontId="8" fillId="16" borderId="1" xfId="6" applyFill="1" applyBorder="1" applyAlignment="1">
      <alignment horizontal="centerContinuous" vertical="center" wrapText="1"/>
    </xf>
    <xf numFmtId="0" fontId="8" fillId="16" borderId="9" xfId="6" applyFill="1" applyBorder="1" applyAlignment="1">
      <alignment horizontal="centerContinuous" vertical="center" wrapText="1"/>
    </xf>
    <xf numFmtId="164" fontId="35" fillId="0" borderId="15" xfId="3" applyNumberFormat="1" applyFont="1" applyBorder="1" applyAlignment="1">
      <alignment horizontal="center"/>
    </xf>
    <xf numFmtId="164" fontId="35" fillId="0" borderId="0" xfId="3" applyNumberFormat="1" applyFont="1" applyBorder="1" applyAlignment="1">
      <alignment horizontal="center"/>
    </xf>
    <xf numFmtId="164" fontId="35" fillId="0" borderId="16" xfId="3" applyNumberFormat="1" applyFont="1" applyBorder="1" applyAlignment="1">
      <alignment horizontal="center"/>
    </xf>
    <xf numFmtId="0" fontId="35" fillId="8" borderId="2" xfId="3" applyFont="1" applyFill="1" applyBorder="1" applyAlignment="1">
      <alignment horizontal="centerContinuous"/>
    </xf>
    <xf numFmtId="0" fontId="35" fillId="8" borderId="9" xfId="3" applyFont="1" applyFill="1" applyBorder="1" applyAlignment="1">
      <alignment horizontal="centerContinuous"/>
    </xf>
    <xf numFmtId="0" fontId="35" fillId="16" borderId="2" xfId="3" applyFont="1" applyFill="1" applyBorder="1" applyAlignment="1">
      <alignment horizontal="centerContinuous"/>
    </xf>
    <xf numFmtId="0" fontId="35" fillId="16" borderId="9" xfId="3" applyFont="1" applyFill="1" applyBorder="1" applyAlignment="1">
      <alignment horizontal="centerContinuous"/>
    </xf>
    <xf numFmtId="0" fontId="36" fillId="3" borderId="8" xfId="3" applyFont="1" applyFill="1" applyBorder="1" applyAlignment="1">
      <alignment horizontal="center" vertical="center" wrapText="1"/>
    </xf>
    <xf numFmtId="0" fontId="36" fillId="3" borderId="2" xfId="3" applyFont="1" applyFill="1" applyBorder="1" applyAlignment="1">
      <alignment horizontal="center" vertical="center" wrapText="1"/>
    </xf>
    <xf numFmtId="0" fontId="36" fillId="3" borderId="9" xfId="3" applyFont="1" applyFill="1" applyBorder="1" applyAlignment="1">
      <alignment horizontal="center" vertical="center" wrapText="1"/>
    </xf>
    <xf numFmtId="164" fontId="35" fillId="0" borderId="18" xfId="3" applyNumberFormat="1" applyFont="1" applyBorder="1" applyAlignment="1">
      <alignment horizontal="center"/>
    </xf>
    <xf numFmtId="164" fontId="35" fillId="0" borderId="4" xfId="3" applyNumberFormat="1" applyFont="1" applyBorder="1" applyAlignment="1">
      <alignment horizontal="center"/>
    </xf>
    <xf numFmtId="164" fontId="35" fillId="0" borderId="14" xfId="3" applyNumberFormat="1" applyFont="1" applyBorder="1" applyAlignment="1">
      <alignment horizontal="center"/>
    </xf>
    <xf numFmtId="9" fontId="4" fillId="12" borderId="3" xfId="2" applyFont="1" applyFill="1" applyBorder="1" applyAlignment="1">
      <alignment horizontal="center"/>
    </xf>
    <xf numFmtId="0" fontId="8" fillId="8" borderId="1" xfId="5" applyFill="1" applyBorder="1">
      <alignment horizontal="left" vertical="center" wrapText="1"/>
    </xf>
    <xf numFmtId="1" fontId="8" fillId="8" borderId="1" xfId="4" applyNumberFormat="1" applyFill="1" applyBorder="1">
      <alignment horizontal="right"/>
    </xf>
    <xf numFmtId="1" fontId="8" fillId="0" borderId="19" xfId="4" applyNumberFormat="1" applyBorder="1">
      <alignment horizontal="right"/>
    </xf>
    <xf numFmtId="164" fontId="8" fillId="0" borderId="19" xfId="1" applyNumberFormat="1" applyFont="1" applyBorder="1" applyAlignment="1">
      <alignment horizontal="right"/>
    </xf>
    <xf numFmtId="0" fontId="9" fillId="0" borderId="2" xfId="3" applyFont="1" applyBorder="1"/>
    <xf numFmtId="164" fontId="36" fillId="0" borderId="2" xfId="3" applyNumberFormat="1" applyFont="1" applyBorder="1" applyAlignment="1">
      <alignment horizontal="center"/>
    </xf>
    <xf numFmtId="0" fontId="8" fillId="8" borderId="13" xfId="5" applyFill="1" applyBorder="1">
      <alignment horizontal="left" vertical="center" wrapText="1"/>
    </xf>
    <xf numFmtId="1" fontId="8" fillId="8" borderId="13" xfId="4" applyNumberFormat="1" applyFill="1" applyBorder="1">
      <alignment horizontal="right"/>
    </xf>
    <xf numFmtId="0" fontId="4" fillId="17" borderId="0" xfId="0" applyFont="1" applyFill="1"/>
    <xf numFmtId="0" fontId="4" fillId="18" borderId="0" xfId="0" applyFont="1" applyFill="1"/>
    <xf numFmtId="0" fontId="4" fillId="18" borderId="0" xfId="0" applyFont="1" applyFill="1" applyBorder="1"/>
    <xf numFmtId="0" fontId="4" fillId="0" borderId="18" xfId="0" applyFont="1" applyBorder="1" applyAlignment="1">
      <alignment horizontal="left" indent="2"/>
    </xf>
    <xf numFmtId="0" fontId="4" fillId="0" borderId="4" xfId="0" applyFont="1" applyBorder="1"/>
    <xf numFmtId="0" fontId="4" fillId="0" borderId="15" xfId="0" applyFont="1" applyBorder="1" applyAlignment="1">
      <alignment horizontal="left" indent="2"/>
    </xf>
    <xf numFmtId="0" fontId="4" fillId="0" borderId="17" xfId="0" applyFont="1" applyBorder="1" applyAlignment="1">
      <alignment horizontal="left" indent="2"/>
    </xf>
    <xf numFmtId="0" fontId="4" fillId="0" borderId="7" xfId="0" applyFont="1" applyBorder="1"/>
    <xf numFmtId="43" fontId="4" fillId="7" borderId="20" xfId="1" applyFont="1" applyFill="1" applyBorder="1"/>
    <xf numFmtId="164" fontId="4" fillId="7" borderId="11" xfId="1" applyNumberFormat="1" applyFont="1" applyFill="1" applyBorder="1"/>
    <xf numFmtId="43" fontId="4" fillId="7" borderId="21" xfId="1" applyFont="1" applyFill="1" applyBorder="1"/>
    <xf numFmtId="164" fontId="4" fillId="0" borderId="0" xfId="0" applyNumberFormat="1" applyFont="1"/>
    <xf numFmtId="164" fontId="1" fillId="0" borderId="8" xfId="0" applyNumberFormat="1" applyFont="1" applyBorder="1"/>
    <xf numFmtId="164" fontId="4" fillId="7" borderId="11" xfId="2" applyNumberFormat="1" applyFont="1" applyFill="1" applyBorder="1"/>
    <xf numFmtId="43" fontId="4" fillId="12" borderId="3" xfId="1" applyFont="1" applyFill="1" applyBorder="1"/>
    <xf numFmtId="167" fontId="4" fillId="12" borderId="3" xfId="18" applyNumberFormat="1" applyFont="1" applyFill="1" applyBorder="1"/>
    <xf numFmtId="164" fontId="4" fillId="7" borderId="3" xfId="1" applyNumberFormat="1" applyFont="1" applyFill="1" applyBorder="1"/>
    <xf numFmtId="6" fontId="4" fillId="0" borderId="0" xfId="0" applyNumberFormat="1" applyFont="1"/>
    <xf numFmtId="164" fontId="4" fillId="0" borderId="0" xfId="1" applyNumberFormat="1" applyFont="1"/>
    <xf numFmtId="164" fontId="4" fillId="7" borderId="0" xfId="1" applyNumberFormat="1" applyFont="1" applyFill="1" applyProtection="1">
      <protection locked="0"/>
    </xf>
    <xf numFmtId="8" fontId="4" fillId="10" borderId="0" xfId="0" applyNumberFormat="1" applyFont="1" applyFill="1" applyProtection="1">
      <protection locked="0"/>
    </xf>
    <xf numFmtId="167" fontId="4" fillId="0" borderId="0" xfId="18" applyNumberFormat="1" applyFont="1"/>
    <xf numFmtId="8" fontId="4" fillId="0" borderId="0" xfId="0" applyNumberFormat="1" applyFont="1"/>
    <xf numFmtId="0" fontId="37" fillId="0" borderId="0" xfId="0" applyFont="1" applyAlignment="1">
      <alignment horizontal="left" indent="1"/>
    </xf>
    <xf numFmtId="0" fontId="38" fillId="13" borderId="0" xfId="0" applyFont="1" applyFill="1" applyBorder="1" applyAlignment="1" applyProtection="1">
      <alignment vertical="top"/>
    </xf>
    <xf numFmtId="164" fontId="19" fillId="13" borderId="0" xfId="1" applyNumberFormat="1" applyFont="1" applyFill="1" applyBorder="1" applyAlignment="1" applyProtection="1">
      <alignment vertical="top"/>
    </xf>
    <xf numFmtId="0" fontId="19" fillId="13" borderId="0" xfId="0" applyFont="1" applyFill="1" applyBorder="1" applyAlignment="1" applyProtection="1">
      <alignment vertical="top"/>
    </xf>
    <xf numFmtId="0" fontId="19" fillId="13" borderId="0" xfId="0" applyFont="1" applyFill="1" applyBorder="1" applyAlignment="1" applyProtection="1">
      <alignment horizontal="right" vertical="top"/>
    </xf>
    <xf numFmtId="164" fontId="19" fillId="13" borderId="0" xfId="1" applyNumberFormat="1" applyFont="1" applyFill="1" applyAlignment="1" applyProtection="1">
      <alignment vertical="top"/>
    </xf>
    <xf numFmtId="0" fontId="19" fillId="13" borderId="0" xfId="0" applyFont="1" applyFill="1" applyProtection="1"/>
    <xf numFmtId="0" fontId="37" fillId="0" borderId="0" xfId="0" applyFont="1" applyProtection="1"/>
    <xf numFmtId="0" fontId="4" fillId="19" borderId="0" xfId="0" applyFont="1" applyFill="1"/>
    <xf numFmtId="0" fontId="4" fillId="19" borderId="0" xfId="0" applyFont="1" applyFill="1" applyBorder="1"/>
    <xf numFmtId="164" fontId="1" fillId="7" borderId="10" xfId="2" applyNumberFormat="1" applyFont="1" applyFill="1" applyBorder="1"/>
    <xf numFmtId="43" fontId="4" fillId="0" borderId="0" xfId="1" applyFont="1"/>
    <xf numFmtId="1" fontId="4" fillId="0" borderId="0" xfId="0" applyNumberFormat="1" applyFont="1"/>
    <xf numFmtId="0" fontId="10" fillId="0" borderId="8" xfId="3" applyFont="1" applyBorder="1"/>
    <xf numFmtId="1" fontId="10" fillId="0" borderId="2" xfId="3" applyNumberFormat="1" applyFont="1" applyBorder="1"/>
    <xf numFmtId="0" fontId="4" fillId="7" borderId="1" xfId="0" applyFont="1" applyFill="1" applyBorder="1"/>
    <xf numFmtId="8" fontId="4" fillId="7" borderId="0" xfId="0" applyNumberFormat="1" applyFont="1" applyFill="1" applyProtection="1">
      <protection locked="0"/>
    </xf>
    <xf numFmtId="6" fontId="4" fillId="7" borderId="3" xfId="2" applyNumberFormat="1" applyFont="1" applyFill="1" applyBorder="1"/>
    <xf numFmtId="6" fontId="1" fillId="7" borderId="10" xfId="2" applyNumberFormat="1" applyFont="1" applyFill="1" applyBorder="1"/>
    <xf numFmtId="43" fontId="4" fillId="12" borderId="3" xfId="1" applyFont="1" applyFill="1" applyBorder="1" applyAlignment="1">
      <alignment horizontal="center"/>
    </xf>
    <xf numFmtId="0" fontId="1" fillId="18" borderId="0" xfId="0" applyFont="1" applyFill="1"/>
    <xf numFmtId="43" fontId="4" fillId="0" borderId="0" xfId="0" applyNumberFormat="1" applyFont="1"/>
    <xf numFmtId="0" fontId="39" fillId="0" borderId="0" xfId="0" applyFont="1" applyFill="1" applyBorder="1"/>
    <xf numFmtId="0" fontId="4" fillId="0" borderId="0" xfId="0" applyFont="1" applyFill="1" applyBorder="1" applyAlignment="1">
      <alignment horizontal="left" indent="2"/>
    </xf>
    <xf numFmtId="44" fontId="4" fillId="12" borderId="3" xfId="18" applyFont="1" applyFill="1" applyBorder="1"/>
    <xf numFmtId="168" fontId="15" fillId="7" borderId="3" xfId="0" applyNumberFormat="1" applyFont="1" applyFill="1" applyBorder="1" applyProtection="1"/>
    <xf numFmtId="0" fontId="4" fillId="8" borderId="0" xfId="0" applyFont="1" applyFill="1"/>
    <xf numFmtId="0" fontId="4" fillId="0" borderId="3" xfId="0" applyFont="1" applyBorder="1" applyAlignment="1">
      <alignment horizontal="left" indent="2"/>
    </xf>
    <xf numFmtId="0" fontId="4" fillId="0" borderId="3" xfId="0" applyFont="1" applyBorder="1"/>
    <xf numFmtId="0" fontId="4" fillId="0" borderId="3" xfId="0" applyFont="1" applyFill="1" applyBorder="1" applyAlignment="1">
      <alignment horizontal="left" indent="2"/>
    </xf>
    <xf numFmtId="43" fontId="4" fillId="0" borderId="3" xfId="0" applyNumberFormat="1" applyFont="1" applyBorder="1"/>
    <xf numFmtId="164" fontId="4" fillId="7" borderId="3" xfId="2" applyNumberFormat="1" applyFont="1" applyFill="1" applyBorder="1"/>
    <xf numFmtId="0" fontId="1" fillId="8" borderId="0" xfId="0" applyFont="1" applyFill="1"/>
    <xf numFmtId="164" fontId="4" fillId="12" borderId="6" xfId="1" applyNumberFormat="1" applyFont="1" applyFill="1" applyBorder="1"/>
    <xf numFmtId="0" fontId="4" fillId="0" borderId="17" xfId="0" applyFont="1" applyBorder="1"/>
    <xf numFmtId="170" fontId="1" fillId="7" borderId="23" xfId="1" applyNumberFormat="1" applyFont="1" applyFill="1" applyBorder="1"/>
    <xf numFmtId="170" fontId="1" fillId="7" borderId="24" xfId="1" applyNumberFormat="1" applyFont="1" applyFill="1" applyBorder="1"/>
    <xf numFmtId="167" fontId="1" fillId="7" borderId="10" xfId="18" applyNumberFormat="1" applyFont="1" applyFill="1" applyBorder="1"/>
    <xf numFmtId="0" fontId="4" fillId="20" borderId="0" xfId="0" applyFont="1" applyFill="1"/>
    <xf numFmtId="0" fontId="1" fillId="20" borderId="0" xfId="0" applyFont="1" applyFill="1"/>
    <xf numFmtId="0" fontId="4" fillId="0" borderId="12" xfId="0" applyFont="1" applyBorder="1" applyAlignment="1">
      <alignment horizontal="left"/>
    </xf>
    <xf numFmtId="6" fontId="1" fillId="7" borderId="22" xfId="2" applyNumberFormat="1" applyFont="1" applyFill="1" applyBorder="1"/>
    <xf numFmtId="9" fontId="4" fillId="12" borderId="25" xfId="2" applyFont="1" applyFill="1" applyBorder="1"/>
    <xf numFmtId="167" fontId="4" fillId="7" borderId="3" xfId="18" applyNumberFormat="1" applyFont="1" applyFill="1" applyBorder="1"/>
    <xf numFmtId="8" fontId="4" fillId="0" borderId="7" xfId="0" applyNumberFormat="1" applyFont="1" applyBorder="1"/>
    <xf numFmtId="43" fontId="4" fillId="13" borderId="3" xfId="1" applyFont="1" applyFill="1" applyBorder="1"/>
    <xf numFmtId="170" fontId="1" fillId="13" borderId="23" xfId="1" applyNumberFormat="1" applyFont="1" applyFill="1" applyBorder="1"/>
    <xf numFmtId="170" fontId="1" fillId="13" borderId="22" xfId="1" applyNumberFormat="1" applyFont="1" applyFill="1" applyBorder="1"/>
    <xf numFmtId="170" fontId="1" fillId="13" borderId="24" xfId="1" applyNumberFormat="1" applyFont="1" applyFill="1" applyBorder="1"/>
    <xf numFmtId="170" fontId="1" fillId="13" borderId="4" xfId="1" applyNumberFormat="1" applyFont="1" applyFill="1" applyBorder="1"/>
    <xf numFmtId="170" fontId="1" fillId="13" borderId="14" xfId="1" applyNumberFormat="1" applyFont="1" applyFill="1" applyBorder="1"/>
    <xf numFmtId="8" fontId="1" fillId="7" borderId="23" xfId="2" applyNumberFormat="1" applyFont="1" applyFill="1" applyBorder="1"/>
    <xf numFmtId="167" fontId="1" fillId="7" borderId="10" xfId="2" applyNumberFormat="1" applyFont="1" applyFill="1" applyBorder="1"/>
    <xf numFmtId="169" fontId="4" fillId="7" borderId="3" xfId="1" applyNumberFormat="1" applyFont="1" applyFill="1" applyBorder="1"/>
    <xf numFmtId="167" fontId="1" fillId="7" borderId="0" xfId="2" applyNumberFormat="1" applyFont="1" applyFill="1" applyBorder="1"/>
    <xf numFmtId="0" fontId="6" fillId="0" borderId="0" xfId="0" applyFont="1" applyAlignment="1">
      <alignment horizontal="left"/>
    </xf>
    <xf numFmtId="44" fontId="4" fillId="0" borderId="0" xfId="18" applyFont="1"/>
    <xf numFmtId="44" fontId="4" fillId="0" borderId="4" xfId="18" applyFont="1" applyBorder="1"/>
    <xf numFmtId="167" fontId="1" fillId="7" borderId="22" xfId="2" applyNumberFormat="1" applyFont="1" applyFill="1" applyBorder="1"/>
    <xf numFmtId="167" fontId="4" fillId="7" borderId="26" xfId="2" applyNumberFormat="1" applyFont="1" applyFill="1" applyBorder="1"/>
    <xf numFmtId="167" fontId="4" fillId="7" borderId="3" xfId="2" applyNumberFormat="1" applyFont="1" applyFill="1" applyBorder="1"/>
    <xf numFmtId="167" fontId="4" fillId="7" borderId="27" xfId="2" applyNumberFormat="1" applyFont="1" applyFill="1" applyBorder="1"/>
    <xf numFmtId="0" fontId="4" fillId="5" borderId="0" xfId="0" applyFont="1" applyFill="1"/>
    <xf numFmtId="0" fontId="1" fillId="5" borderId="0" xfId="0" applyFont="1" applyFill="1"/>
    <xf numFmtId="0" fontId="3" fillId="5" borderId="0" xfId="0" applyFont="1" applyFill="1"/>
    <xf numFmtId="0" fontId="4" fillId="5" borderId="0" xfId="0" applyFont="1" applyFill="1" applyBorder="1"/>
    <xf numFmtId="0" fontId="1" fillId="0" borderId="18" xfId="0" applyFont="1" applyBorder="1"/>
    <xf numFmtId="43" fontId="40" fillId="0" borderId="0" xfId="1" applyFont="1"/>
    <xf numFmtId="0" fontId="8" fillId="5" borderId="1" xfId="6" applyFill="1" applyBorder="1">
      <alignment horizontal="center" vertical="center" wrapText="1"/>
    </xf>
    <xf numFmtId="164" fontId="8" fillId="5" borderId="1" xfId="1" applyNumberFormat="1" applyFont="1" applyFill="1" applyBorder="1" applyAlignment="1">
      <alignment horizontal="right"/>
    </xf>
    <xf numFmtId="164" fontId="10" fillId="0" borderId="28" xfId="1" applyNumberFormat="1" applyFont="1" applyBorder="1" applyAlignment="1">
      <alignment horizontal="right"/>
    </xf>
    <xf numFmtId="0" fontId="0" fillId="18" borderId="0" xfId="0" applyFill="1"/>
    <xf numFmtId="164" fontId="4" fillId="18" borderId="0" xfId="0" applyNumberFormat="1" applyFont="1" applyFill="1"/>
    <xf numFmtId="167" fontId="1" fillId="7" borderId="3" xfId="18" applyNumberFormat="1" applyFont="1" applyFill="1" applyBorder="1"/>
    <xf numFmtId="0" fontId="4" fillId="0" borderId="0" xfId="0" applyFont="1" applyFill="1" applyAlignment="1">
      <alignment horizontal="left" indent="2"/>
    </xf>
    <xf numFmtId="167" fontId="4" fillId="7" borderId="29" xfId="18" applyNumberFormat="1" applyFont="1" applyFill="1" applyBorder="1"/>
    <xf numFmtId="43" fontId="4" fillId="0" borderId="0" xfId="1" applyFont="1" applyFill="1"/>
    <xf numFmtId="164" fontId="4" fillId="0" borderId="0" xfId="0" applyNumberFormat="1" applyFont="1" applyAlignment="1">
      <alignment horizontal="left" indent="1"/>
    </xf>
    <xf numFmtId="43" fontId="1" fillId="7" borderId="10" xfId="1" applyFont="1" applyFill="1" applyBorder="1"/>
    <xf numFmtId="43" fontId="1" fillId="7" borderId="0" xfId="1" applyFont="1" applyFill="1" applyBorder="1"/>
    <xf numFmtId="8" fontId="1" fillId="7" borderId="10" xfId="1" applyNumberFormat="1" applyFont="1" applyFill="1" applyBorder="1"/>
    <xf numFmtId="6" fontId="1" fillId="7" borderId="10" xfId="1" applyNumberFormat="1" applyFont="1" applyFill="1" applyBorder="1"/>
    <xf numFmtId="0" fontId="14" fillId="4" borderId="2" xfId="0" applyFont="1" applyFill="1" applyBorder="1" applyAlignment="1" applyProtection="1">
      <alignment horizontal="center"/>
    </xf>
    <xf numFmtId="0" fontId="1" fillId="0" borderId="7" xfId="0" applyFont="1" applyBorder="1"/>
    <xf numFmtId="6" fontId="4" fillId="7" borderId="30" xfId="0" applyNumberFormat="1" applyFont="1" applyFill="1" applyBorder="1"/>
    <xf numFmtId="167" fontId="4" fillId="0" borderId="0" xfId="0" applyNumberFormat="1" applyFont="1"/>
    <xf numFmtId="6" fontId="1" fillId="7" borderId="30" xfId="0" applyNumberFormat="1" applyFont="1" applyFill="1" applyBorder="1"/>
    <xf numFmtId="6" fontId="4" fillId="7" borderId="11" xfId="2" applyNumberFormat="1" applyFont="1" applyFill="1" applyBorder="1"/>
    <xf numFmtId="8" fontId="1" fillId="7" borderId="30" xfId="0" applyNumberFormat="1" applyFont="1" applyFill="1" applyBorder="1"/>
    <xf numFmtId="0" fontId="4" fillId="0" borderId="0" xfId="0" applyFont="1" applyProtection="1"/>
    <xf numFmtId="0" fontId="1" fillId="8" borderId="0" xfId="0" applyFont="1" applyFill="1" applyBorder="1" applyAlignment="1" applyProtection="1">
      <alignment vertical="top"/>
    </xf>
    <xf numFmtId="164" fontId="1" fillId="8" borderId="0" xfId="1" applyNumberFormat="1" applyFont="1" applyFill="1" applyBorder="1" applyAlignment="1" applyProtection="1">
      <alignment vertical="top"/>
    </xf>
    <xf numFmtId="0" fontId="1" fillId="8" borderId="0" xfId="0" applyFont="1" applyFill="1" applyBorder="1" applyAlignment="1" applyProtection="1">
      <alignment horizontal="right" vertical="top"/>
    </xf>
    <xf numFmtId="0" fontId="4" fillId="8" borderId="0" xfId="0" applyFont="1" applyFill="1" applyBorder="1" applyAlignment="1" applyProtection="1">
      <alignment horizontal="right" vertical="top"/>
    </xf>
    <xf numFmtId="0" fontId="4" fillId="8" borderId="0" xfId="0" applyFont="1" applyFill="1" applyAlignment="1" applyProtection="1">
      <alignment vertical="top"/>
    </xf>
    <xf numFmtId="6" fontId="4" fillId="7" borderId="3" xfId="0" applyNumberFormat="1" applyFont="1" applyFill="1" applyBorder="1"/>
    <xf numFmtId="6" fontId="4" fillId="7" borderId="29" xfId="0" applyNumberFormat="1" applyFont="1" applyFill="1" applyBorder="1"/>
    <xf numFmtId="6" fontId="1" fillId="7" borderId="10" xfId="0" applyNumberFormat="1" applyFont="1" applyFill="1" applyBorder="1"/>
    <xf numFmtId="6" fontId="4" fillId="7" borderId="27" xfId="0" applyNumberFormat="1" applyFont="1" applyFill="1" applyBorder="1"/>
    <xf numFmtId="167" fontId="4" fillId="7" borderId="31" xfId="18" applyNumberFormat="1" applyFont="1" applyFill="1" applyBorder="1"/>
    <xf numFmtId="167" fontId="4" fillId="7" borderId="27" xfId="18" applyNumberFormat="1" applyFont="1" applyFill="1" applyBorder="1"/>
    <xf numFmtId="0" fontId="1" fillId="21" borderId="0" xfId="0" applyFont="1" applyFill="1"/>
    <xf numFmtId="0" fontId="4" fillId="21" borderId="0" xfId="0" applyFont="1" applyFill="1"/>
    <xf numFmtId="0" fontId="1" fillId="4" borderId="0" xfId="0" applyFont="1" applyFill="1"/>
    <xf numFmtId="0" fontId="4" fillId="4" borderId="0" xfId="0" applyFont="1" applyFill="1"/>
    <xf numFmtId="6" fontId="1" fillId="8" borderId="26" xfId="0" applyNumberFormat="1" applyFont="1" applyFill="1" applyBorder="1"/>
    <xf numFmtId="6" fontId="1" fillId="21" borderId="3" xfId="0" applyNumberFormat="1" applyFont="1" applyFill="1" applyBorder="1"/>
    <xf numFmtId="6" fontId="1" fillId="4" borderId="27" xfId="0" applyNumberFormat="1" applyFont="1" applyFill="1" applyBorder="1"/>
    <xf numFmtId="0" fontId="41" fillId="2" borderId="0" xfId="0" applyFont="1" applyFill="1"/>
    <xf numFmtId="0" fontId="3" fillId="10" borderId="0" xfId="0" applyFont="1" applyFill="1"/>
    <xf numFmtId="0" fontId="2" fillId="10" borderId="0" xfId="0" applyFont="1" applyFill="1"/>
    <xf numFmtId="0" fontId="1" fillId="10" borderId="0" xfId="0" applyFont="1" applyFill="1"/>
    <xf numFmtId="0" fontId="3" fillId="10" borderId="0" xfId="0" applyFont="1" applyFill="1" applyAlignment="1"/>
    <xf numFmtId="0" fontId="4" fillId="10" borderId="0" xfId="0" applyFont="1" applyFill="1"/>
    <xf numFmtId="0" fontId="4" fillId="10" borderId="0" xfId="0" applyFont="1" applyFill="1" applyAlignment="1">
      <alignment horizontal="left"/>
    </xf>
    <xf numFmtId="164" fontId="4" fillId="5" borderId="3" xfId="1" applyNumberFormat="1" applyFont="1" applyFill="1" applyBorder="1"/>
    <xf numFmtId="0" fontId="21" fillId="10" borderId="0" xfId="0" applyFont="1" applyFill="1"/>
    <xf numFmtId="0" fontId="28" fillId="10" borderId="0" xfId="0" applyFont="1" applyFill="1"/>
    <xf numFmtId="0" fontId="37" fillId="0" borderId="0" xfId="0" applyFont="1"/>
    <xf numFmtId="0" fontId="37" fillId="13" borderId="0" xfId="0" applyFont="1" applyFill="1" applyAlignment="1">
      <alignment horizontal="left" indent="1"/>
    </xf>
    <xf numFmtId="0" fontId="42" fillId="0" borderId="0" xfId="0" applyFont="1" applyFill="1" applyAlignment="1">
      <alignment horizontal="left" indent="1"/>
    </xf>
    <xf numFmtId="0" fontId="43" fillId="0" borderId="0" xfId="0" applyFont="1" applyFill="1" applyAlignment="1">
      <alignment horizontal="left" indent="1"/>
    </xf>
    <xf numFmtId="0" fontId="44" fillId="0" borderId="0" xfId="0" applyFont="1" applyFill="1" applyAlignment="1">
      <alignment horizontal="left" indent="1"/>
    </xf>
    <xf numFmtId="0" fontId="11" fillId="0" borderId="0" xfId="0" applyFont="1" applyFill="1" applyAlignment="1">
      <alignment horizontal="left" indent="1"/>
    </xf>
    <xf numFmtId="0" fontId="37" fillId="0" borderId="0" xfId="0" applyFont="1" applyFill="1"/>
    <xf numFmtId="0" fontId="37" fillId="0" borderId="0" xfId="0" applyFont="1" applyFill="1" applyAlignment="1">
      <alignment horizontal="left" indent="1"/>
    </xf>
    <xf numFmtId="0" fontId="4" fillId="10" borderId="0" xfId="0" applyFont="1" applyFill="1" applyBorder="1"/>
    <xf numFmtId="0" fontId="21" fillId="10" borderId="0" xfId="0" applyFont="1" applyFill="1" applyBorder="1"/>
    <xf numFmtId="0" fontId="46" fillId="10" borderId="0" xfId="0" applyFont="1" applyFill="1"/>
    <xf numFmtId="0" fontId="46" fillId="10" borderId="0" xfId="0" applyFont="1" applyFill="1" applyBorder="1"/>
    <xf numFmtId="0" fontId="4" fillId="0" borderId="0" xfId="0" applyFont="1" applyFill="1" applyBorder="1"/>
    <xf numFmtId="9" fontId="4" fillId="23" borderId="3" xfId="2" applyFont="1" applyFill="1" applyBorder="1"/>
    <xf numFmtId="0" fontId="37" fillId="0" borderId="0" xfId="0" applyFont="1" applyFill="1" applyAlignment="1">
      <alignment horizontal="left"/>
    </xf>
    <xf numFmtId="9" fontId="1" fillId="23" borderId="0" xfId="0" applyNumberFormat="1" applyFont="1" applyFill="1" applyBorder="1"/>
    <xf numFmtId="9" fontId="1" fillId="2" borderId="0" xfId="0" applyNumberFormat="1" applyFont="1" applyFill="1" applyBorder="1"/>
    <xf numFmtId="0" fontId="0" fillId="10" borderId="0" xfId="0" applyFill="1"/>
    <xf numFmtId="0" fontId="47" fillId="0" borderId="0" xfId="0" applyFont="1"/>
    <xf numFmtId="0" fontId="11" fillId="0" borderId="0" xfId="0" applyFont="1" applyAlignment="1">
      <alignment horizontal="left" indent="1"/>
    </xf>
    <xf numFmtId="0" fontId="14" fillId="4" borderId="2" xfId="0" applyFont="1" applyFill="1" applyBorder="1" applyAlignment="1" applyProtection="1">
      <alignment horizontal="center"/>
    </xf>
    <xf numFmtId="44" fontId="4" fillId="7" borderId="3" xfId="18" applyFont="1" applyFill="1" applyBorder="1"/>
    <xf numFmtId="164" fontId="1" fillId="7" borderId="30" xfId="0" applyNumberFormat="1" applyFont="1" applyFill="1" applyBorder="1"/>
    <xf numFmtId="0" fontId="26" fillId="0" borderId="0" xfId="0" applyFont="1"/>
    <xf numFmtId="43" fontId="0" fillId="0" borderId="0" xfId="1" applyFont="1" applyBorder="1"/>
    <xf numFmtId="43" fontId="4" fillId="0" borderId="3" xfId="1" applyFont="1" applyFill="1" applyBorder="1"/>
    <xf numFmtId="164" fontId="4" fillId="0" borderId="0" xfId="0" applyNumberFormat="1" applyFont="1" applyFill="1"/>
    <xf numFmtId="170" fontId="1" fillId="7" borderId="32" xfId="1" applyNumberFormat="1" applyFont="1" applyFill="1" applyBorder="1"/>
    <xf numFmtId="170" fontId="1" fillId="7" borderId="33" xfId="1" applyNumberFormat="1" applyFont="1" applyFill="1" applyBorder="1"/>
    <xf numFmtId="43" fontId="1" fillId="0" borderId="30" xfId="0" applyNumberFormat="1" applyFont="1" applyFill="1" applyBorder="1"/>
    <xf numFmtId="167" fontId="1" fillId="7" borderId="0" xfId="18" applyNumberFormat="1" applyFont="1" applyFill="1" applyBorder="1"/>
    <xf numFmtId="0" fontId="15" fillId="0" borderId="0" xfId="0" applyFont="1" applyBorder="1" applyAlignment="1">
      <alignment horizontal="center" vertical="center" wrapText="1"/>
    </xf>
    <xf numFmtId="0" fontId="11" fillId="0" borderId="0" xfId="0" applyFont="1" applyBorder="1" applyAlignment="1">
      <alignment horizontal="left" indent="2"/>
    </xf>
    <xf numFmtId="167" fontId="4" fillId="7" borderId="29" xfId="2" applyNumberFormat="1" applyFont="1" applyFill="1" applyBorder="1"/>
    <xf numFmtId="164" fontId="4" fillId="7" borderId="10" xfId="1" applyNumberFormat="1" applyFont="1" applyFill="1" applyBorder="1"/>
    <xf numFmtId="164" fontId="1" fillId="7" borderId="10" xfId="1" applyNumberFormat="1" applyFont="1" applyFill="1" applyBorder="1"/>
    <xf numFmtId="9" fontId="4" fillId="0" borderId="0" xfId="2" applyFont="1" applyFill="1" applyBorder="1"/>
    <xf numFmtId="164" fontId="15" fillId="7" borderId="3" xfId="1" applyNumberFormat="1" applyFont="1" applyFill="1" applyBorder="1" applyProtection="1"/>
    <xf numFmtId="0" fontId="0" fillId="0" borderId="0" xfId="0" applyFill="1" applyBorder="1"/>
    <xf numFmtId="0" fontId="1" fillId="0" borderId="0" xfId="0" applyFont="1" applyFill="1" applyBorder="1" applyAlignment="1">
      <alignment horizontal="left" indent="1"/>
    </xf>
    <xf numFmtId="0" fontId="4" fillId="23" borderId="0" xfId="0" applyFont="1" applyFill="1"/>
    <xf numFmtId="164" fontId="4" fillId="0" borderId="11" xfId="1" applyNumberFormat="1" applyFont="1" applyFill="1" applyBorder="1"/>
    <xf numFmtId="0" fontId="3" fillId="24" borderId="0" xfId="0" applyFont="1" applyFill="1"/>
    <xf numFmtId="0" fontId="4" fillId="24" borderId="0" xfId="0" applyFont="1" applyFill="1"/>
    <xf numFmtId="0" fontId="1" fillId="24" borderId="0" xfId="0" applyFont="1" applyFill="1"/>
    <xf numFmtId="0" fontId="21" fillId="24" borderId="0" xfId="0" applyFont="1" applyFill="1"/>
    <xf numFmtId="0" fontId="42" fillId="24" borderId="0" xfId="0" applyFont="1" applyFill="1" applyAlignment="1">
      <alignment horizontal="left" indent="1"/>
    </xf>
    <xf numFmtId="164" fontId="48" fillId="11" borderId="0" xfId="1" applyNumberFormat="1" applyFont="1" applyFill="1" applyBorder="1" applyAlignment="1" applyProtection="1">
      <alignment horizontal="center" vertical="top"/>
    </xf>
    <xf numFmtId="164" fontId="4" fillId="12" borderId="3" xfId="1" applyNumberFormat="1" applyFont="1" applyFill="1" applyBorder="1" applyAlignment="1">
      <alignment vertical="center"/>
    </xf>
    <xf numFmtId="6" fontId="4" fillId="7" borderId="29" xfId="2" applyNumberFormat="1" applyFont="1" applyFill="1" applyBorder="1"/>
    <xf numFmtId="164" fontId="15" fillId="0" borderId="0" xfId="1" applyNumberFormat="1" applyFont="1"/>
    <xf numFmtId="0" fontId="0" fillId="17" borderId="0" xfId="0" applyFill="1"/>
    <xf numFmtId="43" fontId="20" fillId="0" borderId="0" xfId="1" applyFont="1"/>
    <xf numFmtId="0" fontId="4" fillId="0" borderId="0" xfId="0" applyFont="1" applyFill="1" applyBorder="1" applyAlignment="1">
      <alignment horizontal="left" indent="1"/>
    </xf>
    <xf numFmtId="0" fontId="4" fillId="0" borderId="0" xfId="0" applyFont="1" applyFill="1" applyAlignment="1">
      <alignment horizontal="left"/>
    </xf>
    <xf numFmtId="164" fontId="4" fillId="0" borderId="0" xfId="1" applyNumberFormat="1" applyFont="1" applyFill="1" applyBorder="1"/>
    <xf numFmtId="164" fontId="4" fillId="12" borderId="0" xfId="1" applyNumberFormat="1" applyFont="1" applyFill="1" applyBorder="1" applyAlignment="1">
      <alignment vertical="center"/>
    </xf>
    <xf numFmtId="164" fontId="4" fillId="12" borderId="29" xfId="1" applyNumberFormat="1" applyFont="1" applyFill="1" applyBorder="1"/>
    <xf numFmtId="164" fontId="4" fillId="12" borderId="29" xfId="1" applyNumberFormat="1" applyFont="1" applyFill="1" applyBorder="1" applyAlignment="1">
      <alignment vertical="center"/>
    </xf>
    <xf numFmtId="0" fontId="15" fillId="3" borderId="2" xfId="0" applyFont="1" applyFill="1" applyBorder="1" applyAlignment="1">
      <alignment horizontal="center" vertical="center" wrapText="1"/>
    </xf>
    <xf numFmtId="167" fontId="1" fillId="7" borderId="31" xfId="18" applyNumberFormat="1" applyFont="1" applyFill="1" applyBorder="1"/>
    <xf numFmtId="168" fontId="32" fillId="7" borderId="22" xfId="0" applyNumberFormat="1" applyFont="1" applyFill="1" applyBorder="1" applyProtection="1"/>
    <xf numFmtId="0" fontId="40" fillId="0" borderId="0" xfId="0" applyFont="1"/>
    <xf numFmtId="164" fontId="4" fillId="7" borderId="34" xfId="1" applyNumberFormat="1" applyFont="1" applyFill="1" applyBorder="1"/>
    <xf numFmtId="164" fontId="4" fillId="7" borderId="20" xfId="1" applyNumberFormat="1" applyFont="1" applyFill="1" applyBorder="1"/>
    <xf numFmtId="164" fontId="4" fillId="7" borderId="21" xfId="1" applyNumberFormat="1" applyFont="1" applyFill="1" applyBorder="1"/>
    <xf numFmtId="164" fontId="4" fillId="7" borderId="35" xfId="1" applyNumberFormat="1" applyFont="1" applyFill="1" applyBorder="1"/>
    <xf numFmtId="164" fontId="4" fillId="7" borderId="36" xfId="1" applyNumberFormat="1" applyFont="1" applyFill="1" applyBorder="1"/>
    <xf numFmtId="164" fontId="4" fillId="7" borderId="37" xfId="1" applyNumberFormat="1" applyFont="1" applyFill="1" applyBorder="1"/>
    <xf numFmtId="164" fontId="4" fillId="7" borderId="27" xfId="1" applyNumberFormat="1" applyFont="1" applyFill="1" applyBorder="1"/>
    <xf numFmtId="164" fontId="4" fillId="7" borderId="38" xfId="1" applyNumberFormat="1" applyFont="1" applyFill="1" applyBorder="1"/>
    <xf numFmtId="167" fontId="1" fillId="7" borderId="39" xfId="18" applyNumberFormat="1" applyFont="1" applyFill="1" applyBorder="1"/>
    <xf numFmtId="164" fontId="4" fillId="12" borderId="29" xfId="1" applyNumberFormat="1" applyFont="1" applyFill="1" applyBorder="1" applyAlignment="1">
      <alignment horizontal="center"/>
    </xf>
    <xf numFmtId="0" fontId="4" fillId="13" borderId="0" xfId="0" applyFont="1" applyFill="1"/>
    <xf numFmtId="0" fontId="4" fillId="0" borderId="0" xfId="0" applyFont="1" applyFill="1" applyBorder="1" applyAlignment="1">
      <alignment horizontal="left" indent="3"/>
    </xf>
    <xf numFmtId="9" fontId="4" fillId="0" borderId="0" xfId="2" applyFont="1" applyFill="1" applyBorder="1" applyAlignment="1">
      <alignment horizontal="center"/>
    </xf>
    <xf numFmtId="0" fontId="4" fillId="16" borderId="0" xfId="0" applyFont="1" applyFill="1"/>
    <xf numFmtId="0" fontId="44" fillId="16" borderId="0" xfId="0" applyFont="1" applyFill="1" applyAlignment="1">
      <alignment horizontal="left" indent="1"/>
    </xf>
    <xf numFmtId="0" fontId="45" fillId="13" borderId="0" xfId="0" applyFont="1" applyFill="1" applyAlignment="1">
      <alignment horizontal="left" indent="1"/>
    </xf>
    <xf numFmtId="0" fontId="4" fillId="0" borderId="0" xfId="0" applyFont="1" applyAlignment="1">
      <alignment horizontal="right"/>
    </xf>
    <xf numFmtId="0" fontId="8" fillId="0" borderId="0" xfId="6" applyBorder="1">
      <alignment horizontal="center" vertical="center" wrapText="1"/>
    </xf>
    <xf numFmtId="1" fontId="8" fillId="0" borderId="0" xfId="4" applyNumberFormat="1" applyBorder="1">
      <alignment horizontal="right"/>
    </xf>
    <xf numFmtId="1" fontId="10" fillId="0" borderId="0" xfId="3" applyNumberFormat="1" applyFont="1" applyBorder="1"/>
    <xf numFmtId="164" fontId="4" fillId="7" borderId="0" xfId="1" applyNumberFormat="1" applyFont="1" applyFill="1" applyBorder="1"/>
    <xf numFmtId="43" fontId="4" fillId="7" borderId="34" xfId="1" applyNumberFormat="1" applyFont="1" applyFill="1" applyBorder="1"/>
    <xf numFmtId="0" fontId="4" fillId="0" borderId="27" xfId="0" applyFont="1" applyFill="1" applyBorder="1" applyAlignment="1">
      <alignment horizontal="left" indent="2"/>
    </xf>
    <xf numFmtId="0" fontId="4" fillId="0" borderId="41" xfId="0" applyFont="1" applyBorder="1"/>
    <xf numFmtId="43" fontId="4" fillId="0" borderId="27" xfId="0" applyNumberFormat="1" applyFont="1" applyBorder="1"/>
    <xf numFmtId="0" fontId="14" fillId="4" borderId="2" xfId="0" applyFont="1" applyFill="1" applyBorder="1" applyAlignment="1" applyProtection="1">
      <alignment horizontal="center"/>
    </xf>
    <xf numFmtId="0" fontId="50" fillId="25" borderId="0" xfId="0" applyFont="1" applyFill="1" applyBorder="1" applyAlignment="1">
      <alignment horizontal="center"/>
    </xf>
    <xf numFmtId="0" fontId="51" fillId="0" borderId="0" xfId="0" applyFont="1" applyAlignment="1">
      <alignment vertical="center" wrapText="1"/>
    </xf>
    <xf numFmtId="0" fontId="52" fillId="0" borderId="0" xfId="0" applyFont="1" applyAlignment="1">
      <alignment horizontal="center"/>
    </xf>
    <xf numFmtId="0" fontId="53" fillId="0" borderId="0" xfId="0" applyFont="1" applyAlignment="1">
      <alignment horizontal="center"/>
    </xf>
    <xf numFmtId="0" fontId="54" fillId="25" borderId="0" xfId="0" applyFont="1" applyFill="1" applyBorder="1" applyAlignment="1">
      <alignment horizontal="center"/>
    </xf>
    <xf numFmtId="0" fontId="0" fillId="25" borderId="0" xfId="0" applyFill="1" applyBorder="1"/>
    <xf numFmtId="0" fontId="55" fillId="0" borderId="0" xfId="0" applyFont="1" applyFill="1" applyBorder="1" applyAlignment="1">
      <alignment horizontal="center"/>
    </xf>
    <xf numFmtId="49" fontId="56" fillId="25" borderId="0" xfId="0" applyNumberFormat="1" applyFont="1" applyFill="1" applyBorder="1" applyAlignment="1">
      <alignment horizontal="center"/>
    </xf>
    <xf numFmtId="0" fontId="59" fillId="25" borderId="0" xfId="0" applyFont="1" applyFill="1" applyBorder="1" applyAlignment="1">
      <alignment vertical="top" wrapText="1"/>
    </xf>
    <xf numFmtId="0" fontId="62" fillId="0" borderId="0" xfId="0" applyFont="1"/>
    <xf numFmtId="0" fontId="63" fillId="25" borderId="0" xfId="0" applyFont="1" applyFill="1" applyAlignment="1">
      <alignment horizontal="left"/>
    </xf>
    <xf numFmtId="0" fontId="28" fillId="0" borderId="0" xfId="0" applyFont="1"/>
    <xf numFmtId="0" fontId="63" fillId="25" borderId="0" xfId="0" applyFont="1" applyFill="1" applyAlignment="1">
      <alignment horizontal="center"/>
    </xf>
    <xf numFmtId="9" fontId="1" fillId="22" borderId="0" xfId="0" applyNumberFormat="1" applyFont="1" applyFill="1"/>
    <xf numFmtId="9" fontId="4" fillId="22" borderId="0" xfId="0" applyNumberFormat="1" applyFont="1" applyFill="1"/>
    <xf numFmtId="9" fontId="1" fillId="22" borderId="3" xfId="2" applyFont="1" applyFill="1" applyBorder="1"/>
    <xf numFmtId="0" fontId="64" fillId="2" borderId="0" xfId="0" applyFont="1" applyFill="1"/>
    <xf numFmtId="0" fontId="65" fillId="0" borderId="0" xfId="0" applyFont="1"/>
    <xf numFmtId="0" fontId="1" fillId="11" borderId="0" xfId="0" applyFont="1" applyFill="1"/>
    <xf numFmtId="6" fontId="1" fillId="11" borderId="22" xfId="2" applyNumberFormat="1" applyFont="1" applyFill="1" applyBorder="1"/>
    <xf numFmtId="0" fontId="20" fillId="0" borderId="0" xfId="0" applyFont="1"/>
    <xf numFmtId="8" fontId="4" fillId="26" borderId="0" xfId="0" applyNumberFormat="1" applyFont="1" applyFill="1"/>
    <xf numFmtId="6" fontId="4" fillId="26" borderId="0" xfId="0" applyNumberFormat="1" applyFont="1" applyFill="1"/>
    <xf numFmtId="164" fontId="1" fillId="0" borderId="0" xfId="1" applyNumberFormat="1" applyFont="1" applyFill="1" applyBorder="1"/>
    <xf numFmtId="8" fontId="1" fillId="7" borderId="0" xfId="1" applyNumberFormat="1" applyFont="1" applyFill="1" applyBorder="1"/>
    <xf numFmtId="43" fontId="4" fillId="26" borderId="0" xfId="1" applyFont="1" applyFill="1"/>
    <xf numFmtId="8" fontId="1" fillId="7" borderId="0" xfId="0" applyNumberFormat="1" applyFont="1" applyFill="1" applyBorder="1"/>
    <xf numFmtId="169" fontId="4" fillId="26" borderId="8" xfId="1" applyNumberFormat="1" applyFont="1" applyFill="1" applyBorder="1"/>
    <xf numFmtId="169" fontId="4" fillId="26" borderId="2" xfId="1" applyNumberFormat="1" applyFont="1" applyFill="1" applyBorder="1"/>
    <xf numFmtId="6" fontId="1" fillId="7" borderId="0" xfId="2" applyNumberFormat="1" applyFont="1" applyFill="1" applyBorder="1"/>
    <xf numFmtId="164" fontId="4" fillId="7" borderId="11" xfId="1" applyNumberFormat="1" applyFont="1" applyFill="1" applyBorder="1" applyAlignment="1">
      <alignment horizontal="left" indent="2"/>
    </xf>
    <xf numFmtId="43" fontId="4" fillId="7" borderId="11" xfId="1" applyNumberFormat="1" applyFont="1" applyFill="1" applyBorder="1"/>
    <xf numFmtId="0" fontId="21" fillId="0" borderId="0" xfId="0" applyFont="1" applyFill="1" applyBorder="1" applyAlignment="1">
      <alignment horizontal="left" indent="1"/>
    </xf>
    <xf numFmtId="0" fontId="14" fillId="0" borderId="0" xfId="0" applyFont="1" applyFill="1" applyBorder="1" applyAlignment="1" applyProtection="1">
      <alignment horizontal="center"/>
    </xf>
    <xf numFmtId="0" fontId="4" fillId="0" borderId="0" xfId="0" applyFont="1" applyBorder="1" applyAlignment="1">
      <alignment horizontal="left"/>
    </xf>
    <xf numFmtId="0" fontId="1" fillId="3" borderId="2" xfId="0" applyFont="1" applyFill="1" applyBorder="1" applyAlignment="1">
      <alignment horizontal="center" vertical="center" wrapText="1"/>
    </xf>
    <xf numFmtId="0" fontId="66" fillId="2" borderId="0" xfId="0" applyFont="1" applyFill="1"/>
    <xf numFmtId="0" fontId="4" fillId="0" borderId="0" xfId="0" applyFont="1" applyBorder="1" applyAlignment="1">
      <alignment horizontal="center" vertical="center" wrapText="1"/>
    </xf>
    <xf numFmtId="43" fontId="4" fillId="7" borderId="3" xfId="1" applyNumberFormat="1" applyFont="1" applyFill="1" applyBorder="1"/>
    <xf numFmtId="0" fontId="4" fillId="18" borderId="7" xfId="0" applyFont="1" applyFill="1" applyBorder="1"/>
    <xf numFmtId="0" fontId="4" fillId="5" borderId="7" xfId="0" applyFont="1" applyFill="1" applyBorder="1"/>
    <xf numFmtId="0" fontId="4" fillId="23" borderId="7" xfId="0" applyFont="1" applyFill="1" applyBorder="1"/>
    <xf numFmtId="0" fontId="4" fillId="24" borderId="7" xfId="0" applyFont="1" applyFill="1" applyBorder="1"/>
    <xf numFmtId="167" fontId="1" fillId="7" borderId="39" xfId="2" applyNumberFormat="1" applyFont="1" applyFill="1" applyBorder="1"/>
    <xf numFmtId="43" fontId="4" fillId="0" borderId="4" xfId="1" applyFont="1" applyBorder="1"/>
    <xf numFmtId="43" fontId="4" fillId="0" borderId="0" xfId="1" applyFont="1" applyBorder="1"/>
    <xf numFmtId="43" fontId="4" fillId="0" borderId="7" xfId="1" applyFont="1" applyBorder="1"/>
    <xf numFmtId="43" fontId="4" fillId="7" borderId="3" xfId="1" applyFont="1" applyFill="1" applyBorder="1"/>
    <xf numFmtId="0" fontId="0" fillId="15" borderId="0" xfId="0" applyFill="1"/>
    <xf numFmtId="0" fontId="0" fillId="3" borderId="0" xfId="0" applyFill="1"/>
    <xf numFmtId="0" fontId="0" fillId="28" borderId="0" xfId="0" applyFill="1"/>
    <xf numFmtId="0" fontId="14" fillId="4" borderId="2" xfId="0" applyFont="1" applyFill="1" applyBorder="1" applyAlignment="1" applyProtection="1">
      <alignment horizontal="center"/>
    </xf>
    <xf numFmtId="0" fontId="14" fillId="4" borderId="2" xfId="0" applyFont="1" applyFill="1" applyBorder="1" applyAlignment="1" applyProtection="1">
      <alignment horizontal="center"/>
    </xf>
    <xf numFmtId="0" fontId="1" fillId="0" borderId="0" xfId="0" applyFont="1" applyFill="1" applyBorder="1" applyAlignment="1">
      <alignment horizontal="left"/>
    </xf>
    <xf numFmtId="0" fontId="6" fillId="18" borderId="0" xfId="0" applyFont="1" applyFill="1"/>
    <xf numFmtId="0" fontId="6" fillId="17" borderId="0" xfId="0" applyFont="1" applyFill="1"/>
    <xf numFmtId="0" fontId="6" fillId="27" borderId="0" xfId="0" applyFont="1" applyFill="1"/>
    <xf numFmtId="0" fontId="6" fillId="22" borderId="0" xfId="0" applyFont="1" applyFill="1"/>
    <xf numFmtId="0" fontId="16" fillId="0" borderId="0" xfId="0" applyFont="1" applyFill="1" applyBorder="1" applyAlignment="1" applyProtection="1">
      <alignment vertical="top"/>
    </xf>
    <xf numFmtId="0" fontId="11" fillId="0" borderId="0" xfId="0" applyFont="1" applyFill="1" applyBorder="1" applyAlignment="1" applyProtection="1">
      <alignment horizontal="left"/>
    </xf>
    <xf numFmtId="164" fontId="1" fillId="7" borderId="0" xfId="1" applyNumberFormat="1" applyFont="1" applyFill="1" applyBorder="1"/>
    <xf numFmtId="0" fontId="4" fillId="0" borderId="0" xfId="0" applyFont="1" applyFill="1" applyBorder="1" applyAlignment="1">
      <alignment horizontal="left"/>
    </xf>
    <xf numFmtId="44" fontId="0" fillId="0" borderId="0" xfId="18" applyFont="1" applyFill="1"/>
    <xf numFmtId="0" fontId="39" fillId="0" borderId="0" xfId="0" applyFont="1" applyFill="1"/>
    <xf numFmtId="0" fontId="67" fillId="0" borderId="0" xfId="0" applyFont="1" applyFill="1"/>
    <xf numFmtId="9" fontId="4" fillId="12" borderId="29" xfId="2" applyFont="1" applyFill="1" applyBorder="1" applyAlignment="1">
      <alignment horizontal="center" vertical="center"/>
    </xf>
    <xf numFmtId="169" fontId="15" fillId="7" borderId="29" xfId="1" applyNumberFormat="1" applyFont="1" applyFill="1" applyBorder="1" applyAlignment="1" applyProtection="1">
      <alignment horizontal="center"/>
    </xf>
    <xf numFmtId="169" fontId="4" fillId="12" borderId="29" xfId="1" applyNumberFormat="1" applyFont="1" applyFill="1" applyBorder="1" applyAlignment="1">
      <alignment vertical="center"/>
    </xf>
    <xf numFmtId="169" fontId="0" fillId="0" borderId="0" xfId="0" applyNumberFormat="1" applyFill="1"/>
    <xf numFmtId="0" fontId="39" fillId="18" borderId="0" xfId="0" applyFont="1" applyFill="1"/>
    <xf numFmtId="0" fontId="17" fillId="0" borderId="0" xfId="0" applyFont="1" applyFill="1"/>
    <xf numFmtId="0" fontId="1" fillId="0" borderId="0" xfId="0" applyFont="1" applyFill="1" applyAlignment="1">
      <alignment horizontal="left" indent="1"/>
    </xf>
    <xf numFmtId="0" fontId="17" fillId="27" borderId="0" xfId="0" applyFont="1" applyFill="1"/>
    <xf numFmtId="0" fontId="6" fillId="0" borderId="0" xfId="0" applyFont="1" applyFill="1"/>
    <xf numFmtId="0" fontId="6" fillId="0" borderId="0" xfId="0" applyFont="1" applyFill="1" applyBorder="1"/>
    <xf numFmtId="0" fontId="17" fillId="18" borderId="0" xfId="0" applyFont="1" applyFill="1"/>
    <xf numFmtId="0" fontId="17" fillId="17" borderId="0" xfId="0" applyFont="1" applyFill="1"/>
    <xf numFmtId="0" fontId="17" fillId="0" borderId="0" xfId="0" applyFont="1" applyFill="1" applyBorder="1"/>
    <xf numFmtId="0" fontId="1" fillId="0" borderId="0" xfId="0" applyFont="1" applyFill="1" applyBorder="1" applyAlignment="1">
      <alignment horizontal="center" vertical="center" wrapText="1"/>
    </xf>
    <xf numFmtId="0" fontId="39" fillId="0" borderId="0" xfId="0" applyFont="1" applyFill="1" applyBorder="1" applyAlignment="1">
      <alignment horizontal="center" wrapText="1"/>
    </xf>
    <xf numFmtId="0" fontId="6" fillId="17" borderId="0" xfId="0" applyFont="1" applyFill="1" applyAlignment="1">
      <alignment horizontal="left" indent="1"/>
    </xf>
    <xf numFmtId="0" fontId="6" fillId="27" borderId="0" xfId="0" applyFont="1" applyFill="1" applyAlignment="1">
      <alignment horizontal="left" indent="1"/>
    </xf>
    <xf numFmtId="0" fontId="6" fillId="22" borderId="0" xfId="0" applyFont="1" applyFill="1" applyAlignment="1">
      <alignment horizontal="left" indent="1"/>
    </xf>
    <xf numFmtId="0" fontId="4" fillId="22" borderId="0" xfId="0" applyFont="1" applyFill="1" applyAlignment="1">
      <alignment horizontal="left" indent="2"/>
    </xf>
    <xf numFmtId="44" fontId="3" fillId="2" borderId="0" xfId="18" applyFont="1" applyFill="1"/>
    <xf numFmtId="44" fontId="0" fillId="0" borderId="0" xfId="18" applyFont="1" applyBorder="1"/>
    <xf numFmtId="44" fontId="1" fillId="0" borderId="0" xfId="18" applyFont="1" applyBorder="1" applyAlignment="1">
      <alignment horizontal="center" wrapText="1"/>
    </xf>
    <xf numFmtId="0" fontId="6" fillId="23" borderId="0" xfId="0" applyFont="1" applyFill="1"/>
    <xf numFmtId="0" fontId="17" fillId="8" borderId="0" xfId="0" applyFont="1" applyFill="1" applyBorder="1" applyAlignment="1" applyProtection="1">
      <alignment vertical="top"/>
    </xf>
    <xf numFmtId="0" fontId="17" fillId="0" borderId="0" xfId="0" applyFont="1" applyAlignment="1">
      <alignment horizontal="left" wrapText="1"/>
    </xf>
    <xf numFmtId="0" fontId="39" fillId="17" borderId="0" xfId="0" applyFont="1" applyFill="1"/>
    <xf numFmtId="0" fontId="1" fillId="27" borderId="0" xfId="0" applyFont="1" applyFill="1"/>
    <xf numFmtId="0" fontId="1" fillId="22" borderId="0" xfId="0" applyFont="1" applyFill="1" applyAlignment="1">
      <alignment vertical="top"/>
    </xf>
    <xf numFmtId="0" fontId="39" fillId="3" borderId="2" xfId="0" applyFont="1" applyFill="1" applyBorder="1" applyAlignment="1">
      <alignment horizontal="centerContinuous" vertical="center" wrapText="1"/>
    </xf>
    <xf numFmtId="168" fontId="15" fillId="7" borderId="11" xfId="0" applyNumberFormat="1" applyFont="1" applyFill="1" applyBorder="1" applyProtection="1"/>
    <xf numFmtId="168" fontId="32" fillId="7" borderId="10" xfId="0" applyNumberFormat="1" applyFont="1" applyFill="1" applyBorder="1" applyProtection="1"/>
    <xf numFmtId="0" fontId="0" fillId="0" borderId="0" xfId="0" applyAlignment="1">
      <alignment horizontal="right"/>
    </xf>
    <xf numFmtId="43" fontId="15" fillId="7" borderId="11" xfId="1" applyFont="1" applyFill="1" applyBorder="1" applyProtection="1"/>
    <xf numFmtId="43" fontId="0" fillId="0" borderId="0" xfId="0" applyNumberFormat="1"/>
    <xf numFmtId="9" fontId="4" fillId="7" borderId="29" xfId="2" applyFont="1" applyFill="1" applyBorder="1"/>
    <xf numFmtId="0" fontId="4" fillId="3" borderId="8" xfId="0" applyFont="1" applyFill="1" applyBorder="1" applyAlignment="1">
      <alignment horizontal="center" vertical="center" wrapText="1"/>
    </xf>
    <xf numFmtId="9" fontId="4" fillId="12" borderId="43" xfId="2" applyFont="1" applyFill="1" applyBorder="1"/>
    <xf numFmtId="169" fontId="4" fillId="12" borderId="44" xfId="1" applyNumberFormat="1" applyFont="1" applyFill="1" applyBorder="1"/>
    <xf numFmtId="9" fontId="4" fillId="12" borderId="37" xfId="2" applyFont="1" applyFill="1" applyBorder="1"/>
    <xf numFmtId="169" fontId="4" fillId="12" borderId="33" xfId="1" applyNumberFormat="1" applyFont="1" applyFill="1" applyBorder="1"/>
    <xf numFmtId="0" fontId="4" fillId="3" borderId="9" xfId="0" applyFont="1" applyFill="1" applyBorder="1" applyAlignment="1">
      <alignment horizontal="center" vertical="center" wrapText="1"/>
    </xf>
    <xf numFmtId="0" fontId="6" fillId="27" borderId="9" xfId="0" applyFont="1" applyFill="1" applyBorder="1" applyAlignment="1">
      <alignment horizontal="centerContinuous"/>
    </xf>
    <xf numFmtId="164" fontId="32" fillId="7" borderId="23" xfId="1" applyNumberFormat="1" applyFont="1" applyFill="1" applyBorder="1" applyProtection="1"/>
    <xf numFmtId="164" fontId="32" fillId="7" borderId="22" xfId="1" applyNumberFormat="1" applyFont="1" applyFill="1" applyBorder="1" applyProtection="1"/>
    <xf numFmtId="164" fontId="32" fillId="7" borderId="24" xfId="1" applyNumberFormat="1" applyFont="1" applyFill="1" applyBorder="1" applyProtection="1"/>
    <xf numFmtId="0" fontId="4" fillId="0" borderId="0" xfId="0" applyFont="1" applyAlignment="1">
      <alignment horizontal="center" vertical="center" wrapText="1"/>
    </xf>
    <xf numFmtId="0" fontId="17" fillId="18" borderId="0" xfId="0" applyFont="1" applyFill="1" applyAlignment="1">
      <alignment vertical="center"/>
    </xf>
    <xf numFmtId="0" fontId="17" fillId="17" borderId="0" xfId="0" applyFont="1" applyFill="1" applyAlignment="1">
      <alignment vertical="center"/>
    </xf>
    <xf numFmtId="0" fontId="17" fillId="27" borderId="0" xfId="0" applyFont="1" applyFill="1" applyAlignment="1">
      <alignment vertical="center"/>
    </xf>
    <xf numFmtId="0" fontId="17" fillId="22" borderId="0" xfId="0" applyFont="1" applyFill="1" applyAlignment="1">
      <alignment horizontal="left" vertical="center"/>
    </xf>
    <xf numFmtId="164" fontId="4" fillId="12" borderId="46" xfId="1" applyNumberFormat="1" applyFont="1" applyFill="1" applyBorder="1"/>
    <xf numFmtId="164" fontId="4" fillId="12" borderId="45" xfId="1" applyNumberFormat="1" applyFont="1" applyFill="1" applyBorder="1"/>
    <xf numFmtId="0" fontId="1" fillId="18" borderId="0" xfId="0" applyFont="1" applyFill="1" applyAlignment="1">
      <alignment horizontal="left" vertical="center" indent="1"/>
    </xf>
    <xf numFmtId="0" fontId="1" fillId="17" borderId="0" xfId="0" applyFont="1" applyFill="1" applyAlignment="1">
      <alignment horizontal="left" vertical="center" indent="1"/>
    </xf>
    <xf numFmtId="0" fontId="1" fillId="27" borderId="0" xfId="0" applyFont="1" applyFill="1" applyAlignment="1">
      <alignment horizontal="left" vertical="center" indent="1"/>
    </xf>
    <xf numFmtId="0" fontId="1" fillId="22" borderId="0" xfId="0" applyFont="1" applyFill="1" applyAlignment="1">
      <alignment horizontal="left" vertical="center" indent="1"/>
    </xf>
    <xf numFmtId="0" fontId="4" fillId="18" borderId="0" xfId="0" applyFont="1" applyFill="1" applyAlignment="1">
      <alignment horizontal="left" vertical="center" indent="1"/>
    </xf>
    <xf numFmtId="0" fontId="4" fillId="17" borderId="0" xfId="0" applyFont="1" applyFill="1" applyAlignment="1">
      <alignment horizontal="left" vertical="center" indent="1"/>
    </xf>
    <xf numFmtId="0" fontId="4" fillId="27" borderId="0" xfId="0" applyFont="1" applyFill="1" applyAlignment="1">
      <alignment horizontal="left" vertical="center" indent="1"/>
    </xf>
    <xf numFmtId="0" fontId="4" fillId="22" borderId="0" xfId="0" applyFont="1" applyFill="1" applyAlignment="1">
      <alignment horizontal="left" vertical="center" indent="1"/>
    </xf>
    <xf numFmtId="168" fontId="0" fillId="0" borderId="0" xfId="0" applyNumberFormat="1" applyFill="1"/>
    <xf numFmtId="6" fontId="20" fillId="0" borderId="0" xfId="1" applyNumberFormat="1" applyFont="1"/>
    <xf numFmtId="0" fontId="68" fillId="0" borderId="0" xfId="0" applyFont="1" applyFill="1"/>
    <xf numFmtId="0" fontId="40" fillId="0" borderId="0" xfId="0" applyFont="1" applyFill="1" applyBorder="1" applyAlignment="1">
      <alignment horizontal="left" indent="1"/>
    </xf>
    <xf numFmtId="165" fontId="4" fillId="12" borderId="3" xfId="2" applyNumberFormat="1" applyFont="1" applyFill="1" applyBorder="1"/>
    <xf numFmtId="43" fontId="6" fillId="0" borderId="0" xfId="0" applyNumberFormat="1" applyFont="1"/>
    <xf numFmtId="0" fontId="4" fillId="3" borderId="9" xfId="0" applyFont="1" applyFill="1" applyBorder="1" applyAlignment="1">
      <alignment horizontal="centerContinuous" vertical="center" wrapText="1"/>
    </xf>
    <xf numFmtId="0" fontId="4" fillId="0" borderId="0" xfId="0" applyFont="1" applyFill="1" applyAlignment="1">
      <alignment horizontal="left" indent="1"/>
    </xf>
    <xf numFmtId="168" fontId="15" fillId="7" borderId="31" xfId="0" applyNumberFormat="1" applyFont="1" applyFill="1" applyBorder="1" applyProtection="1"/>
    <xf numFmtId="168" fontId="15" fillId="7" borderId="0" xfId="0" applyNumberFormat="1" applyFont="1" applyFill="1" applyBorder="1" applyProtection="1"/>
    <xf numFmtId="9" fontId="15" fillId="7" borderId="3" xfId="2" applyFont="1" applyFill="1" applyBorder="1" applyAlignment="1" applyProtection="1">
      <alignment horizontal="center"/>
    </xf>
    <xf numFmtId="0" fontId="11" fillId="0" borderId="0" xfId="0" applyFont="1" applyFill="1" applyAlignment="1">
      <alignment horizontal="right"/>
    </xf>
    <xf numFmtId="0" fontId="0" fillId="0" borderId="0" xfId="0" applyNumberFormat="1" applyFill="1"/>
    <xf numFmtId="0" fontId="4" fillId="0" borderId="0" xfId="0" applyFont="1" applyFill="1" applyBorder="1" applyAlignment="1">
      <alignment horizontal="center" vertical="center" wrapText="1"/>
    </xf>
    <xf numFmtId="0" fontId="1" fillId="27" borderId="8" xfId="0" applyFont="1" applyFill="1" applyBorder="1" applyAlignment="1">
      <alignment horizontal="centerContinuous"/>
    </xf>
    <xf numFmtId="0" fontId="1" fillId="22" borderId="8" xfId="0" applyFont="1" applyFill="1" applyBorder="1" applyAlignment="1">
      <alignment horizontal="centerContinuous"/>
    </xf>
    <xf numFmtId="0" fontId="1" fillId="0" borderId="0" xfId="0" applyFont="1" applyFill="1" applyBorder="1" applyAlignment="1">
      <alignment horizontal="left" indent="2"/>
    </xf>
    <xf numFmtId="167" fontId="0" fillId="0" borderId="0" xfId="0" applyNumberFormat="1"/>
    <xf numFmtId="6" fontId="4" fillId="7" borderId="31" xfId="0" applyNumberFormat="1" applyFont="1" applyFill="1" applyBorder="1"/>
    <xf numFmtId="0" fontId="69" fillId="0" borderId="0" xfId="0" applyFont="1" applyFill="1" applyBorder="1" applyAlignment="1">
      <alignment horizontal="center" wrapText="1"/>
    </xf>
    <xf numFmtId="0" fontId="70" fillId="0" borderId="0" xfId="0" applyFont="1" applyFill="1"/>
    <xf numFmtId="0" fontId="71" fillId="0" borderId="0" xfId="0" applyFont="1" applyFill="1"/>
    <xf numFmtId="0" fontId="72" fillId="0" borderId="0" xfId="0" applyFont="1" applyFill="1"/>
    <xf numFmtId="0" fontId="73" fillId="0" borderId="0" xfId="0" applyFont="1" applyFill="1"/>
    <xf numFmtId="0" fontId="74" fillId="0" borderId="0" xfId="0" applyFont="1" applyFill="1"/>
    <xf numFmtId="9" fontId="0" fillId="0" borderId="0" xfId="0" applyNumberFormat="1" applyBorder="1"/>
    <xf numFmtId="43" fontId="20" fillId="0" borderId="0" xfId="0" applyNumberFormat="1" applyFont="1"/>
    <xf numFmtId="0" fontId="6" fillId="26" borderId="0" xfId="0" applyFont="1" applyFill="1"/>
    <xf numFmtId="164" fontId="4" fillId="7" borderId="29" xfId="1" applyNumberFormat="1" applyFont="1" applyFill="1" applyBorder="1"/>
    <xf numFmtId="164" fontId="4" fillId="7" borderId="23" xfId="1" applyNumberFormat="1" applyFont="1" applyFill="1" applyBorder="1"/>
    <xf numFmtId="164" fontId="4" fillId="7" borderId="24" xfId="1" applyNumberFormat="1" applyFont="1" applyFill="1" applyBorder="1"/>
    <xf numFmtId="164" fontId="4" fillId="29" borderId="3" xfId="1" applyNumberFormat="1" applyFont="1" applyFill="1" applyBorder="1" applyAlignment="1">
      <alignment vertical="center"/>
    </xf>
    <xf numFmtId="9" fontId="4" fillId="12" borderId="3" xfId="2" applyFont="1" applyFill="1" applyBorder="1" applyAlignment="1">
      <alignment horizontal="center" vertical="center"/>
    </xf>
    <xf numFmtId="169" fontId="15" fillId="7" borderId="3" xfId="1" applyNumberFormat="1" applyFont="1" applyFill="1" applyBorder="1" applyAlignment="1" applyProtection="1">
      <alignment horizontal="center"/>
    </xf>
    <xf numFmtId="169" fontId="4" fillId="12" borderId="3" xfId="1" applyNumberFormat="1" applyFont="1" applyFill="1" applyBorder="1" applyAlignment="1">
      <alignment vertical="center"/>
    </xf>
    <xf numFmtId="164" fontId="4" fillId="30" borderId="3" xfId="1" applyNumberFormat="1" applyFont="1" applyFill="1" applyBorder="1"/>
    <xf numFmtId="9" fontId="4" fillId="30" borderId="3" xfId="2" applyFont="1" applyFill="1" applyBorder="1" applyAlignment="1">
      <alignment horizontal="center"/>
    </xf>
    <xf numFmtId="44" fontId="4" fillId="30" borderId="3" xfId="18" applyFont="1" applyFill="1" applyBorder="1"/>
    <xf numFmtId="0" fontId="39" fillId="18" borderId="17" xfId="0" applyFont="1" applyFill="1" applyBorder="1" applyAlignment="1">
      <alignment horizontal="centerContinuous"/>
    </xf>
    <xf numFmtId="0" fontId="0" fillId="18" borderId="40" xfId="0" applyFill="1" applyBorder="1" applyAlignment="1">
      <alignment horizontal="centerContinuous"/>
    </xf>
    <xf numFmtId="0" fontId="39" fillId="17" borderId="47" xfId="0" applyFont="1" applyFill="1" applyBorder="1" applyAlignment="1">
      <alignment horizontal="centerContinuous"/>
    </xf>
    <xf numFmtId="0" fontId="39" fillId="17" borderId="40" xfId="0" applyFont="1" applyFill="1" applyBorder="1" applyAlignment="1">
      <alignment horizontal="centerContinuous"/>
    </xf>
    <xf numFmtId="0" fontId="1" fillId="0" borderId="0" xfId="0" applyFont="1" applyFill="1" applyBorder="1" applyAlignment="1">
      <alignment horizontal="centerContinuous" vertical="center" wrapText="1"/>
    </xf>
    <xf numFmtId="43" fontId="0" fillId="0" borderId="0" xfId="1" applyFont="1" applyFill="1"/>
    <xf numFmtId="43" fontId="0" fillId="0" borderId="0" xfId="0" applyNumberFormat="1" applyFill="1"/>
    <xf numFmtId="164" fontId="0" fillId="0" borderId="0" xfId="1" applyNumberFormat="1" applyFont="1"/>
    <xf numFmtId="44" fontId="0" fillId="0" borderId="0" xfId="18" applyFont="1"/>
    <xf numFmtId="0" fontId="32" fillId="9" borderId="0" xfId="0" applyFont="1" applyFill="1" applyBorder="1" applyAlignment="1" applyProtection="1">
      <alignment horizontal="centerContinuous"/>
    </xf>
    <xf numFmtId="9" fontId="4" fillId="27" borderId="3" xfId="2" applyFont="1" applyFill="1" applyBorder="1"/>
    <xf numFmtId="0" fontId="0" fillId="27" borderId="0" xfId="0" applyFill="1"/>
    <xf numFmtId="6" fontId="4" fillId="27" borderId="0" xfId="0" applyNumberFormat="1" applyFont="1" applyFill="1"/>
    <xf numFmtId="0" fontId="4" fillId="27" borderId="0" xfId="0" applyFont="1" applyFill="1"/>
    <xf numFmtId="8" fontId="4" fillId="27" borderId="0" xfId="0" applyNumberFormat="1" applyFont="1" applyFill="1"/>
    <xf numFmtId="9" fontId="4" fillId="27" borderId="0" xfId="2" applyFont="1" applyFill="1"/>
    <xf numFmtId="43" fontId="4" fillId="27" borderId="4" xfId="1" applyFont="1" applyFill="1" applyBorder="1"/>
    <xf numFmtId="167" fontId="1" fillId="27" borderId="39" xfId="18" applyNumberFormat="1" applyFont="1" applyFill="1" applyBorder="1"/>
    <xf numFmtId="167" fontId="1" fillId="27" borderId="10" xfId="18" applyNumberFormat="1" applyFont="1" applyFill="1" applyBorder="1"/>
    <xf numFmtId="44" fontId="1" fillId="27" borderId="0" xfId="18" applyNumberFormat="1" applyFont="1" applyFill="1" applyBorder="1"/>
    <xf numFmtId="164" fontId="4" fillId="27" borderId="11" xfId="1" applyNumberFormat="1" applyFont="1" applyFill="1" applyBorder="1"/>
    <xf numFmtId="167" fontId="4" fillId="0" borderId="0" xfId="0" applyNumberFormat="1" applyFont="1" applyFill="1"/>
    <xf numFmtId="43" fontId="9" fillId="0" borderId="2" xfId="1" applyFont="1" applyBorder="1"/>
    <xf numFmtId="0" fontId="8" fillId="27" borderId="1" xfId="5" applyFill="1" applyBorder="1">
      <alignment horizontal="left" vertical="center" wrapText="1"/>
    </xf>
    <xf numFmtId="164" fontId="8" fillId="27" borderId="1" xfId="1" applyNumberFormat="1" applyFont="1" applyFill="1" applyBorder="1" applyAlignment="1">
      <alignment horizontal="right"/>
    </xf>
    <xf numFmtId="0" fontId="8" fillId="27" borderId="19" xfId="5" applyFill="1" applyBorder="1">
      <alignment horizontal="left" vertical="center" wrapText="1"/>
    </xf>
    <xf numFmtId="0" fontId="75" fillId="27" borderId="8" xfId="3" applyFont="1" applyFill="1" applyBorder="1"/>
    <xf numFmtId="164" fontId="75" fillId="27" borderId="2" xfId="3" applyNumberFormat="1" applyFont="1" applyFill="1" applyBorder="1"/>
    <xf numFmtId="167" fontId="4" fillId="7" borderId="30" xfId="18" applyNumberFormat="1" applyFont="1" applyFill="1" applyBorder="1"/>
    <xf numFmtId="9" fontId="4" fillId="7" borderId="3" xfId="2" applyFont="1" applyFill="1" applyBorder="1" applyAlignment="1">
      <alignment horizontal="center"/>
    </xf>
    <xf numFmtId="0" fontId="1" fillId="0" borderId="0" xfId="0" applyFont="1" applyAlignment="1">
      <alignment horizontal="center"/>
    </xf>
    <xf numFmtId="9" fontId="4" fillId="27" borderId="3" xfId="2" applyFont="1" applyFill="1" applyBorder="1" applyAlignment="1">
      <alignment horizontal="center"/>
    </xf>
    <xf numFmtId="6" fontId="76" fillId="0" borderId="0" xfId="0" applyNumberFormat="1" applyFont="1"/>
    <xf numFmtId="0" fontId="1" fillId="12" borderId="0" xfId="0" applyFont="1" applyFill="1"/>
    <xf numFmtId="0" fontId="1" fillId="16" borderId="0" xfId="0" applyFont="1" applyFill="1"/>
    <xf numFmtId="0" fontId="4" fillId="31" borderId="0" xfId="0" applyFont="1" applyFill="1"/>
    <xf numFmtId="9" fontId="77" fillId="22" borderId="0" xfId="0" applyNumberFormat="1" applyFont="1" applyFill="1"/>
    <xf numFmtId="0" fontId="41" fillId="32" borderId="0" xfId="0" applyFont="1" applyFill="1"/>
    <xf numFmtId="0" fontId="78" fillId="31" borderId="0" xfId="0" applyFont="1" applyFill="1"/>
    <xf numFmtId="0" fontId="14" fillId="27" borderId="2" xfId="0" applyFont="1" applyFill="1" applyBorder="1" applyAlignment="1" applyProtection="1">
      <alignment horizontal="center"/>
    </xf>
    <xf numFmtId="9" fontId="4" fillId="7" borderId="0" xfId="2" applyFont="1" applyFill="1" applyBorder="1"/>
    <xf numFmtId="0" fontId="1" fillId="22" borderId="2" xfId="0" applyFont="1" applyFill="1" applyBorder="1" applyAlignment="1">
      <alignment horizontal="centerContinuous"/>
    </xf>
    <xf numFmtId="0" fontId="14" fillId="21" borderId="2" xfId="0" applyFont="1" applyFill="1" applyBorder="1" applyAlignment="1" applyProtection="1">
      <alignment horizontal="center"/>
    </xf>
    <xf numFmtId="171" fontId="4" fillId="0" borderId="0" xfId="0" applyNumberFormat="1" applyFont="1"/>
    <xf numFmtId="43" fontId="4" fillId="27" borderId="0" xfId="0" applyNumberFormat="1" applyFont="1" applyFill="1"/>
    <xf numFmtId="43" fontId="1" fillId="27" borderId="10" xfId="1" applyFont="1" applyFill="1" applyBorder="1"/>
    <xf numFmtId="170" fontId="1" fillId="27" borderId="33" xfId="1" applyNumberFormat="1" applyFont="1" applyFill="1" applyBorder="1"/>
    <xf numFmtId="170" fontId="1" fillId="27" borderId="24" xfId="1" applyNumberFormat="1" applyFont="1" applyFill="1" applyBorder="1"/>
    <xf numFmtId="171" fontId="1" fillId="27" borderId="24" xfId="1" applyNumberFormat="1" applyFont="1" applyFill="1" applyBorder="1"/>
    <xf numFmtId="0" fontId="32" fillId="18" borderId="0" xfId="0" applyFont="1" applyFill="1"/>
    <xf numFmtId="171" fontId="1" fillId="7" borderId="23" xfId="1" applyNumberFormat="1" applyFont="1" applyFill="1" applyBorder="1"/>
    <xf numFmtId="9" fontId="4" fillId="27" borderId="0" xfId="0" applyNumberFormat="1" applyFont="1" applyFill="1"/>
    <xf numFmtId="0" fontId="3" fillId="0" borderId="0" xfId="0" applyFont="1"/>
    <xf numFmtId="167" fontId="14" fillId="27" borderId="2" xfId="0" applyNumberFormat="1" applyFont="1" applyFill="1" applyBorder="1" applyAlignment="1" applyProtection="1">
      <alignment horizontal="center"/>
    </xf>
    <xf numFmtId="43" fontId="14" fillId="27" borderId="2" xfId="0" applyNumberFormat="1" applyFont="1" applyFill="1" applyBorder="1" applyAlignment="1" applyProtection="1">
      <alignment horizontal="center"/>
    </xf>
    <xf numFmtId="0" fontId="4" fillId="18" borderId="18" xfId="0" applyFont="1" applyFill="1" applyBorder="1" applyAlignment="1">
      <alignment horizontal="left" indent="2"/>
    </xf>
    <xf numFmtId="164" fontId="4" fillId="18" borderId="0" xfId="1" applyNumberFormat="1" applyFont="1" applyFill="1" applyBorder="1"/>
    <xf numFmtId="43" fontId="4" fillId="0" borderId="0" xfId="0" applyNumberFormat="1" applyFont="1" applyFill="1"/>
    <xf numFmtId="164" fontId="4" fillId="27" borderId="0" xfId="0" applyNumberFormat="1" applyFont="1" applyFill="1"/>
    <xf numFmtId="0" fontId="26" fillId="12" borderId="0" xfId="0" applyFont="1" applyFill="1" applyAlignment="1">
      <alignment horizontal="right"/>
    </xf>
    <xf numFmtId="167" fontId="4" fillId="0" borderId="0" xfId="18" applyNumberFormat="1" applyFont="1" applyFill="1" applyBorder="1"/>
    <xf numFmtId="164" fontId="14" fillId="27" borderId="2" xfId="0" applyNumberFormat="1" applyFont="1" applyFill="1" applyBorder="1" applyAlignment="1" applyProtection="1">
      <alignment horizontal="center"/>
    </xf>
    <xf numFmtId="167" fontId="4" fillId="7" borderId="50" xfId="18" applyNumberFormat="1" applyFont="1" applyFill="1" applyBorder="1"/>
    <xf numFmtId="167" fontId="4" fillId="7" borderId="6" xfId="18" applyNumberFormat="1" applyFont="1" applyFill="1" applyBorder="1"/>
    <xf numFmtId="0" fontId="4" fillId="0" borderId="6" xfId="0" applyFont="1" applyBorder="1" applyAlignment="1">
      <alignment horizontal="center"/>
    </xf>
    <xf numFmtId="9" fontId="4" fillId="7" borderId="6" xfId="2" applyFont="1" applyFill="1" applyBorder="1"/>
    <xf numFmtId="9" fontId="4" fillId="12" borderId="6" xfId="2" applyFont="1" applyFill="1" applyBorder="1"/>
    <xf numFmtId="9" fontId="4" fillId="12" borderId="6" xfId="2" applyFont="1" applyFill="1" applyBorder="1" applyAlignment="1">
      <alignment horizontal="center"/>
    </xf>
    <xf numFmtId="9" fontId="4" fillId="12" borderId="51" xfId="2" applyFont="1" applyFill="1" applyBorder="1" applyAlignment="1">
      <alignment horizontal="center"/>
    </xf>
    <xf numFmtId="0" fontId="79" fillId="21" borderId="0" xfId="0" applyFont="1" applyFill="1" applyBorder="1"/>
    <xf numFmtId="167" fontId="79" fillId="21" borderId="0" xfId="18" applyNumberFormat="1" applyFont="1" applyFill="1" applyBorder="1"/>
    <xf numFmtId="43" fontId="79" fillId="21" borderId="0" xfId="1" applyFont="1" applyFill="1" applyBorder="1"/>
    <xf numFmtId="0" fontId="1" fillId="21" borderId="0" xfId="0" applyFont="1" applyFill="1" applyAlignment="1">
      <alignment horizontal="center" wrapText="1"/>
    </xf>
    <xf numFmtId="6" fontId="4" fillId="21" borderId="0" xfId="0" applyNumberFormat="1" applyFont="1" applyFill="1"/>
    <xf numFmtId="0" fontId="11" fillId="21" borderId="0" xfId="0" applyFont="1" applyFill="1"/>
    <xf numFmtId="6" fontId="4" fillId="21" borderId="49" xfId="0" applyNumberFormat="1" applyFont="1" applyFill="1" applyBorder="1"/>
    <xf numFmtId="164" fontId="4" fillId="33" borderId="0" xfId="1" applyNumberFormat="1" applyFont="1" applyFill="1"/>
    <xf numFmtId="10" fontId="4" fillId="27" borderId="0" xfId="2" applyNumberFormat="1" applyFont="1" applyFill="1"/>
    <xf numFmtId="164" fontId="0" fillId="27" borderId="0" xfId="1" applyNumberFormat="1" applyFont="1" applyFill="1"/>
    <xf numFmtId="167" fontId="1" fillId="27" borderId="10" xfId="2" applyNumberFormat="1" applyFont="1" applyFill="1" applyBorder="1"/>
    <xf numFmtId="167" fontId="1" fillId="27" borderId="39" xfId="2" applyNumberFormat="1" applyFont="1" applyFill="1" applyBorder="1"/>
    <xf numFmtId="44" fontId="6" fillId="0" borderId="0" xfId="18" applyFont="1"/>
    <xf numFmtId="6" fontId="4" fillId="0" borderId="0" xfId="18" applyNumberFormat="1" applyFont="1"/>
    <xf numFmtId="167" fontId="4" fillId="12" borderId="0" xfId="18" applyNumberFormat="1" applyFont="1" applyFill="1" applyBorder="1"/>
    <xf numFmtId="0" fontId="77" fillId="0" borderId="0" xfId="0" applyFont="1"/>
    <xf numFmtId="0" fontId="21" fillId="0" borderId="0" xfId="0" applyFont="1"/>
    <xf numFmtId="0" fontId="82" fillId="0" borderId="0" xfId="0" applyFont="1"/>
    <xf numFmtId="0" fontId="28" fillId="3" borderId="0" xfId="0" applyFont="1" applyFill="1"/>
    <xf numFmtId="0" fontId="83" fillId="17" borderId="0" xfId="19" applyFont="1" applyFill="1"/>
    <xf numFmtId="0" fontId="83" fillId="34" borderId="0" xfId="19" applyFont="1" applyFill="1"/>
    <xf numFmtId="0" fontId="83" fillId="8" borderId="0" xfId="19" applyFont="1" applyFill="1"/>
    <xf numFmtId="0" fontId="83" fillId="21" borderId="0" xfId="19" applyFont="1" applyFill="1"/>
    <xf numFmtId="0" fontId="83" fillId="35" borderId="0" xfId="19" applyFont="1" applyFill="1"/>
    <xf numFmtId="0" fontId="83" fillId="23" borderId="0" xfId="19" applyFont="1" applyFill="1"/>
    <xf numFmtId="0" fontId="83" fillId="12" borderId="0" xfId="19" applyFont="1" applyFill="1"/>
    <xf numFmtId="0" fontId="83" fillId="6" borderId="0" xfId="19" applyFont="1" applyFill="1"/>
    <xf numFmtId="0" fontId="83" fillId="4" borderId="0" xfId="19" applyFont="1" applyFill="1"/>
    <xf numFmtId="0" fontId="83" fillId="22" borderId="0" xfId="19" applyFont="1" applyFill="1"/>
    <xf numFmtId="0" fontId="83" fillId="0" borderId="0" xfId="19" applyFont="1"/>
    <xf numFmtId="167" fontId="4" fillId="36" borderId="0" xfId="0" applyNumberFormat="1" applyFont="1" applyFill="1"/>
    <xf numFmtId="0" fontId="79" fillId="31" borderId="0" xfId="0" applyFont="1" applyFill="1" applyBorder="1"/>
    <xf numFmtId="44" fontId="6" fillId="31" borderId="0" xfId="18" applyFont="1" applyFill="1"/>
    <xf numFmtId="164" fontId="4" fillId="31" borderId="0" xfId="1" applyNumberFormat="1" applyFont="1" applyFill="1"/>
    <xf numFmtId="44" fontId="4" fillId="31" borderId="0" xfId="18" applyFont="1" applyFill="1"/>
    <xf numFmtId="0" fontId="4" fillId="2" borderId="0" xfId="0" applyFont="1" applyFill="1"/>
    <xf numFmtId="0" fontId="2" fillId="2" borderId="0" xfId="0" applyFont="1" applyFill="1" applyAlignment="1">
      <alignment horizontal="center" wrapText="1"/>
    </xf>
    <xf numFmtId="164" fontId="2" fillId="2" borderId="0" xfId="1" applyNumberFormat="1" applyFont="1" applyFill="1" applyAlignment="1">
      <alignment horizontal="center" wrapText="1"/>
    </xf>
    <xf numFmtId="0" fontId="2" fillId="2" borderId="0" xfId="0" applyFont="1" applyFill="1" applyAlignment="1">
      <alignment horizontal="center" vertical="center"/>
    </xf>
    <xf numFmtId="0" fontId="3" fillId="32" borderId="0" xfId="0" applyFont="1" applyFill="1" applyAlignment="1">
      <alignment wrapText="1"/>
    </xf>
    <xf numFmtId="0" fontId="84" fillId="0" borderId="0" xfId="0" applyFont="1"/>
    <xf numFmtId="0" fontId="14" fillId="22" borderId="2" xfId="0" applyFont="1" applyFill="1" applyBorder="1" applyAlignment="1" applyProtection="1">
      <alignment horizontal="center"/>
    </xf>
    <xf numFmtId="164" fontId="0" fillId="0" borderId="0" xfId="0" applyNumberFormat="1"/>
    <xf numFmtId="0" fontId="4" fillId="0" borderId="52" xfId="0" applyFont="1" applyBorder="1"/>
    <xf numFmtId="6" fontId="4" fillId="7" borderId="31" xfId="2" applyNumberFormat="1" applyFont="1" applyFill="1" applyBorder="1"/>
    <xf numFmtId="0" fontId="85" fillId="22" borderId="0" xfId="0" applyFont="1" applyFill="1"/>
    <xf numFmtId="0" fontId="85" fillId="27" borderId="0" xfId="0" applyFont="1" applyFill="1"/>
    <xf numFmtId="0" fontId="85" fillId="17" borderId="0" xfId="0" applyFont="1" applyFill="1" applyAlignment="1">
      <alignment horizontal="left" indent="1"/>
    </xf>
    <xf numFmtId="0" fontId="85" fillId="27" borderId="0" xfId="0" applyFont="1" applyFill="1" applyAlignment="1">
      <alignment horizontal="left" indent="1"/>
    </xf>
    <xf numFmtId="0" fontId="85" fillId="22" borderId="0" xfId="0" applyFont="1" applyFill="1" applyAlignment="1">
      <alignment horizontal="left" indent="1"/>
    </xf>
    <xf numFmtId="0" fontId="86" fillId="27" borderId="0" xfId="0" applyFont="1" applyFill="1"/>
    <xf numFmtId="7" fontId="0" fillId="0" borderId="0" xfId="0" applyNumberFormat="1" applyFill="1"/>
    <xf numFmtId="0" fontId="87" fillId="27" borderId="0" xfId="0" applyFont="1" applyFill="1" applyAlignment="1">
      <alignment horizontal="left" vertical="center" indent="1"/>
    </xf>
    <xf numFmtId="0" fontId="88" fillId="22" borderId="0" xfId="0" applyFont="1" applyFill="1" applyAlignment="1">
      <alignment horizontal="left" vertical="center" indent="1"/>
    </xf>
    <xf numFmtId="0" fontId="87" fillId="22" borderId="0" xfId="0" applyFont="1" applyFill="1" applyAlignment="1">
      <alignment horizontal="left" vertical="center" indent="1"/>
    </xf>
    <xf numFmtId="167" fontId="88" fillId="7" borderId="3" xfId="18" applyNumberFormat="1" applyFont="1" applyFill="1" applyBorder="1"/>
    <xf numFmtId="167" fontId="88" fillId="7" borderId="6" xfId="18" applyNumberFormat="1" applyFont="1" applyFill="1" applyBorder="1"/>
    <xf numFmtId="0" fontId="0" fillId="22" borderId="0" xfId="0" applyFill="1"/>
    <xf numFmtId="167" fontId="4" fillId="7" borderId="0" xfId="2" applyNumberFormat="1" applyFont="1" applyFill="1" applyBorder="1"/>
    <xf numFmtId="167" fontId="14" fillId="27" borderId="0" xfId="0" applyNumberFormat="1" applyFont="1" applyFill="1" applyBorder="1" applyAlignment="1" applyProtection="1">
      <alignment horizontal="center"/>
    </xf>
    <xf numFmtId="0" fontId="86" fillId="22" borderId="0" xfId="0" applyFont="1" applyFill="1"/>
    <xf numFmtId="0" fontId="17" fillId="22" borderId="0" xfId="0" applyFont="1" applyFill="1"/>
    <xf numFmtId="0" fontId="71" fillId="22" borderId="0" xfId="0" applyFont="1" applyFill="1"/>
    <xf numFmtId="0" fontId="0" fillId="0" borderId="0" xfId="0" applyFont="1" applyFill="1"/>
    <xf numFmtId="0" fontId="4" fillId="0" borderId="19" xfId="0" applyFont="1" applyFill="1" applyBorder="1" applyAlignment="1">
      <alignment horizontal="center" vertical="center" wrapText="1"/>
    </xf>
    <xf numFmtId="9" fontId="4" fillId="12" borderId="53" xfId="2" applyFont="1" applyFill="1" applyBorder="1"/>
    <xf numFmtId="9" fontId="4" fillId="12" borderId="54" xfId="2" applyFont="1" applyFill="1" applyBorder="1"/>
    <xf numFmtId="0" fontId="6" fillId="0" borderId="8" xfId="0" applyFont="1" applyFill="1" applyBorder="1"/>
    <xf numFmtId="0" fontId="6" fillId="18" borderId="9" xfId="0" applyFont="1" applyFill="1" applyBorder="1"/>
    <xf numFmtId="0" fontId="17" fillId="0" borderId="0" xfId="0" applyFont="1" applyFill="1" applyAlignment="1">
      <alignment horizontal="left" indent="1"/>
    </xf>
    <xf numFmtId="0" fontId="4" fillId="0" borderId="55" xfId="0" applyFont="1" applyBorder="1"/>
    <xf numFmtId="0" fontId="1" fillId="0" borderId="55" xfId="0" applyFont="1" applyBorder="1" applyAlignment="1">
      <alignment horizontal="left" indent="2"/>
    </xf>
    <xf numFmtId="0" fontId="1" fillId="0" borderId="55" xfId="0" applyFont="1" applyBorder="1"/>
    <xf numFmtId="0" fontId="1" fillId="0" borderId="55" xfId="0" applyFont="1" applyBorder="1" applyAlignment="1">
      <alignment horizontal="left" indent="1"/>
    </xf>
    <xf numFmtId="0" fontId="11" fillId="0" borderId="0" xfId="0" applyFont="1" applyAlignment="1">
      <alignment horizontal="left" indent="4"/>
    </xf>
    <xf numFmtId="0" fontId="11" fillId="0" borderId="0" xfId="0" applyFont="1" applyAlignment="1">
      <alignment horizontal="left" indent="2"/>
    </xf>
    <xf numFmtId="0" fontId="4" fillId="0" borderId="0" xfId="0" applyFont="1" applyBorder="1" applyAlignment="1">
      <alignment horizontal="left" indent="5"/>
    </xf>
    <xf numFmtId="0" fontId="17" fillId="13" borderId="0" xfId="0" applyFont="1" applyFill="1"/>
    <xf numFmtId="0" fontId="14" fillId="6" borderId="2" xfId="0" applyFont="1" applyFill="1" applyBorder="1" applyAlignment="1" applyProtection="1">
      <alignment horizontal="center" wrapText="1"/>
    </xf>
    <xf numFmtId="0" fontId="4" fillId="18" borderId="0" xfId="0" applyFont="1" applyFill="1" applyAlignment="1">
      <alignment horizontal="centerContinuous"/>
    </xf>
    <xf numFmtId="164" fontId="4" fillId="0" borderId="3" xfId="0" applyNumberFormat="1" applyFont="1" applyBorder="1"/>
    <xf numFmtId="10" fontId="4" fillId="0" borderId="0" xfId="2" applyNumberFormat="1" applyFont="1"/>
    <xf numFmtId="0" fontId="4" fillId="33" borderId="18" xfId="0" applyFont="1" applyFill="1" applyBorder="1"/>
    <xf numFmtId="0" fontId="4" fillId="33" borderId="4" xfId="0" applyFont="1" applyFill="1" applyBorder="1"/>
    <xf numFmtId="6" fontId="4" fillId="33" borderId="4" xfId="0" applyNumberFormat="1" applyFont="1" applyFill="1" applyBorder="1"/>
    <xf numFmtId="6" fontId="4" fillId="33" borderId="14" xfId="0" applyNumberFormat="1" applyFont="1" applyFill="1" applyBorder="1"/>
    <xf numFmtId="0" fontId="4" fillId="33" borderId="17" xfId="0" applyFont="1" applyFill="1" applyBorder="1"/>
    <xf numFmtId="0" fontId="4" fillId="33" borderId="7" xfId="0" applyFont="1" applyFill="1" applyBorder="1"/>
    <xf numFmtId="164" fontId="4" fillId="33" borderId="7" xfId="1" applyNumberFormat="1" applyFont="1" applyFill="1" applyBorder="1"/>
    <xf numFmtId="164" fontId="4" fillId="33" borderId="40" xfId="1" applyNumberFormat="1" applyFont="1" applyFill="1" applyBorder="1"/>
    <xf numFmtId="0" fontId="4" fillId="30" borderId="18" xfId="0" applyFont="1" applyFill="1" applyBorder="1"/>
    <xf numFmtId="6" fontId="4" fillId="30" borderId="4" xfId="0" applyNumberFormat="1" applyFont="1" applyFill="1" applyBorder="1"/>
    <xf numFmtId="6" fontId="4" fillId="30" borderId="14" xfId="0" applyNumberFormat="1" applyFont="1" applyFill="1" applyBorder="1"/>
    <xf numFmtId="0" fontId="4" fillId="30" borderId="17" xfId="0" applyFont="1" applyFill="1" applyBorder="1"/>
    <xf numFmtId="164" fontId="4" fillId="30" borderId="7" xfId="1" applyNumberFormat="1" applyFont="1" applyFill="1" applyBorder="1"/>
    <xf numFmtId="164" fontId="4" fillId="30" borderId="40" xfId="1" applyNumberFormat="1" applyFont="1" applyFill="1" applyBorder="1"/>
    <xf numFmtId="0" fontId="4" fillId="30" borderId="4" xfId="0" applyFont="1" applyFill="1" applyBorder="1"/>
    <xf numFmtId="0" fontId="4" fillId="30" borderId="7" xfId="0" applyFont="1" applyFill="1" applyBorder="1"/>
    <xf numFmtId="6" fontId="4" fillId="10" borderId="0" xfId="0" applyNumberFormat="1" applyFont="1" applyFill="1"/>
    <xf numFmtId="164" fontId="4" fillId="10" borderId="0" xfId="1" applyNumberFormat="1" applyFont="1" applyFill="1"/>
    <xf numFmtId="43" fontId="4" fillId="33" borderId="7" xfId="1" applyNumberFormat="1" applyFont="1" applyFill="1" applyBorder="1"/>
    <xf numFmtId="6" fontId="15" fillId="0" borderId="0" xfId="0" applyNumberFormat="1" applyFont="1" applyAlignment="1" applyProtection="1">
      <alignment horizontal="left" vertical="center" indent="2"/>
    </xf>
    <xf numFmtId="0" fontId="1" fillId="18" borderId="18" xfId="0" applyFont="1" applyFill="1" applyBorder="1"/>
    <xf numFmtId="0" fontId="4" fillId="18" borderId="4" xfId="0" applyFont="1" applyFill="1" applyBorder="1"/>
    <xf numFmtId="0" fontId="4" fillId="18" borderId="14" xfId="0" applyFont="1" applyFill="1" applyBorder="1"/>
    <xf numFmtId="0" fontId="4" fillId="18" borderId="15" xfId="0" applyFont="1" applyFill="1" applyBorder="1"/>
    <xf numFmtId="0" fontId="4" fillId="18" borderId="16" xfId="0" applyFont="1" applyFill="1" applyBorder="1"/>
    <xf numFmtId="6" fontId="4" fillId="18" borderId="15" xfId="0" applyNumberFormat="1" applyFont="1" applyFill="1" applyBorder="1"/>
    <xf numFmtId="6" fontId="4" fillId="18" borderId="0" xfId="0" applyNumberFormat="1" applyFont="1" applyFill="1" applyBorder="1"/>
    <xf numFmtId="6" fontId="4" fillId="18" borderId="16" xfId="0" applyNumberFormat="1" applyFont="1" applyFill="1" applyBorder="1"/>
    <xf numFmtId="6" fontId="4" fillId="18" borderId="17" xfId="0" applyNumberFormat="1" applyFont="1" applyFill="1" applyBorder="1"/>
    <xf numFmtId="6" fontId="4" fillId="18" borderId="7" xfId="0" applyNumberFormat="1" applyFont="1" applyFill="1" applyBorder="1"/>
    <xf numFmtId="6" fontId="4" fillId="18" borderId="40" xfId="0" applyNumberFormat="1" applyFont="1" applyFill="1" applyBorder="1"/>
    <xf numFmtId="0" fontId="4" fillId="18" borderId="56" xfId="0" applyFont="1" applyFill="1" applyBorder="1"/>
    <xf numFmtId="0" fontId="4" fillId="18" borderId="57" xfId="0" applyFont="1" applyFill="1" applyBorder="1"/>
    <xf numFmtId="0" fontId="4" fillId="18" borderId="58" xfId="0" applyFont="1" applyFill="1" applyBorder="1"/>
    <xf numFmtId="0" fontId="4" fillId="18" borderId="48" xfId="0" applyFont="1" applyFill="1" applyBorder="1"/>
    <xf numFmtId="6" fontId="4" fillId="18" borderId="58" xfId="0" applyNumberFormat="1" applyFont="1" applyFill="1" applyBorder="1"/>
    <xf numFmtId="6" fontId="4" fillId="18" borderId="48" xfId="0" applyNumberFormat="1" applyFont="1" applyFill="1" applyBorder="1"/>
    <xf numFmtId="6" fontId="4" fillId="18" borderId="59" xfId="0" applyNumberFormat="1" applyFont="1" applyFill="1" applyBorder="1"/>
    <xf numFmtId="6" fontId="4" fillId="18" borderId="60" xfId="0" applyNumberFormat="1" applyFont="1" applyFill="1" applyBorder="1"/>
    <xf numFmtId="0" fontId="4" fillId="3" borderId="18" xfId="0" applyFont="1" applyFill="1" applyBorder="1"/>
    <xf numFmtId="0" fontId="4" fillId="3" borderId="4" xfId="0" applyFont="1" applyFill="1" applyBorder="1"/>
    <xf numFmtId="0" fontId="4" fillId="3" borderId="14" xfId="0" applyFont="1" applyFill="1" applyBorder="1"/>
    <xf numFmtId="0" fontId="4" fillId="3" borderId="15" xfId="0" applyFont="1" applyFill="1" applyBorder="1"/>
    <xf numFmtId="0" fontId="4" fillId="3" borderId="0" xfId="0" applyFont="1" applyFill="1" applyBorder="1"/>
    <xf numFmtId="0" fontId="4" fillId="3" borderId="16" xfId="0" applyFont="1" applyFill="1" applyBorder="1"/>
    <xf numFmtId="6" fontId="4" fillId="3" borderId="15" xfId="0" applyNumberFormat="1" applyFont="1" applyFill="1" applyBorder="1"/>
    <xf numFmtId="6" fontId="4" fillId="3" borderId="0" xfId="0" applyNumberFormat="1" applyFont="1" applyFill="1" applyBorder="1"/>
    <xf numFmtId="6" fontId="4" fillId="3" borderId="16" xfId="0" applyNumberFormat="1" applyFont="1" applyFill="1" applyBorder="1"/>
    <xf numFmtId="164" fontId="4" fillId="3" borderId="17" xfId="1" applyNumberFormat="1" applyFont="1" applyFill="1" applyBorder="1"/>
    <xf numFmtId="164" fontId="4" fillId="3" borderId="7" xfId="1" applyNumberFormat="1" applyFont="1" applyFill="1" applyBorder="1"/>
    <xf numFmtId="164" fontId="4" fillId="3" borderId="40" xfId="1" applyNumberFormat="1" applyFont="1" applyFill="1" applyBorder="1"/>
    <xf numFmtId="0" fontId="4" fillId="3" borderId="56" xfId="0" applyFont="1" applyFill="1" applyBorder="1"/>
    <xf numFmtId="0" fontId="4" fillId="3" borderId="57" xfId="0" applyFont="1" applyFill="1" applyBorder="1"/>
    <xf numFmtId="0" fontId="4" fillId="3" borderId="58" xfId="0" applyFont="1" applyFill="1" applyBorder="1"/>
    <xf numFmtId="0" fontId="4" fillId="3" borderId="48" xfId="0" applyFont="1" applyFill="1" applyBorder="1"/>
    <xf numFmtId="6" fontId="4" fillId="3" borderId="58" xfId="0" applyNumberFormat="1" applyFont="1" applyFill="1" applyBorder="1"/>
    <xf numFmtId="6" fontId="4" fillId="3" borderId="48" xfId="0" applyNumberFormat="1" applyFont="1" applyFill="1" applyBorder="1"/>
    <xf numFmtId="164" fontId="4" fillId="3" borderId="59" xfId="1" applyNumberFormat="1" applyFont="1" applyFill="1" applyBorder="1"/>
    <xf numFmtId="164" fontId="4" fillId="3" borderId="60" xfId="1" applyNumberFormat="1" applyFont="1" applyFill="1" applyBorder="1"/>
    <xf numFmtId="9" fontId="4" fillId="7" borderId="6" xfId="2" applyFont="1" applyFill="1" applyBorder="1" applyAlignment="1">
      <alignment horizontal="center"/>
    </xf>
    <xf numFmtId="0" fontId="1" fillId="0" borderId="48" xfId="0" applyFont="1" applyBorder="1" applyAlignment="1">
      <alignment wrapText="1"/>
    </xf>
    <xf numFmtId="167" fontId="4" fillId="7" borderId="6" xfId="18" applyNumberFormat="1" applyFont="1" applyFill="1" applyBorder="1" applyAlignment="1">
      <alignment horizontal="center"/>
    </xf>
    <xf numFmtId="0" fontId="4" fillId="0" borderId="0" xfId="0" applyFont="1" applyAlignment="1">
      <alignment wrapText="1"/>
    </xf>
    <xf numFmtId="0" fontId="89" fillId="30" borderId="0" xfId="0" applyFont="1" applyFill="1"/>
    <xf numFmtId="43" fontId="4" fillId="27" borderId="29" xfId="1" applyNumberFormat="1" applyFont="1" applyFill="1" applyBorder="1"/>
    <xf numFmtId="43" fontId="4" fillId="27" borderId="3" xfId="1" applyNumberFormat="1" applyFont="1" applyFill="1" applyBorder="1"/>
    <xf numFmtId="0" fontId="4" fillId="33" borderId="0" xfId="0" applyFont="1" applyFill="1" applyBorder="1"/>
    <xf numFmtId="164" fontId="4" fillId="33" borderId="0" xfId="1" applyNumberFormat="1" applyFont="1" applyFill="1" applyBorder="1"/>
    <xf numFmtId="43" fontId="4" fillId="33" borderId="0" xfId="1" applyNumberFormat="1" applyFont="1" applyFill="1" applyBorder="1"/>
    <xf numFmtId="9" fontId="4" fillId="7" borderId="6" xfId="2" applyFont="1" applyFill="1" applyBorder="1" applyAlignment="1">
      <alignment horizontal="center" wrapText="1"/>
    </xf>
    <xf numFmtId="0" fontId="0" fillId="13" borderId="0" xfId="0" applyFill="1"/>
    <xf numFmtId="0" fontId="0" fillId="16" borderId="15" xfId="0" applyFill="1" applyBorder="1"/>
    <xf numFmtId="0" fontId="0" fillId="16" borderId="17" xfId="0" applyFill="1" applyBorder="1"/>
    <xf numFmtId="0" fontId="0" fillId="13" borderId="0" xfId="0" applyFill="1" applyBorder="1"/>
    <xf numFmtId="9" fontId="4" fillId="0" borderId="0" xfId="2" applyFont="1"/>
    <xf numFmtId="9" fontId="4" fillId="7" borderId="6" xfId="2" applyNumberFormat="1" applyFont="1" applyFill="1" applyBorder="1"/>
    <xf numFmtId="9" fontId="4" fillId="0" borderId="0" xfId="2" applyNumberFormat="1" applyFont="1"/>
    <xf numFmtId="0" fontId="92" fillId="3" borderId="4" xfId="0" applyFont="1" applyFill="1" applyBorder="1"/>
    <xf numFmtId="0" fontId="0" fillId="3" borderId="4" xfId="0" applyFill="1" applyBorder="1"/>
    <xf numFmtId="0" fontId="0" fillId="3" borderId="0" xfId="0" applyFill="1" applyBorder="1" applyAlignment="1">
      <alignment horizontal="right"/>
    </xf>
    <xf numFmtId="167" fontId="5" fillId="3" borderId="0" xfId="18" applyNumberFormat="1" applyFont="1" applyFill="1" applyBorder="1"/>
    <xf numFmtId="0" fontId="0" fillId="3" borderId="0" xfId="0" applyFill="1" applyBorder="1"/>
    <xf numFmtId="167" fontId="90" fillId="3" borderId="0" xfId="18" applyNumberFormat="1" applyFont="1" applyFill="1" applyBorder="1"/>
    <xf numFmtId="0" fontId="92" fillId="3" borderId="15" xfId="0" applyFont="1" applyFill="1" applyBorder="1"/>
    <xf numFmtId="0" fontId="0" fillId="3" borderId="0" xfId="0" applyFill="1" applyBorder="1" applyAlignment="1">
      <alignment horizontal="center"/>
    </xf>
    <xf numFmtId="0" fontId="0" fillId="3" borderId="0" xfId="0" applyFill="1" applyBorder="1" applyAlignment="1">
      <alignment horizontal="left" indent="1"/>
    </xf>
    <xf numFmtId="9" fontId="0" fillId="3" borderId="0" xfId="0" applyNumberFormat="1" applyFill="1" applyBorder="1"/>
    <xf numFmtId="0" fontId="0" fillId="3" borderId="17" xfId="0" applyFill="1" applyBorder="1"/>
    <xf numFmtId="0" fontId="0" fillId="3" borderId="7" xfId="0" applyFill="1" applyBorder="1"/>
    <xf numFmtId="0" fontId="0" fillId="16" borderId="4" xfId="0" applyFill="1" applyBorder="1"/>
    <xf numFmtId="0" fontId="0" fillId="16" borderId="0" xfId="0" applyFill="1" applyBorder="1" applyAlignment="1">
      <alignment horizontal="right"/>
    </xf>
    <xf numFmtId="167" fontId="5" fillId="16" borderId="0" xfId="18" applyNumberFormat="1" applyFont="1" applyFill="1" applyBorder="1"/>
    <xf numFmtId="0" fontId="0" fillId="16" borderId="0" xfId="0" applyFill="1" applyBorder="1"/>
    <xf numFmtId="0" fontId="0" fillId="16" borderId="0" xfId="0" applyFill="1" applyBorder="1" applyAlignment="1">
      <alignment horizontal="center"/>
    </xf>
    <xf numFmtId="0" fontId="0" fillId="16" borderId="15" xfId="0" applyFill="1" applyBorder="1" applyAlignment="1">
      <alignment horizontal="left" indent="1"/>
    </xf>
    <xf numFmtId="9" fontId="93" fillId="16" borderId="0" xfId="0" applyNumberFormat="1" applyFont="1" applyFill="1" applyBorder="1" applyAlignment="1">
      <alignment horizontal="center"/>
    </xf>
    <xf numFmtId="0" fontId="0" fillId="16" borderId="7" xfId="0" applyFill="1" applyBorder="1"/>
    <xf numFmtId="0" fontId="0" fillId="37" borderId="4" xfId="0" applyFill="1" applyBorder="1"/>
    <xf numFmtId="0" fontId="0" fillId="37" borderId="15" xfId="0" applyFill="1" applyBorder="1"/>
    <xf numFmtId="0" fontId="0" fillId="37" borderId="0" xfId="0" applyFill="1" applyBorder="1" applyAlignment="1">
      <alignment horizontal="right"/>
    </xf>
    <xf numFmtId="167" fontId="5" fillId="37" borderId="0" xfId="18" applyNumberFormat="1" applyFont="1" applyFill="1" applyBorder="1"/>
    <xf numFmtId="0" fontId="0" fillId="37" borderId="0" xfId="0" applyFill="1" applyBorder="1"/>
    <xf numFmtId="3" fontId="5" fillId="37" borderId="0" xfId="0" applyNumberFormat="1" applyFont="1" applyFill="1" applyBorder="1"/>
    <xf numFmtId="0" fontId="0" fillId="37" borderId="0" xfId="0" applyFill="1" applyBorder="1" applyAlignment="1">
      <alignment horizontal="center"/>
    </xf>
    <xf numFmtId="0" fontId="0" fillId="37" borderId="0" xfId="0" applyFill="1"/>
    <xf numFmtId="0" fontId="0" fillId="3" borderId="0" xfId="0" applyFill="1" applyBorder="1" applyAlignment="1">
      <alignment horizontal="left" vertical="center" indent="1"/>
    </xf>
    <xf numFmtId="0" fontId="0" fillId="3" borderId="0" xfId="0" applyFill="1" applyBorder="1" applyAlignment="1">
      <alignment vertical="center"/>
    </xf>
    <xf numFmtId="167" fontId="5" fillId="3" borderId="0" xfId="18" applyNumberFormat="1" applyFont="1" applyFill="1" applyBorder="1" applyAlignment="1">
      <alignment vertical="center"/>
    </xf>
    <xf numFmtId="0" fontId="93" fillId="3" borderId="0" xfId="0" applyNumberFormat="1" applyFont="1" applyFill="1" applyBorder="1" applyAlignment="1">
      <alignment horizontal="center" vertical="center"/>
    </xf>
    <xf numFmtId="0" fontId="94" fillId="3" borderId="0" xfId="0" applyFont="1" applyFill="1" applyBorder="1" applyAlignment="1">
      <alignment horizontal="center"/>
    </xf>
    <xf numFmtId="9" fontId="93" fillId="3" borderId="0" xfId="0" applyNumberFormat="1" applyFont="1" applyFill="1" applyBorder="1" applyAlignment="1">
      <alignment horizontal="center" vertical="center"/>
    </xf>
    <xf numFmtId="0" fontId="39" fillId="3" borderId="0" xfId="0" applyFont="1" applyFill="1" applyBorder="1" applyAlignment="1">
      <alignment horizontal="center"/>
    </xf>
    <xf numFmtId="1" fontId="93" fillId="3" borderId="0" xfId="0" applyNumberFormat="1" applyFont="1" applyFill="1" applyBorder="1" applyAlignment="1">
      <alignment horizontal="center" vertical="center"/>
    </xf>
    <xf numFmtId="0" fontId="0" fillId="16" borderId="15" xfId="0" applyFill="1" applyBorder="1" applyAlignment="1">
      <alignment horizontal="left" vertical="center" indent="1"/>
    </xf>
    <xf numFmtId="0" fontId="0" fillId="16" borderId="0" xfId="0" applyFill="1" applyBorder="1" applyAlignment="1">
      <alignment vertical="center"/>
    </xf>
    <xf numFmtId="9" fontId="93" fillId="16" borderId="0" xfId="0" applyNumberFormat="1" applyFont="1" applyFill="1" applyBorder="1" applyAlignment="1">
      <alignment horizontal="center" vertical="center"/>
    </xf>
    <xf numFmtId="167" fontId="5" fillId="16" borderId="0" xfId="18" applyNumberFormat="1" applyFont="1" applyFill="1" applyBorder="1" applyAlignment="1">
      <alignment vertical="center"/>
    </xf>
    <xf numFmtId="0" fontId="0" fillId="16" borderId="15" xfId="0" applyFont="1" applyFill="1" applyBorder="1" applyAlignment="1">
      <alignment horizontal="left" vertical="center" indent="1"/>
    </xf>
    <xf numFmtId="0" fontId="0" fillId="37" borderId="15" xfId="0" applyFill="1" applyBorder="1" applyAlignment="1">
      <alignment horizontal="left" vertical="center" indent="1"/>
    </xf>
    <xf numFmtId="0" fontId="0" fillId="37" borderId="0" xfId="0" applyFill="1" applyAlignment="1">
      <alignment vertical="center"/>
    </xf>
    <xf numFmtId="9" fontId="93" fillId="37" borderId="0" xfId="0" applyNumberFormat="1" applyFont="1" applyFill="1" applyBorder="1" applyAlignment="1">
      <alignment horizontal="center" vertical="center"/>
    </xf>
    <xf numFmtId="0" fontId="0" fillId="37" borderId="0" xfId="0" applyFill="1" applyBorder="1" applyAlignment="1">
      <alignment vertical="center"/>
    </xf>
    <xf numFmtId="167" fontId="5" fillId="37" borderId="0" xfId="18" applyNumberFormat="1" applyFont="1" applyFill="1" applyBorder="1" applyAlignment="1">
      <alignment vertical="center"/>
    </xf>
    <xf numFmtId="0" fontId="93" fillId="37" borderId="0" xfId="0" applyNumberFormat="1" applyFont="1" applyFill="1" applyBorder="1" applyAlignment="1">
      <alignment horizontal="center" vertical="center"/>
    </xf>
    <xf numFmtId="0" fontId="0" fillId="3" borderId="0" xfId="0" applyNumberFormat="1" applyFill="1" applyBorder="1"/>
    <xf numFmtId="0" fontId="4" fillId="0" borderId="0" xfId="0" applyNumberFormat="1" applyFont="1"/>
    <xf numFmtId="3" fontId="4" fillId="0" borderId="0" xfId="0" applyNumberFormat="1" applyFont="1"/>
    <xf numFmtId="0" fontId="0" fillId="3" borderId="0" xfId="0" applyFill="1" applyBorder="1" applyAlignment="1">
      <alignment horizontal="center" vertical="center" wrapText="1"/>
    </xf>
    <xf numFmtId="0" fontId="0" fillId="3" borderId="0" xfId="0" applyFill="1" applyBorder="1" applyAlignment="1">
      <alignment horizontal="center" wrapText="1"/>
    </xf>
    <xf numFmtId="0" fontId="96" fillId="3" borderId="18" xfId="0" applyFont="1" applyFill="1" applyBorder="1"/>
    <xf numFmtId="0" fontId="96" fillId="3" borderId="15" xfId="0" applyFont="1" applyFill="1" applyBorder="1"/>
    <xf numFmtId="0" fontId="96" fillId="16" borderId="15" xfId="0" applyFont="1" applyFill="1" applyBorder="1"/>
    <xf numFmtId="0" fontId="96" fillId="16" borderId="18" xfId="0" applyFont="1" applyFill="1" applyBorder="1"/>
    <xf numFmtId="0" fontId="97" fillId="3" borderId="0" xfId="0" applyFont="1" applyFill="1" applyBorder="1" applyAlignment="1">
      <alignment horizontal="center" vertical="center" wrapText="1"/>
    </xf>
    <xf numFmtId="0" fontId="97" fillId="37" borderId="0" xfId="0" applyFont="1" applyFill="1" applyBorder="1" applyAlignment="1">
      <alignment horizontal="center" vertical="center" wrapText="1"/>
    </xf>
    <xf numFmtId="0" fontId="96" fillId="37" borderId="18" xfId="0" applyFont="1" applyFill="1" applyBorder="1"/>
    <xf numFmtId="0" fontId="98" fillId="37" borderId="15" xfId="0" applyFont="1" applyFill="1" applyBorder="1"/>
    <xf numFmtId="0" fontId="82" fillId="3" borderId="15" xfId="0" applyFont="1" applyFill="1" applyBorder="1"/>
    <xf numFmtId="0" fontId="0" fillId="3" borderId="15" xfId="0" applyFont="1" applyFill="1" applyBorder="1"/>
    <xf numFmtId="0" fontId="0" fillId="3" borderId="15" xfId="0" applyFont="1" applyFill="1" applyBorder="1" applyAlignment="1">
      <alignment wrapText="1"/>
    </xf>
    <xf numFmtId="0" fontId="0" fillId="3" borderId="15" xfId="0" applyFont="1" applyFill="1" applyBorder="1" applyAlignment="1">
      <alignment horizontal="left" vertical="center" indent="2"/>
    </xf>
    <xf numFmtId="0" fontId="0" fillId="3" borderId="15" xfId="0" applyFont="1" applyFill="1" applyBorder="1" applyAlignment="1">
      <alignment horizontal="left" indent="1"/>
    </xf>
    <xf numFmtId="0" fontId="0" fillId="3" borderId="15" xfId="0" applyFont="1" applyFill="1" applyBorder="1" applyAlignment="1">
      <alignment horizontal="left"/>
    </xf>
    <xf numFmtId="0" fontId="0" fillId="3" borderId="15" xfId="0" applyFont="1" applyFill="1" applyBorder="1" applyAlignment="1">
      <alignment horizontal="left" vertical="center" wrapText="1" indent="2"/>
    </xf>
    <xf numFmtId="1" fontId="0" fillId="16" borderId="0" xfId="0" applyNumberFormat="1" applyFill="1" applyAlignment="1">
      <alignment horizontal="center" vertical="center"/>
    </xf>
    <xf numFmtId="9" fontId="99" fillId="18" borderId="1" xfId="0" applyNumberFormat="1" applyFont="1" applyFill="1" applyBorder="1"/>
    <xf numFmtId="0" fontId="97" fillId="16" borderId="0" xfId="0" applyFont="1" applyFill="1" applyBorder="1" applyAlignment="1">
      <alignment horizontal="right" vertical="center"/>
    </xf>
    <xf numFmtId="0" fontId="0" fillId="16" borderId="0" xfId="0" applyFill="1" applyBorder="1" applyAlignment="1">
      <alignment horizontal="center" wrapText="1"/>
    </xf>
    <xf numFmtId="0" fontId="0" fillId="37" borderId="0" xfId="0" applyFill="1" applyBorder="1" applyAlignment="1">
      <alignment horizontal="center" wrapText="1"/>
    </xf>
    <xf numFmtId="167" fontId="47" fillId="3" borderId="0" xfId="18" applyNumberFormat="1" applyFont="1" applyFill="1" applyBorder="1"/>
    <xf numFmtId="0" fontId="47" fillId="16" borderId="15" xfId="0" applyFont="1" applyFill="1" applyBorder="1" applyAlignment="1">
      <alignment horizontal="left" indent="1"/>
    </xf>
    <xf numFmtId="0" fontId="1" fillId="0" borderId="0" xfId="0" applyFont="1" applyAlignment="1">
      <alignment horizontal="left" indent="3"/>
    </xf>
    <xf numFmtId="0" fontId="47" fillId="3" borderId="0" xfId="0" applyFont="1" applyFill="1" applyBorder="1" applyAlignment="1">
      <alignment horizontal="left" indent="2"/>
    </xf>
    <xf numFmtId="0" fontId="11" fillId="13" borderId="0" xfId="0" applyFont="1" applyFill="1" applyAlignment="1">
      <alignment horizontal="center" wrapText="1"/>
    </xf>
    <xf numFmtId="0" fontId="98" fillId="3" borderId="15" xfId="0" applyFont="1" applyFill="1" applyBorder="1" applyAlignment="1">
      <alignment horizontal="left" indent="1"/>
    </xf>
    <xf numFmtId="0" fontId="100" fillId="16" borderId="0" xfId="0" applyFont="1" applyFill="1" applyBorder="1"/>
    <xf numFmtId="0" fontId="0" fillId="16" borderId="0" xfId="0" applyFill="1" applyBorder="1" applyAlignment="1">
      <alignment horizontal="left"/>
    </xf>
    <xf numFmtId="0" fontId="39" fillId="16" borderId="0" xfId="0" applyFont="1" applyFill="1" applyBorder="1"/>
    <xf numFmtId="172" fontId="97" fillId="16" borderId="0" xfId="1" applyNumberFormat="1" applyFont="1" applyFill="1" applyBorder="1" applyAlignment="1">
      <alignment horizontal="center" vertical="center"/>
    </xf>
    <xf numFmtId="6" fontId="0" fillId="37" borderId="0" xfId="0" applyNumberFormat="1" applyFill="1" applyBorder="1"/>
    <xf numFmtId="9" fontId="5" fillId="37" borderId="0" xfId="2" applyFont="1" applyFill="1" applyBorder="1" applyAlignment="1">
      <alignment horizontal="center"/>
    </xf>
    <xf numFmtId="0" fontId="47" fillId="16" borderId="15" xfId="0" applyFont="1" applyFill="1" applyBorder="1" applyAlignment="1">
      <alignment horizontal="right"/>
    </xf>
    <xf numFmtId="0" fontId="81" fillId="0" borderId="0" xfId="19"/>
    <xf numFmtId="169" fontId="4" fillId="0" borderId="0" xfId="1" applyNumberFormat="1" applyFont="1"/>
    <xf numFmtId="1" fontId="67" fillId="3" borderId="0" xfId="0" applyNumberFormat="1" applyFont="1" applyFill="1" applyBorder="1" applyAlignment="1">
      <alignment horizontal="center" vertical="center" wrapText="1"/>
    </xf>
    <xf numFmtId="0" fontId="4" fillId="15" borderId="0" xfId="0" applyFont="1" applyFill="1"/>
    <xf numFmtId="164" fontId="4" fillId="15" borderId="0" xfId="0" applyNumberFormat="1" applyFont="1" applyFill="1"/>
    <xf numFmtId="164" fontId="0" fillId="3" borderId="0" xfId="1" applyNumberFormat="1" applyFont="1" applyFill="1" applyBorder="1"/>
    <xf numFmtId="167" fontId="4" fillId="30" borderId="3" xfId="2" applyNumberFormat="1" applyFont="1" applyFill="1" applyBorder="1"/>
    <xf numFmtId="173" fontId="0" fillId="3" borderId="0" xfId="1" applyNumberFormat="1" applyFont="1" applyFill="1" applyBorder="1" applyAlignment="1">
      <alignment horizontal="center" vertical="center" wrapText="1"/>
    </xf>
    <xf numFmtId="0" fontId="82" fillId="37" borderId="0" xfId="0" applyFont="1" applyFill="1" applyBorder="1" applyAlignment="1">
      <alignment horizontal="center" wrapText="1"/>
    </xf>
    <xf numFmtId="6" fontId="4" fillId="7" borderId="0" xfId="2" applyNumberFormat="1" applyFont="1" applyFill="1" applyBorder="1"/>
    <xf numFmtId="0" fontId="100" fillId="37" borderId="0" xfId="0" applyFont="1" applyFill="1" applyBorder="1"/>
    <xf numFmtId="167" fontId="100" fillId="37" borderId="0" xfId="18" applyNumberFormat="1" applyFont="1" applyFill="1" applyBorder="1"/>
    <xf numFmtId="0" fontId="100" fillId="37" borderId="0" xfId="0" applyFont="1" applyFill="1" applyBorder="1" applyAlignment="1">
      <alignment horizontal="center"/>
    </xf>
    <xf numFmtId="9" fontId="100" fillId="37" borderId="0" xfId="0" applyNumberFormat="1" applyFont="1" applyFill="1" applyBorder="1"/>
    <xf numFmtId="0" fontId="103" fillId="13" borderId="0" xfId="0" applyFont="1" applyFill="1"/>
    <xf numFmtId="6" fontId="6" fillId="0" borderId="0" xfId="18" applyNumberFormat="1" applyFont="1"/>
    <xf numFmtId="6" fontId="4" fillId="0" borderId="0" xfId="0" applyNumberFormat="1" applyFont="1" applyFill="1"/>
    <xf numFmtId="0" fontId="14" fillId="4" borderId="2" xfId="0" applyFont="1" applyFill="1" applyBorder="1" applyAlignment="1" applyProtection="1">
      <alignment horizontal="center"/>
    </xf>
    <xf numFmtId="6" fontId="1" fillId="11" borderId="20" xfId="2" applyNumberFormat="1" applyFont="1" applyFill="1" applyBorder="1"/>
    <xf numFmtId="0" fontId="4" fillId="0" borderId="52" xfId="0" applyFont="1" applyBorder="1" applyAlignment="1">
      <alignment horizontal="left" indent="1"/>
    </xf>
    <xf numFmtId="0" fontId="1" fillId="0" borderId="7" xfId="0" applyFont="1" applyBorder="1" applyAlignment="1">
      <alignment horizontal="left"/>
    </xf>
    <xf numFmtId="6" fontId="4" fillId="7" borderId="27" xfId="2" applyNumberFormat="1" applyFont="1" applyFill="1" applyBorder="1"/>
    <xf numFmtId="0" fontId="0" fillId="0" borderId="4" xfId="0" applyBorder="1"/>
    <xf numFmtId="0" fontId="4" fillId="0" borderId="60" xfId="0" applyFont="1" applyBorder="1" applyAlignment="1">
      <alignment horizontal="left" indent="1"/>
    </xf>
    <xf numFmtId="0" fontId="4" fillId="0" borderId="61" xfId="0" applyFont="1" applyBorder="1" applyAlignment="1">
      <alignment horizontal="left" indent="1"/>
    </xf>
    <xf numFmtId="6" fontId="4" fillId="7" borderId="62" xfId="2" applyNumberFormat="1" applyFont="1" applyFill="1" applyBorder="1"/>
    <xf numFmtId="6" fontId="4" fillId="7" borderId="63" xfId="2" applyNumberFormat="1" applyFont="1" applyFill="1" applyBorder="1"/>
    <xf numFmtId="6" fontId="1" fillId="11" borderId="31" xfId="2" applyNumberFormat="1" applyFont="1" applyFill="1" applyBorder="1"/>
    <xf numFmtId="174" fontId="4" fillId="0" borderId="0" xfId="2" applyNumberFormat="1" applyFont="1"/>
    <xf numFmtId="0" fontId="1" fillId="0" borderId="0" xfId="0" applyFont="1" applyAlignment="1">
      <alignment horizontal="left" vertical="center" wrapText="1"/>
    </xf>
    <xf numFmtId="165" fontId="20" fillId="0" borderId="0" xfId="0" applyNumberFormat="1" applyFont="1"/>
    <xf numFmtId="164" fontId="7" fillId="0" borderId="0" xfId="3" applyNumberFormat="1"/>
    <xf numFmtId="173" fontId="4" fillId="0" borderId="64" xfId="0" applyNumberFormat="1" applyFont="1" applyBorder="1"/>
    <xf numFmtId="173" fontId="4" fillId="0" borderId="65" xfId="0" applyNumberFormat="1" applyFont="1" applyBorder="1"/>
    <xf numFmtId="173" fontId="4" fillId="0" borderId="47" xfId="0" applyNumberFormat="1" applyFont="1" applyBorder="1"/>
    <xf numFmtId="173" fontId="0" fillId="0" borderId="0" xfId="0" applyNumberFormat="1"/>
    <xf numFmtId="167" fontId="105" fillId="16" borderId="0" xfId="0" applyNumberFormat="1" applyFont="1" applyFill="1" applyBorder="1"/>
    <xf numFmtId="167" fontId="105" fillId="3" borderId="0" xfId="0" applyNumberFormat="1" applyFont="1" applyFill="1" applyBorder="1"/>
    <xf numFmtId="0" fontId="10" fillId="0" borderId="0" xfId="8">
      <alignment horizontal="left"/>
    </xf>
    <xf numFmtId="0" fontId="8" fillId="0" borderId="9" xfId="9" applyBorder="1">
      <alignment horizontal="left"/>
    </xf>
    <xf numFmtId="0" fontId="8" fillId="0" borderId="8" xfId="10" applyBorder="1">
      <alignment horizontal="center" vertical="center" wrapText="1"/>
    </xf>
    <xf numFmtId="0" fontId="8" fillId="0" borderId="0" xfId="11">
      <alignment horizontal="left" vertical="center" wrapText="1"/>
    </xf>
    <xf numFmtId="1" fontId="8" fillId="0" borderId="0" xfId="12" applyNumberFormat="1">
      <alignment horizontal="right"/>
    </xf>
    <xf numFmtId="0" fontId="8" fillId="0" borderId="0" xfId="12">
      <alignment horizontal="right"/>
    </xf>
    <xf numFmtId="0" fontId="8" fillId="0" borderId="7" xfId="11" applyBorder="1">
      <alignment horizontal="left" vertical="center" wrapText="1"/>
    </xf>
    <xf numFmtId="1" fontId="8" fillId="0" borderId="7" xfId="12" applyNumberFormat="1" applyBorder="1">
      <alignment horizontal="right"/>
    </xf>
    <xf numFmtId="0" fontId="8" fillId="0" borderId="7" xfId="12" applyBorder="1">
      <alignment horizontal="right"/>
    </xf>
    <xf numFmtId="43" fontId="35" fillId="0" borderId="15" xfId="3" applyNumberFormat="1" applyFont="1" applyBorder="1" applyAlignment="1">
      <alignment horizontal="center"/>
    </xf>
    <xf numFmtId="43" fontId="8" fillId="0" borderId="1" xfId="1" applyNumberFormat="1" applyFont="1" applyBorder="1" applyAlignment="1">
      <alignment horizontal="right"/>
    </xf>
    <xf numFmtId="43" fontId="35" fillId="0" borderId="16" xfId="3" applyNumberFormat="1" applyFont="1" applyBorder="1" applyAlignment="1">
      <alignment horizontal="center"/>
    </xf>
    <xf numFmtId="0" fontId="20" fillId="0" borderId="0" xfId="0" applyFont="1" applyAlignment="1">
      <alignment horizontal="left" indent="2"/>
    </xf>
    <xf numFmtId="0" fontId="35" fillId="0" borderId="0" xfId="3" applyFont="1" applyAlignment="1">
      <alignment horizontal="left"/>
    </xf>
    <xf numFmtId="16" fontId="35" fillId="0" borderId="0" xfId="3" quotePrefix="1" applyNumberFormat="1" applyFont="1" applyAlignment="1">
      <alignment horizontal="center"/>
    </xf>
    <xf numFmtId="0" fontId="4" fillId="0" borderId="0" xfId="0" applyFont="1" applyFill="1" applyAlignment="1">
      <alignment horizontal="center" vertical="center" wrapText="1"/>
    </xf>
    <xf numFmtId="0" fontId="107" fillId="0" borderId="15" xfId="0" applyFont="1" applyBorder="1" applyAlignment="1">
      <alignment horizontal="left" indent="2"/>
    </xf>
    <xf numFmtId="0" fontId="108" fillId="0" borderId="0" xfId="0" applyFont="1" applyBorder="1"/>
    <xf numFmtId="43" fontId="108" fillId="0" borderId="0" xfId="1" applyFont="1" applyBorder="1"/>
    <xf numFmtId="0" fontId="108" fillId="0" borderId="0" xfId="0" applyFont="1"/>
    <xf numFmtId="0" fontId="108" fillId="5" borderId="0" xfId="0" applyFont="1" applyFill="1"/>
    <xf numFmtId="0" fontId="107" fillId="0" borderId="17" xfId="0" applyFont="1" applyBorder="1" applyAlignment="1">
      <alignment horizontal="left" indent="2"/>
    </xf>
    <xf numFmtId="0" fontId="108" fillId="0" borderId="7" xfId="0" applyFont="1" applyBorder="1"/>
    <xf numFmtId="43" fontId="108" fillId="0" borderId="7" xfId="1" applyFont="1" applyBorder="1"/>
    <xf numFmtId="0" fontId="17" fillId="0" borderId="18" xfId="0" applyFont="1" applyBorder="1" applyAlignment="1">
      <alignment horizontal="left"/>
    </xf>
    <xf numFmtId="6" fontId="4" fillId="27" borderId="0" xfId="0" applyNumberFormat="1" applyFont="1" applyFill="1" applyProtection="1">
      <protection locked="0"/>
    </xf>
    <xf numFmtId="0" fontId="4" fillId="27" borderId="14" xfId="0" applyFont="1" applyFill="1" applyBorder="1"/>
    <xf numFmtId="0" fontId="4" fillId="27" borderId="15" xfId="0" applyFont="1" applyFill="1" applyBorder="1"/>
    <xf numFmtId="0" fontId="4" fillId="27" borderId="16" xfId="0" applyFont="1" applyFill="1" applyBorder="1"/>
    <xf numFmtId="0" fontId="4" fillId="27" borderId="17" xfId="0" applyFont="1" applyFill="1" applyBorder="1"/>
    <xf numFmtId="0" fontId="4" fillId="27" borderId="40" xfId="0" applyFont="1" applyFill="1" applyBorder="1"/>
    <xf numFmtId="167" fontId="4" fillId="27" borderId="66" xfId="0" applyNumberFormat="1" applyFont="1" applyFill="1" applyBorder="1"/>
    <xf numFmtId="0" fontId="111" fillId="27" borderId="18" xfId="0" applyFont="1" applyFill="1" applyBorder="1"/>
    <xf numFmtId="1" fontId="97" fillId="3" borderId="0" xfId="0" applyNumberFormat="1" applyFont="1" applyFill="1" applyBorder="1" applyAlignment="1">
      <alignment horizontal="center" vertical="center" wrapText="1"/>
    </xf>
    <xf numFmtId="0" fontId="0" fillId="3" borderId="0" xfId="0" applyFill="1" applyBorder="1" applyAlignment="1">
      <alignment horizontal="left"/>
    </xf>
    <xf numFmtId="0" fontId="4" fillId="0" borderId="19" xfId="0" applyFont="1" applyBorder="1"/>
    <xf numFmtId="169" fontId="4" fillId="0" borderId="13" xfId="1" applyNumberFormat="1" applyFont="1" applyBorder="1"/>
    <xf numFmtId="169" fontId="4" fillId="27" borderId="47" xfId="0" applyNumberFormat="1" applyFont="1" applyFill="1" applyBorder="1"/>
    <xf numFmtId="0" fontId="0" fillId="3" borderId="15" xfId="0" applyFont="1" applyFill="1" applyBorder="1" applyAlignment="1">
      <alignment vertical="center"/>
    </xf>
    <xf numFmtId="1" fontId="0" fillId="3" borderId="0" xfId="0" applyNumberFormat="1" applyFont="1" applyFill="1" applyBorder="1" applyAlignment="1">
      <alignment horizontal="left" vertical="center"/>
    </xf>
    <xf numFmtId="0" fontId="4" fillId="24" borderId="0" xfId="0" applyFont="1" applyFill="1" applyBorder="1"/>
    <xf numFmtId="164" fontId="5" fillId="3" borderId="0" xfId="1" applyNumberFormat="1" applyFont="1" applyFill="1" applyBorder="1" applyAlignment="1">
      <alignment horizontal="center" vertical="center"/>
    </xf>
    <xf numFmtId="167" fontId="4" fillId="7" borderId="11" xfId="2" applyNumberFormat="1" applyFont="1" applyFill="1" applyBorder="1"/>
    <xf numFmtId="44" fontId="4" fillId="0" borderId="0" xfId="0" applyNumberFormat="1" applyFont="1"/>
    <xf numFmtId="0" fontId="4" fillId="0" borderId="4" xfId="0" applyFont="1" applyBorder="1" applyAlignment="1">
      <alignment horizontal="left" indent="3"/>
    </xf>
    <xf numFmtId="169" fontId="4" fillId="7" borderId="26" xfId="1" applyNumberFormat="1" applyFont="1" applyFill="1" applyBorder="1"/>
    <xf numFmtId="0" fontId="4" fillId="0" borderId="7" xfId="0" applyFont="1" applyBorder="1" applyAlignment="1">
      <alignment horizontal="left" indent="3"/>
    </xf>
    <xf numFmtId="169" fontId="4" fillId="7" borderId="27" xfId="1" applyNumberFormat="1" applyFont="1" applyFill="1" applyBorder="1"/>
    <xf numFmtId="0" fontId="4" fillId="0" borderId="0" xfId="0" applyFont="1" applyAlignment="1">
      <alignment horizontal="left" indent="5"/>
    </xf>
    <xf numFmtId="164" fontId="35" fillId="0" borderId="0" xfId="3" applyNumberFormat="1" applyFont="1" applyAlignment="1">
      <alignment horizontal="center"/>
    </xf>
    <xf numFmtId="0" fontId="0" fillId="37" borderId="0" xfId="0" applyFill="1" applyBorder="1" applyAlignment="1">
      <alignment horizontal="left" vertical="center" indent="1"/>
    </xf>
    <xf numFmtId="0" fontId="0" fillId="37" borderId="0" xfId="0" applyFill="1" applyBorder="1" applyAlignment="1">
      <alignment horizontal="center" vertical="center"/>
    </xf>
    <xf numFmtId="44" fontId="0" fillId="37" borderId="0" xfId="0" applyNumberFormat="1" applyFill="1" applyBorder="1" applyAlignment="1">
      <alignment horizontal="right"/>
    </xf>
    <xf numFmtId="43" fontId="0" fillId="37" borderId="0" xfId="1" applyFont="1" applyFill="1" applyBorder="1" applyAlignment="1">
      <alignment horizontal="right"/>
    </xf>
    <xf numFmtId="167" fontId="39" fillId="18" borderId="1" xfId="18" applyNumberFormat="1" applyFont="1" applyFill="1" applyBorder="1" applyProtection="1">
      <protection locked="0"/>
    </xf>
    <xf numFmtId="0" fontId="94" fillId="18" borderId="1" xfId="0" applyFont="1" applyFill="1" applyBorder="1" applyAlignment="1" applyProtection="1">
      <alignment horizontal="center"/>
      <protection locked="0"/>
    </xf>
    <xf numFmtId="1" fontId="93" fillId="18" borderId="1" xfId="0" applyNumberFormat="1" applyFont="1" applyFill="1" applyBorder="1" applyAlignment="1" applyProtection="1">
      <alignment horizontal="center" vertical="center"/>
      <protection locked="0"/>
    </xf>
    <xf numFmtId="0" fontId="39" fillId="18" borderId="1" xfId="0" applyFont="1" applyFill="1" applyBorder="1" applyAlignment="1" applyProtection="1">
      <alignment horizontal="center"/>
      <protection locked="0"/>
    </xf>
    <xf numFmtId="0" fontId="39" fillId="3" borderId="0" xfId="0" applyFont="1" applyFill="1" applyBorder="1" applyAlignment="1" applyProtection="1">
      <alignment horizontal="center"/>
      <protection locked="0"/>
    </xf>
    <xf numFmtId="0" fontId="93" fillId="18" borderId="1" xfId="0" applyNumberFormat="1" applyFont="1" applyFill="1" applyBorder="1" applyAlignment="1" applyProtection="1">
      <alignment horizontal="center" vertical="center"/>
      <protection locked="0"/>
    </xf>
    <xf numFmtId="9" fontId="93" fillId="18" borderId="1" xfId="0" applyNumberFormat="1" applyFont="1" applyFill="1" applyBorder="1" applyAlignment="1" applyProtection="1">
      <alignment horizontal="center"/>
      <protection locked="0"/>
    </xf>
    <xf numFmtId="9" fontId="39" fillId="18" borderId="1" xfId="2" applyFont="1" applyFill="1" applyBorder="1" applyAlignment="1" applyProtection="1">
      <alignment horizontal="center"/>
      <protection locked="0"/>
    </xf>
    <xf numFmtId="9" fontId="95" fillId="38" borderId="1" xfId="0" applyNumberFormat="1" applyFont="1" applyFill="1" applyBorder="1" applyAlignment="1" applyProtection="1">
      <alignment horizontal="center" vertical="center"/>
      <protection locked="0"/>
    </xf>
    <xf numFmtId="9" fontId="39" fillId="18" borderId="1" xfId="2" applyFont="1" applyFill="1" applyBorder="1" applyProtection="1">
      <protection locked="0"/>
    </xf>
    <xf numFmtId="169" fontId="4" fillId="7" borderId="0" xfId="1" applyNumberFormat="1" applyFont="1" applyFill="1" applyBorder="1"/>
    <xf numFmtId="164" fontId="4" fillId="18" borderId="4" xfId="1" applyNumberFormat="1" applyFont="1" applyFill="1" applyBorder="1"/>
    <xf numFmtId="0" fontId="81" fillId="3" borderId="0" xfId="19" applyFill="1" applyBorder="1" applyAlignment="1" applyProtection="1">
      <alignment horizontal="center"/>
      <protection locked="0"/>
    </xf>
    <xf numFmtId="167" fontId="0" fillId="37" borderId="0" xfId="0" applyNumberFormat="1" applyFill="1" applyBorder="1" applyAlignment="1">
      <alignment horizontal="right"/>
    </xf>
    <xf numFmtId="164" fontId="0" fillId="37" borderId="0" xfId="1" applyNumberFormat="1" applyFont="1" applyFill="1" applyBorder="1" applyAlignment="1">
      <alignment horizontal="right"/>
    </xf>
    <xf numFmtId="0" fontId="4" fillId="0" borderId="67" xfId="0" applyFont="1" applyBorder="1" applyAlignment="1">
      <alignment horizontal="left" indent="3"/>
    </xf>
    <xf numFmtId="6" fontId="4" fillId="7" borderId="68" xfId="2" applyNumberFormat="1" applyFont="1" applyFill="1" applyBorder="1"/>
    <xf numFmtId="0" fontId="4" fillId="0" borderId="69" xfId="0" applyFont="1" applyBorder="1" applyAlignment="1">
      <alignment horizontal="left" indent="3"/>
    </xf>
    <xf numFmtId="6" fontId="4" fillId="7" borderId="70" xfId="2" applyNumberFormat="1" applyFont="1" applyFill="1" applyBorder="1"/>
    <xf numFmtId="0" fontId="1" fillId="0" borderId="2" xfId="0" applyFont="1" applyBorder="1"/>
    <xf numFmtId="0" fontId="14" fillId="4" borderId="4" xfId="0" applyFont="1" applyFill="1" applyBorder="1" applyAlignment="1" applyProtection="1">
      <alignment horizontal="center"/>
    </xf>
    <xf numFmtId="0" fontId="14" fillId="5" borderId="4" xfId="0" applyFont="1" applyFill="1" applyBorder="1" applyAlignment="1" applyProtection="1">
      <alignment horizontal="center"/>
    </xf>
    <xf numFmtId="0" fontId="14" fillId="6" borderId="4" xfId="0" applyFont="1" applyFill="1" applyBorder="1" applyAlignment="1" applyProtection="1">
      <alignment horizontal="center"/>
    </xf>
    <xf numFmtId="0" fontId="4" fillId="0" borderId="4" xfId="0" applyFont="1" applyBorder="1" applyAlignment="1">
      <alignment horizontal="left" indent="1"/>
    </xf>
    <xf numFmtId="6" fontId="4" fillId="7" borderId="26" xfId="2" applyNumberFormat="1" applyFont="1" applyFill="1" applyBorder="1"/>
    <xf numFmtId="0" fontId="4" fillId="0" borderId="7" xfId="0" applyFont="1" applyBorder="1" applyAlignment="1">
      <alignment horizontal="left" indent="1"/>
    </xf>
    <xf numFmtId="0" fontId="4" fillId="0" borderId="71" xfId="0" applyFont="1" applyBorder="1" applyAlignment="1">
      <alignment horizontal="left" indent="1"/>
    </xf>
    <xf numFmtId="0" fontId="4" fillId="0" borderId="48" xfId="0" applyFont="1" applyBorder="1" applyAlignment="1">
      <alignment horizontal="left" indent="1"/>
    </xf>
    <xf numFmtId="0" fontId="14" fillId="4" borderId="2" xfId="0" applyFont="1" applyFill="1" applyBorder="1" applyAlignment="1" applyProtection="1">
      <alignment horizontal="center"/>
    </xf>
    <xf numFmtId="0" fontId="4" fillId="22" borderId="0" xfId="0" applyFont="1" applyFill="1"/>
    <xf numFmtId="43" fontId="1" fillId="15" borderId="0" xfId="0" applyNumberFormat="1" applyFont="1" applyFill="1"/>
    <xf numFmtId="9" fontId="1" fillId="0" borderId="26" xfId="2" applyNumberFormat="1" applyFont="1" applyFill="1" applyBorder="1" applyAlignment="1">
      <alignment horizontal="center"/>
    </xf>
    <xf numFmtId="165" fontId="1" fillId="0" borderId="3" xfId="2" applyNumberFormat="1" applyFont="1" applyFill="1" applyBorder="1" applyAlignment="1">
      <alignment horizontal="center"/>
    </xf>
    <xf numFmtId="165" fontId="1" fillId="0" borderId="27" xfId="2" applyNumberFormat="1" applyFont="1" applyFill="1" applyBorder="1" applyAlignment="1">
      <alignment horizontal="center"/>
    </xf>
    <xf numFmtId="0" fontId="1" fillId="22" borderId="0" xfId="0" applyFont="1" applyFill="1"/>
    <xf numFmtId="0" fontId="14" fillId="4" borderId="2" xfId="0" applyFont="1" applyFill="1" applyBorder="1" applyAlignment="1" applyProtection="1">
      <alignment horizontal="center"/>
    </xf>
    <xf numFmtId="0" fontId="0" fillId="23" borderId="0" xfId="0" applyFill="1"/>
    <xf numFmtId="165" fontId="4" fillId="7" borderId="3" xfId="2" applyNumberFormat="1" applyFont="1" applyFill="1" applyBorder="1"/>
    <xf numFmtId="0" fontId="4" fillId="0" borderId="2" xfId="0" applyFont="1" applyBorder="1"/>
    <xf numFmtId="9" fontId="4" fillId="23" borderId="11" xfId="2" applyFont="1" applyFill="1" applyBorder="1"/>
    <xf numFmtId="0" fontId="1" fillId="3" borderId="0" xfId="0" applyFont="1" applyFill="1" applyBorder="1"/>
    <xf numFmtId="0" fontId="1" fillId="39" borderId="0" xfId="0" applyFont="1" applyFill="1"/>
    <xf numFmtId="0" fontId="4" fillId="39" borderId="0" xfId="0" applyFont="1" applyFill="1"/>
    <xf numFmtId="44" fontId="6" fillId="39" borderId="0" xfId="18" applyFont="1" applyFill="1"/>
    <xf numFmtId="164" fontId="4" fillId="39" borderId="0" xfId="1" applyNumberFormat="1" applyFont="1" applyFill="1"/>
    <xf numFmtId="43" fontId="4" fillId="39" borderId="0" xfId="1" applyFont="1" applyFill="1"/>
    <xf numFmtId="164" fontId="0" fillId="23" borderId="0" xfId="0" applyNumberFormat="1" applyFill="1"/>
    <xf numFmtId="9" fontId="0" fillId="0" borderId="0" xfId="0" applyNumberFormat="1"/>
    <xf numFmtId="164" fontId="39" fillId="39" borderId="2" xfId="0" applyNumberFormat="1" applyFont="1" applyFill="1" applyBorder="1"/>
    <xf numFmtId="9" fontId="0" fillId="18" borderId="0" xfId="0" applyNumberFormat="1" applyFill="1"/>
    <xf numFmtId="0" fontId="39" fillId="39" borderId="2" xfId="0" applyFont="1" applyFill="1" applyBorder="1"/>
    <xf numFmtId="10" fontId="0" fillId="0" borderId="0" xfId="2" applyNumberFormat="1" applyFont="1"/>
    <xf numFmtId="9" fontId="0" fillId="0" borderId="0" xfId="2" applyFont="1"/>
    <xf numFmtId="164" fontId="0" fillId="23" borderId="0" xfId="1" applyNumberFormat="1" applyFont="1" applyFill="1"/>
    <xf numFmtId="165" fontId="0" fillId="0" borderId="0" xfId="2" applyNumberFormat="1" applyFont="1"/>
    <xf numFmtId="43" fontId="0" fillId="0" borderId="0" xfId="1" applyFont="1"/>
    <xf numFmtId="43" fontId="0" fillId="36" borderId="0" xfId="1" applyFont="1" applyFill="1"/>
    <xf numFmtId="0" fontId="67" fillId="0" borderId="0" xfId="0" applyFont="1"/>
    <xf numFmtId="0" fontId="0" fillId="0" borderId="19" xfId="0" applyBorder="1"/>
    <xf numFmtId="164" fontId="0" fillId="23" borderId="47" xfId="1" applyNumberFormat="1" applyFont="1" applyFill="1" applyBorder="1"/>
    <xf numFmtId="9" fontId="0" fillId="15" borderId="0" xfId="0" applyNumberFormat="1" applyFill="1"/>
    <xf numFmtId="43" fontId="0" fillId="17" borderId="0" xfId="1" applyFont="1" applyFill="1"/>
    <xf numFmtId="0" fontId="0" fillId="0" borderId="18" xfId="0" applyBorder="1"/>
    <xf numFmtId="43" fontId="0" fillId="36" borderId="4" xfId="1" applyFont="1" applyFill="1" applyBorder="1"/>
    <xf numFmtId="9" fontId="0" fillId="0" borderId="4" xfId="0" applyNumberFormat="1" applyBorder="1"/>
    <xf numFmtId="9" fontId="0" fillId="0" borderId="4" xfId="2" applyFont="1" applyBorder="1"/>
    <xf numFmtId="165" fontId="0" fillId="0" borderId="4" xfId="2" applyNumberFormat="1" applyFont="1" applyBorder="1"/>
    <xf numFmtId="165" fontId="0" fillId="0" borderId="14" xfId="2" applyNumberFormat="1" applyFont="1" applyBorder="1"/>
    <xf numFmtId="0" fontId="0" fillId="0" borderId="15" xfId="0" applyBorder="1"/>
    <xf numFmtId="43" fontId="0" fillId="17" borderId="0" xfId="1" applyFont="1" applyFill="1" applyBorder="1"/>
    <xf numFmtId="43" fontId="0" fillId="17" borderId="16" xfId="1" applyFont="1" applyFill="1" applyBorder="1"/>
    <xf numFmtId="9" fontId="0" fillId="0" borderId="0" xfId="2" applyFont="1" applyBorder="1"/>
    <xf numFmtId="43" fontId="0" fillId="0" borderId="0" xfId="0" applyNumberFormat="1" applyBorder="1"/>
    <xf numFmtId="43" fontId="0" fillId="0" borderId="16" xfId="0" applyNumberFormat="1" applyBorder="1"/>
    <xf numFmtId="10" fontId="0" fillId="0" borderId="0" xfId="2" applyNumberFormat="1" applyFont="1" applyBorder="1"/>
    <xf numFmtId="0" fontId="0" fillId="0" borderId="17" xfId="0" applyBorder="1"/>
    <xf numFmtId="10" fontId="0" fillId="0" borderId="7" xfId="2" applyNumberFormat="1" applyFont="1" applyBorder="1"/>
    <xf numFmtId="43" fontId="0" fillId="0" borderId="7" xfId="0" applyNumberFormat="1" applyBorder="1"/>
    <xf numFmtId="43" fontId="0" fillId="0" borderId="40" xfId="0" applyNumberFormat="1" applyBorder="1"/>
    <xf numFmtId="0" fontId="39" fillId="0" borderId="0" xfId="0" applyFont="1"/>
    <xf numFmtId="10" fontId="0" fillId="22" borderId="0" xfId="2" applyNumberFormat="1" applyFont="1" applyFill="1"/>
    <xf numFmtId="43" fontId="0" fillId="22" borderId="0" xfId="0" applyNumberFormat="1" applyFill="1"/>
    <xf numFmtId="164" fontId="4" fillId="0" borderId="0" xfId="1" applyNumberFormat="1" applyFont="1" applyFill="1" applyAlignment="1">
      <alignment horizontal="left" indent="2"/>
    </xf>
    <xf numFmtId="0" fontId="4" fillId="15" borderId="2" xfId="0" applyFont="1" applyFill="1" applyBorder="1"/>
    <xf numFmtId="0" fontId="4" fillId="15" borderId="2" xfId="0" applyFont="1" applyFill="1" applyBorder="1" applyAlignment="1">
      <alignment horizontal="center"/>
    </xf>
    <xf numFmtId="0" fontId="4" fillId="0" borderId="72" xfId="0" applyFont="1" applyBorder="1"/>
    <xf numFmtId="0" fontId="4" fillId="0" borderId="49" xfId="0" applyFont="1" applyBorder="1"/>
    <xf numFmtId="164" fontId="4" fillId="0" borderId="7" xfId="1" applyNumberFormat="1" applyFont="1" applyFill="1" applyBorder="1" applyAlignment="1">
      <alignment horizontal="left" indent="2"/>
    </xf>
    <xf numFmtId="0" fontId="4" fillId="0" borderId="72" xfId="0" applyFont="1" applyBorder="1" applyAlignment="1">
      <alignment horizontal="center"/>
    </xf>
    <xf numFmtId="164" fontId="4" fillId="0" borderId="72" xfId="0" applyNumberFormat="1" applyFont="1" applyBorder="1" applyAlignment="1">
      <alignment horizontal="center"/>
    </xf>
    <xf numFmtId="9" fontId="4" fillId="0" borderId="49" xfId="0" applyNumberFormat="1" applyFont="1" applyBorder="1" applyAlignment="1">
      <alignment horizontal="center"/>
    </xf>
    <xf numFmtId="164" fontId="4" fillId="0" borderId="49" xfId="0" applyNumberFormat="1" applyFont="1" applyBorder="1" applyAlignment="1">
      <alignment horizontal="center"/>
    </xf>
    <xf numFmtId="0" fontId="4" fillId="0" borderId="0" xfId="0" applyFont="1" applyAlignment="1">
      <alignment horizontal="center"/>
    </xf>
    <xf numFmtId="164" fontId="4" fillId="0" borderId="0" xfId="0" applyNumberFormat="1" applyFont="1" applyAlignment="1">
      <alignment horizontal="center"/>
    </xf>
    <xf numFmtId="165" fontId="4" fillId="0" borderId="0" xfId="0" applyNumberFormat="1" applyFont="1" applyAlignment="1">
      <alignment horizontal="center"/>
    </xf>
    <xf numFmtId="165" fontId="4" fillId="0" borderId="7" xfId="0" applyNumberFormat="1" applyFont="1" applyBorder="1" applyAlignment="1">
      <alignment horizontal="center"/>
    </xf>
    <xf numFmtId="164" fontId="4" fillId="0" borderId="7" xfId="0" applyNumberFormat="1" applyFont="1" applyBorder="1" applyAlignment="1">
      <alignment horizontal="center"/>
    </xf>
    <xf numFmtId="0" fontId="0" fillId="0" borderId="18" xfId="0" applyFill="1" applyBorder="1"/>
    <xf numFmtId="10" fontId="0" fillId="12" borderId="4" xfId="2" applyNumberFormat="1" applyFont="1" applyFill="1" applyBorder="1"/>
    <xf numFmtId="43" fontId="0" fillId="0" borderId="4" xfId="0" applyNumberFormat="1" applyBorder="1"/>
    <xf numFmtId="43" fontId="0" fillId="0" borderId="14" xfId="0" applyNumberFormat="1" applyBorder="1"/>
    <xf numFmtId="9" fontId="0" fillId="17" borderId="0" xfId="0" applyNumberFormat="1" applyFill="1"/>
    <xf numFmtId="0" fontId="14" fillId="4" borderId="2" xfId="0" applyFont="1" applyFill="1" applyBorder="1" applyAlignment="1" applyProtection="1">
      <alignment horizontal="center"/>
    </xf>
    <xf numFmtId="167" fontId="0" fillId="0" borderId="0" xfId="18" applyNumberFormat="1" applyFont="1"/>
    <xf numFmtId="9" fontId="0" fillId="16" borderId="0" xfId="0" applyNumberFormat="1" applyFill="1"/>
    <xf numFmtId="0" fontId="0" fillId="0" borderId="4" xfId="0" applyBorder="1" applyAlignment="1">
      <alignment horizontal="left"/>
    </xf>
    <xf numFmtId="0" fontId="0" fillId="0" borderId="14" xfId="0" applyBorder="1" applyAlignment="1">
      <alignment horizontal="center"/>
    </xf>
    <xf numFmtId="9" fontId="0" fillId="16" borderId="7" xfId="0" applyNumberFormat="1" applyFill="1" applyBorder="1"/>
    <xf numFmtId="164" fontId="0" fillId="29" borderId="0" xfId="1" applyNumberFormat="1" applyFont="1" applyFill="1"/>
    <xf numFmtId="0" fontId="0" fillId="29" borderId="0" xfId="0" applyFill="1"/>
    <xf numFmtId="0" fontId="39" fillId="29" borderId="1" xfId="0" applyFont="1" applyFill="1" applyBorder="1" applyAlignment="1">
      <alignment horizontal="center"/>
    </xf>
    <xf numFmtId="43" fontId="0" fillId="29" borderId="0" xfId="0" applyNumberFormat="1" applyFill="1"/>
    <xf numFmtId="0" fontId="39" fillId="3" borderId="0" xfId="0" applyFont="1" applyFill="1"/>
    <xf numFmtId="164" fontId="39" fillId="3" borderId="0" xfId="0" applyNumberFormat="1" applyFont="1" applyFill="1"/>
    <xf numFmtId="0" fontId="14" fillId="5" borderId="2" xfId="0" applyFont="1" applyFill="1" applyBorder="1" applyAlignment="1" applyProtection="1">
      <alignment horizontal="center" vertical="center"/>
    </xf>
    <xf numFmtId="0" fontId="14" fillId="6" borderId="2" xfId="0" applyFont="1" applyFill="1" applyBorder="1" applyAlignment="1" applyProtection="1">
      <alignment horizontal="center" vertical="center" wrapText="1"/>
    </xf>
    <xf numFmtId="0" fontId="14" fillId="5" borderId="2" xfId="0" applyFont="1" applyFill="1" applyBorder="1" applyAlignment="1" applyProtection="1">
      <alignment horizontal="center" vertical="center" wrapText="1"/>
    </xf>
    <xf numFmtId="0" fontId="4" fillId="0" borderId="67" xfId="0" applyFont="1" applyBorder="1" applyAlignment="1">
      <alignment horizontal="left" indent="1"/>
    </xf>
    <xf numFmtId="0" fontId="4" fillId="0" borderId="69" xfId="0" applyFont="1" applyBorder="1" applyAlignment="1">
      <alignment horizontal="left" indent="1"/>
    </xf>
    <xf numFmtId="43" fontId="35" fillId="0" borderId="18" xfId="3" applyNumberFormat="1" applyFont="1" applyBorder="1" applyAlignment="1">
      <alignment horizontal="center"/>
    </xf>
    <xf numFmtId="0" fontId="14" fillId="4" borderId="2" xfId="0" applyFont="1" applyFill="1" applyBorder="1" applyAlignment="1" applyProtection="1">
      <alignment horizontal="center"/>
    </xf>
    <xf numFmtId="0" fontId="4" fillId="0" borderId="22" xfId="0" applyFont="1" applyBorder="1" applyAlignment="1">
      <alignment horizontal="center" vertical="center" wrapText="1"/>
    </xf>
    <xf numFmtId="175" fontId="113" fillId="15" borderId="5" xfId="0" applyNumberFormat="1" applyFont="1" applyFill="1" applyBorder="1" applyAlignment="1">
      <alignment horizontal="center" vertical="center"/>
    </xf>
    <xf numFmtId="175" fontId="113" fillId="15" borderId="5" xfId="1" applyNumberFormat="1" applyFont="1" applyFill="1" applyBorder="1" applyAlignment="1">
      <alignment horizontal="center" vertical="center"/>
    </xf>
    <xf numFmtId="175" fontId="113" fillId="15" borderId="37" xfId="1" applyNumberFormat="1" applyFont="1" applyFill="1" applyBorder="1" applyAlignment="1">
      <alignment horizontal="center" vertical="center"/>
    </xf>
    <xf numFmtId="1" fontId="114" fillId="0" borderId="3" xfId="0" applyNumberFormat="1" applyFont="1" applyBorder="1" applyAlignment="1">
      <alignment horizontal="center" vertical="center"/>
    </xf>
    <xf numFmtId="1" fontId="22" fillId="3" borderId="3" xfId="0" applyNumberFormat="1" applyFont="1" applyFill="1" applyBorder="1" applyAlignment="1">
      <alignment horizontal="center" vertical="center"/>
    </xf>
    <xf numFmtId="1" fontId="22" fillId="0" borderId="3" xfId="0" applyNumberFormat="1" applyFont="1" applyBorder="1" applyAlignment="1">
      <alignment horizontal="center" vertical="center"/>
    </xf>
    <xf numFmtId="1" fontId="114" fillId="0" borderId="3" xfId="0" applyNumberFormat="1" applyFont="1" applyFill="1" applyBorder="1" applyAlignment="1">
      <alignment horizontal="center" vertical="center"/>
    </xf>
    <xf numFmtId="1" fontId="22" fillId="0" borderId="3" xfId="0" applyNumberFormat="1" applyFont="1" applyFill="1" applyBorder="1" applyAlignment="1">
      <alignment horizontal="center" vertical="center"/>
    </xf>
    <xf numFmtId="1" fontId="22" fillId="0" borderId="27" xfId="0" applyNumberFormat="1" applyFont="1" applyBorder="1" applyAlignment="1">
      <alignment horizontal="center" vertical="center"/>
    </xf>
    <xf numFmtId="1" fontId="22" fillId="0" borderId="27" xfId="0" applyNumberFormat="1" applyFont="1" applyFill="1" applyBorder="1" applyAlignment="1">
      <alignment horizontal="center" vertical="center"/>
    </xf>
    <xf numFmtId="0" fontId="113" fillId="15" borderId="73" xfId="0" applyFont="1" applyFill="1" applyBorder="1" applyAlignment="1">
      <alignment horizontal="center" wrapText="1"/>
    </xf>
    <xf numFmtId="175" fontId="113" fillId="15" borderId="26" xfId="0" applyNumberFormat="1" applyFont="1" applyFill="1" applyBorder="1" applyAlignment="1">
      <alignment horizontal="center" vertical="center"/>
    </xf>
    <xf numFmtId="175" fontId="114" fillId="15" borderId="26" xfId="18" applyNumberFormat="1" applyFont="1" applyFill="1" applyBorder="1" applyAlignment="1">
      <alignment horizontal="center" vertical="center"/>
    </xf>
    <xf numFmtId="0" fontId="4" fillId="0" borderId="18" xfId="0" applyFont="1" applyBorder="1"/>
    <xf numFmtId="0" fontId="4" fillId="0" borderId="24" xfId="0" applyFont="1" applyBorder="1" applyAlignment="1">
      <alignment horizontal="center" wrapText="1"/>
    </xf>
    <xf numFmtId="0" fontId="4" fillId="0" borderId="74" xfId="0" applyFont="1" applyBorder="1"/>
    <xf numFmtId="175" fontId="113" fillId="15" borderId="75" xfId="1" applyNumberFormat="1" applyFont="1" applyFill="1" applyBorder="1" applyAlignment="1">
      <alignment horizontal="center" vertical="center"/>
    </xf>
    <xf numFmtId="0" fontId="4" fillId="0" borderId="25" xfId="0" applyFont="1" applyBorder="1" applyAlignment="1">
      <alignment horizontal="center" vertical="center" wrapText="1"/>
    </xf>
    <xf numFmtId="1" fontId="22" fillId="3" borderId="45" xfId="1" applyNumberFormat="1" applyFont="1" applyFill="1" applyBorder="1" applyAlignment="1">
      <alignment horizontal="center" vertical="center"/>
    </xf>
    <xf numFmtId="0" fontId="4" fillId="0" borderId="25" xfId="0" applyFont="1" applyBorder="1" applyAlignment="1">
      <alignment horizontal="center" wrapText="1"/>
    </xf>
    <xf numFmtId="0" fontId="4" fillId="0" borderId="76" xfId="0" applyFont="1" applyBorder="1" applyAlignment="1">
      <alignment horizontal="center" wrapText="1"/>
    </xf>
    <xf numFmtId="1" fontId="114" fillId="0" borderId="38" xfId="1" applyNumberFormat="1" applyFont="1" applyFill="1" applyBorder="1" applyAlignment="1">
      <alignment horizontal="center" vertical="center"/>
    </xf>
    <xf numFmtId="0" fontId="0" fillId="0" borderId="0" xfId="0" applyAlignment="1">
      <alignment horizontal="left" indent="2"/>
    </xf>
    <xf numFmtId="0" fontId="1" fillId="10" borderId="0" xfId="0" applyFont="1" applyFill="1" applyBorder="1"/>
    <xf numFmtId="0" fontId="0" fillId="0" borderId="0" xfId="0" applyBorder="1" applyAlignment="1">
      <alignment horizontal="left" indent="2"/>
    </xf>
    <xf numFmtId="0" fontId="0" fillId="0" borderId="7" xfId="0" applyBorder="1"/>
    <xf numFmtId="9" fontId="4" fillId="12" borderId="27" xfId="2" applyFont="1" applyFill="1" applyBorder="1"/>
    <xf numFmtId="175" fontId="4" fillId="12" borderId="3" xfId="18" applyNumberFormat="1" applyFont="1" applyFill="1" applyBorder="1" applyAlignment="1">
      <alignment horizontal="right"/>
    </xf>
    <xf numFmtId="0" fontId="0" fillId="0" borderId="0" xfId="0" applyAlignment="1">
      <alignment wrapText="1"/>
    </xf>
    <xf numFmtId="0" fontId="49" fillId="25" borderId="0" xfId="0" applyFont="1" applyFill="1" applyBorder="1" applyAlignment="1"/>
    <xf numFmtId="0" fontId="0" fillId="25" borderId="0" xfId="0" applyFill="1" applyBorder="1" applyAlignment="1"/>
    <xf numFmtId="0" fontId="57" fillId="25" borderId="42" xfId="0" applyFont="1" applyFill="1" applyBorder="1" applyAlignment="1">
      <alignment horizontal="center" wrapText="1"/>
    </xf>
    <xf numFmtId="0" fontId="58" fillId="25" borderId="0" xfId="0" applyFont="1" applyFill="1" applyBorder="1" applyAlignment="1">
      <alignment horizontal="left" vertical="top" wrapText="1"/>
    </xf>
    <xf numFmtId="0" fontId="60" fillId="25" borderId="0" xfId="0" applyFont="1" applyFill="1" applyBorder="1" applyAlignment="1">
      <alignment horizontal="left" vertical="top" wrapText="1"/>
    </xf>
    <xf numFmtId="44" fontId="20" fillId="0" borderId="0" xfId="18" applyFont="1" applyAlignment="1">
      <alignment horizontal="center" wrapText="1"/>
    </xf>
    <xf numFmtId="0" fontId="14" fillId="4" borderId="2" xfId="0" applyFont="1" applyFill="1" applyBorder="1" applyAlignment="1" applyProtection="1">
      <alignment horizontal="center"/>
    </xf>
    <xf numFmtId="0" fontId="112" fillId="0" borderId="57" xfId="0" applyFont="1" applyFill="1" applyBorder="1" applyAlignment="1" applyProtection="1">
      <alignment horizontal="center" wrapText="1"/>
    </xf>
    <xf numFmtId="0" fontId="112" fillId="0" borderId="60" xfId="0" applyFont="1" applyFill="1" applyBorder="1" applyAlignment="1" applyProtection="1">
      <alignment horizontal="center" wrapText="1"/>
    </xf>
    <xf numFmtId="0" fontId="4" fillId="0" borderId="8" xfId="0" applyFont="1" applyBorder="1" applyAlignment="1">
      <alignment horizontal="left" vertical="top" wrapText="1"/>
    </xf>
    <xf numFmtId="0" fontId="4" fillId="0" borderId="2" xfId="0" applyFont="1" applyBorder="1" applyAlignment="1">
      <alignment horizontal="left" vertical="top" wrapText="1"/>
    </xf>
    <xf numFmtId="0" fontId="4" fillId="0" borderId="9" xfId="0" applyFont="1" applyBorder="1" applyAlignment="1">
      <alignment horizontal="left" vertical="top" wrapText="1"/>
    </xf>
    <xf numFmtId="0" fontId="14" fillId="4" borderId="2" xfId="0" applyFont="1" applyFill="1" applyBorder="1" applyAlignment="1" applyProtection="1">
      <alignment horizontal="center" vertical="center"/>
    </xf>
    <xf numFmtId="0" fontId="26" fillId="0" borderId="48" xfId="0" applyFont="1" applyFill="1" applyBorder="1" applyAlignment="1">
      <alignment horizontal="center" vertical="center" wrapText="1"/>
    </xf>
    <xf numFmtId="0" fontId="14" fillId="4" borderId="2" xfId="0" applyFont="1" applyFill="1" applyBorder="1" applyAlignment="1" applyProtection="1">
      <alignment horizontal="center" wrapText="1"/>
    </xf>
    <xf numFmtId="0" fontId="104" fillId="0" borderId="19" xfId="0" applyFont="1" applyBorder="1" applyAlignment="1">
      <alignment horizontal="center" vertical="center" wrapText="1"/>
    </xf>
    <xf numFmtId="0" fontId="104" fillId="0" borderId="47" xfId="0" applyFont="1" applyBorder="1" applyAlignment="1">
      <alignment horizontal="center" vertical="center" wrapText="1"/>
    </xf>
    <xf numFmtId="0" fontId="8" fillId="16" borderId="8" xfId="6" applyFill="1" applyBorder="1" applyAlignment="1">
      <alignment horizontal="center" vertical="center" wrapText="1"/>
    </xf>
    <xf numFmtId="0" fontId="8" fillId="16" borderId="2" xfId="6" applyFill="1" applyBorder="1" applyAlignment="1">
      <alignment horizontal="center" vertical="center" wrapText="1"/>
    </xf>
    <xf numFmtId="0" fontId="8" fillId="16" borderId="9" xfId="6" applyFill="1" applyBorder="1" applyAlignment="1">
      <alignment horizontal="center" vertical="center" wrapText="1"/>
    </xf>
  </cellXfs>
  <cellStyles count="44">
    <cellStyle name="Comma" xfId="1" builtinId="3"/>
    <cellStyle name="Comma 2" xfId="13"/>
    <cellStyle name="Currency" xfId="18" builtinId="4"/>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Hyperlink" xfId="19" builtinId="8"/>
    <cellStyle name="Normal" xfId="0" builtinId="0"/>
    <cellStyle name="Normal - Style1" xfId="14"/>
    <cellStyle name="Normal 2" xfId="3"/>
    <cellStyle name="Normal 3" xfId="15"/>
    <cellStyle name="Normal 4" xfId="16"/>
    <cellStyle name="Normal 5" xfId="17"/>
    <cellStyle name="Percent" xfId="2" builtinId="5"/>
    <cellStyle name="Style1" xfId="8"/>
    <cellStyle name="Style2" xfId="9"/>
    <cellStyle name="Style2 2" xfId="7"/>
    <cellStyle name="Style3" xfId="10"/>
    <cellStyle name="Style3 2" xfId="6"/>
    <cellStyle name="Style4" xfId="11"/>
    <cellStyle name="Style4 2" xfId="5"/>
    <cellStyle name="Style5" xfId="12"/>
    <cellStyle name="Style5 2" xfId="4"/>
  </cellStyles>
  <dxfs count="161">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color auto="1"/>
      </font>
      <fill>
        <patternFill>
          <bgColor theme="0" tint="-0.34998626667073579"/>
        </patternFill>
      </fill>
    </dxf>
    <dxf>
      <font>
        <color theme="1"/>
      </font>
    </dxf>
    <dxf>
      <font>
        <color rgb="FFFF0066"/>
      </font>
      <fill>
        <patternFill>
          <bgColor rgb="FFFF0066"/>
        </patternFill>
      </fill>
    </dxf>
    <dxf>
      <fill>
        <patternFill>
          <bgColor rgb="FFFFC7CE"/>
        </patternFill>
      </fill>
    </dxf>
    <dxf>
      <font>
        <color rgb="FFFF0066"/>
      </font>
      <fill>
        <patternFill>
          <bgColor rgb="FFFF0066"/>
        </patternFill>
      </fill>
    </dxf>
    <dxf>
      <fill>
        <patternFill>
          <bgColor rgb="FFFF0000"/>
        </patternFill>
      </fill>
    </dxf>
    <dxf>
      <fill>
        <patternFill>
          <bgColor rgb="FF92D050"/>
        </patternFill>
      </fill>
    </dxf>
    <dxf>
      <fill>
        <patternFill>
          <bgColor rgb="FFFFC7CE"/>
        </patternFill>
      </fill>
    </dxf>
    <dxf>
      <font>
        <color rgb="FFFF0066"/>
      </font>
      <fill>
        <patternFill>
          <bgColor rgb="FFFF0066"/>
        </patternFill>
      </fill>
    </dxf>
    <dxf>
      <font>
        <color rgb="FFFF0066"/>
      </font>
      <fill>
        <patternFill>
          <bgColor rgb="FFFF0066"/>
        </patternFill>
      </fill>
    </dxf>
    <dxf>
      <font>
        <color rgb="FFFF0066"/>
      </font>
      <fill>
        <patternFill>
          <bgColor rgb="FFFF0066"/>
        </patternFill>
      </fill>
    </dxf>
    <dxf>
      <font>
        <color rgb="FFFF0066"/>
      </font>
      <fill>
        <patternFill>
          <bgColor rgb="FFFF0066"/>
        </patternFill>
      </fill>
    </dxf>
    <dxf>
      <font>
        <color auto="1"/>
      </font>
      <fill>
        <patternFill>
          <bgColor theme="0" tint="-0.34998626667073579"/>
        </patternFill>
      </fill>
    </dxf>
    <dxf>
      <font>
        <color theme="1"/>
      </font>
    </dxf>
    <dxf>
      <font>
        <color auto="1"/>
      </font>
      <fill>
        <patternFill>
          <bgColor theme="0" tint="-0.34998626667073579"/>
        </patternFill>
      </fill>
    </dxf>
    <dxf>
      <font>
        <color theme="1"/>
      </font>
    </dxf>
    <dxf>
      <font>
        <color rgb="FFFF0066"/>
      </font>
      <fill>
        <patternFill>
          <bgColor rgb="FFFF0066"/>
        </patternFill>
      </fill>
    </dxf>
    <dxf>
      <font>
        <color rgb="FFFF0066"/>
      </font>
      <fill>
        <patternFill>
          <bgColor rgb="FFFF0066"/>
        </patternFill>
      </fill>
    </dxf>
    <dxf>
      <font>
        <color auto="1"/>
      </font>
      <fill>
        <patternFill>
          <bgColor theme="0" tint="-0.34998626667073579"/>
        </patternFill>
      </fill>
    </dxf>
    <dxf>
      <font>
        <color theme="1"/>
      </font>
    </dxf>
    <dxf>
      <font>
        <color rgb="FFFF0066"/>
      </font>
      <fill>
        <patternFill>
          <bgColor rgb="FFFF0066"/>
        </patternFill>
      </fill>
    </dxf>
    <dxf>
      <font>
        <color rgb="FFFF0066"/>
      </font>
      <fill>
        <patternFill>
          <bgColor rgb="FFFF0066"/>
        </patternFill>
      </fill>
    </dxf>
    <dxf>
      <font>
        <color rgb="FFFF0066"/>
      </font>
      <fill>
        <patternFill>
          <bgColor rgb="FFFF0066"/>
        </patternFill>
      </fill>
    </dxf>
    <dxf>
      <font>
        <color rgb="FFFF0066"/>
      </font>
      <fill>
        <patternFill>
          <bgColor rgb="FFFF0066"/>
        </patternFill>
      </fill>
    </dxf>
    <dxf>
      <font>
        <color rgb="FFFF0066"/>
      </font>
      <fill>
        <patternFill>
          <bgColor rgb="FFFF0066"/>
        </patternFill>
      </fill>
    </dxf>
    <dxf>
      <font>
        <color rgb="FFFF0066"/>
      </font>
      <fill>
        <patternFill>
          <bgColor rgb="FFFF0066"/>
        </patternFill>
      </fill>
    </dxf>
    <dxf>
      <font>
        <color rgb="FFFF0066"/>
      </font>
      <fill>
        <patternFill>
          <bgColor rgb="FFFF0066"/>
        </patternFill>
      </fill>
    </dxf>
    <dxf>
      <font>
        <color rgb="FFFF0066"/>
      </font>
      <fill>
        <patternFill>
          <bgColor rgb="FFFF0066"/>
        </patternFill>
      </fill>
    </dxf>
    <dxf>
      <font>
        <color rgb="FFFF0066"/>
      </font>
      <fill>
        <patternFill>
          <bgColor rgb="FFFF0066"/>
        </patternFill>
      </fill>
    </dxf>
    <dxf>
      <font>
        <color rgb="FFFF0066"/>
      </font>
      <fill>
        <patternFill>
          <bgColor rgb="FFFF0066"/>
        </patternFill>
      </fill>
    </dxf>
    <dxf>
      <font>
        <color rgb="FFFF0066"/>
      </font>
      <fill>
        <patternFill>
          <bgColor rgb="FFFF0066"/>
        </patternFill>
      </fill>
    </dxf>
    <dxf>
      <font>
        <color rgb="FFFF0066"/>
      </font>
      <fill>
        <patternFill>
          <bgColor rgb="FFFF0066"/>
        </patternFill>
      </fill>
    </dxf>
    <dxf>
      <font>
        <color rgb="FFFF0066"/>
      </font>
      <fill>
        <patternFill>
          <bgColor rgb="FFFF0066"/>
        </patternFill>
      </fill>
    </dxf>
    <dxf>
      <font>
        <color rgb="FFFF0066"/>
      </font>
      <fill>
        <patternFill>
          <bgColor rgb="FFFF0066"/>
        </patternFill>
      </fill>
    </dxf>
    <dxf>
      <font>
        <color rgb="FFFF0066"/>
      </font>
      <fill>
        <patternFill>
          <bgColor rgb="FFFF0066"/>
        </patternFill>
      </fill>
    </dxf>
    <dxf>
      <font>
        <color auto="1"/>
      </font>
      <fill>
        <patternFill>
          <bgColor theme="0" tint="-0.34998626667073579"/>
        </patternFill>
      </fill>
    </dxf>
    <dxf>
      <font>
        <color theme="1"/>
      </font>
    </dxf>
    <dxf>
      <font>
        <color rgb="FFFF0066"/>
      </font>
      <fill>
        <patternFill>
          <bgColor rgb="FFFF0066"/>
        </patternFill>
      </fill>
    </dxf>
    <dxf>
      <font>
        <color rgb="FFFF0066"/>
      </font>
      <fill>
        <patternFill>
          <bgColor rgb="FFFF0066"/>
        </patternFill>
      </fill>
    </dxf>
    <dxf>
      <font>
        <color rgb="FFFF0066"/>
      </font>
      <fill>
        <patternFill>
          <bgColor rgb="FFFF0066"/>
        </patternFill>
      </fill>
    </dxf>
    <dxf>
      <fill>
        <patternFill>
          <bgColor rgb="FFFF0000"/>
        </patternFill>
      </fill>
    </dxf>
    <dxf>
      <fill>
        <patternFill>
          <bgColor rgb="FF92D050"/>
        </patternFill>
      </fill>
    </dxf>
    <dxf>
      <fill>
        <patternFill>
          <bgColor rgb="FFFFFF99"/>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ont>
        <color auto="1"/>
      </font>
      <fill>
        <patternFill>
          <bgColor theme="0" tint="-0.34998626667073579"/>
        </patternFill>
      </fill>
    </dxf>
    <dxf>
      <font>
        <color auto="1"/>
      </font>
      <fill>
        <patternFill>
          <bgColor theme="0" tint="-0.34998626667073579"/>
        </patternFill>
      </fill>
    </dxf>
    <dxf>
      <font>
        <color theme="1"/>
      </font>
    </dxf>
    <dxf>
      <font>
        <color auto="1"/>
      </font>
      <fill>
        <patternFill>
          <bgColor theme="0" tint="-0.34998626667073579"/>
        </patternFill>
      </fill>
    </dxf>
    <dxf>
      <fill>
        <patternFill>
          <bgColor rgb="FFFFFF99"/>
        </patternFill>
      </fill>
    </dxf>
    <dxf>
      <fill>
        <patternFill>
          <bgColor rgb="FFFF0000"/>
        </patternFill>
      </fill>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theme="5"/>
      </font>
    </dxf>
    <dxf>
      <font>
        <color rgb="FF009900"/>
      </font>
    </dxf>
    <dxf>
      <font>
        <color theme="5"/>
      </font>
    </dxf>
    <dxf>
      <font>
        <color rgb="FF00B050"/>
      </font>
    </dxf>
    <dxf>
      <font>
        <color theme="5"/>
      </font>
    </dxf>
    <dxf>
      <font>
        <color rgb="FF00B050"/>
      </font>
    </dxf>
    <dxf>
      <font>
        <color theme="5"/>
      </font>
    </dxf>
    <dxf>
      <font>
        <color rgb="FF00B050"/>
      </font>
    </dxf>
    <dxf>
      <font>
        <color theme="5"/>
      </font>
    </dxf>
    <dxf>
      <font>
        <color rgb="FF009900"/>
      </font>
    </dxf>
    <dxf>
      <font>
        <color rgb="FF009900"/>
      </font>
    </dxf>
    <dxf>
      <font>
        <color theme="5"/>
      </font>
    </dxf>
    <dxf>
      <font>
        <color rgb="FF00B050"/>
      </font>
    </dxf>
    <dxf>
      <font>
        <color theme="5"/>
      </font>
    </dxf>
    <dxf>
      <font>
        <color rgb="FF00B050"/>
      </font>
    </dxf>
    <dxf>
      <font>
        <color theme="5"/>
      </font>
    </dxf>
    <dxf>
      <font>
        <color rgb="FF00B050"/>
      </font>
    </dxf>
    <dxf>
      <font>
        <color theme="5"/>
      </font>
    </dxf>
    <dxf>
      <font>
        <color rgb="FF00B050"/>
      </font>
    </dxf>
    <dxf>
      <font>
        <color theme="5"/>
      </font>
    </dxf>
    <dxf>
      <font>
        <color rgb="FF00B050"/>
      </font>
    </dxf>
    <dxf>
      <font>
        <color theme="5"/>
      </font>
    </dxf>
    <dxf>
      <font>
        <color rgb="FF00B050"/>
      </font>
    </dxf>
    <dxf>
      <font>
        <color theme="5"/>
      </font>
    </dxf>
    <dxf>
      <font>
        <color rgb="FF00B050"/>
      </font>
    </dxf>
    <dxf>
      <font>
        <color theme="5" tint="-0.24994659260841701"/>
      </font>
    </dxf>
    <dxf>
      <font>
        <color rgb="FFFF0000"/>
      </font>
    </dxf>
    <dxf>
      <font>
        <color rgb="FF009900"/>
      </font>
    </dxf>
    <dxf>
      <font>
        <color rgb="FFFF0000"/>
      </font>
    </dxf>
    <dxf>
      <font>
        <color rgb="FF009900"/>
      </font>
    </dxf>
    <dxf>
      <font>
        <color rgb="FFFF0000"/>
      </font>
    </dxf>
    <dxf>
      <font>
        <color rgb="FF009900"/>
      </font>
    </dxf>
    <dxf>
      <font>
        <color rgb="FFFF0000"/>
      </font>
    </dxf>
    <dxf>
      <font>
        <color rgb="FF92D050"/>
      </font>
    </dxf>
    <dxf>
      <font>
        <color rgb="FFFF0000"/>
      </font>
      <fill>
        <patternFill>
          <bgColor theme="5" tint="0.79998168889431442"/>
        </patternFill>
      </fill>
    </dxf>
    <dxf>
      <font>
        <color rgb="FF008000"/>
      </font>
      <fill>
        <patternFill>
          <bgColor rgb="FFFFC7CE"/>
        </patternFill>
      </fill>
    </dxf>
    <dxf>
      <font>
        <color rgb="FFFF0000"/>
      </font>
      <fill>
        <patternFill>
          <bgColor theme="4" tint="0.79998168889431442"/>
        </patternFill>
      </fill>
    </dxf>
    <dxf>
      <font>
        <color rgb="FF008000"/>
      </font>
      <fill>
        <patternFill>
          <bgColor rgb="FFFFC7CE"/>
        </patternFill>
      </fill>
    </dxf>
    <dxf>
      <font>
        <color rgb="FFFF0000"/>
      </font>
      <fill>
        <patternFill patternType="solid">
          <fgColor indexed="64"/>
          <bgColor theme="5" tint="0.79998168889431442"/>
        </patternFill>
      </fill>
    </dxf>
    <dxf>
      <font>
        <color rgb="FFFF0000"/>
      </font>
      <fill>
        <patternFill patternType="solid">
          <fgColor indexed="64"/>
          <bgColor theme="5" tint="0.79998168889431442"/>
        </patternFill>
      </fill>
    </dxf>
    <dxf>
      <font>
        <color rgb="FFFF0000"/>
      </font>
    </dxf>
    <dxf>
      <font>
        <color rgb="FF008000"/>
      </font>
      <fill>
        <patternFill>
          <bgColor rgb="FFFFC7CE"/>
        </patternFill>
      </fill>
    </dxf>
  </dxfs>
  <tableStyles count="0" defaultTableStyle="TableStyleMedium2" defaultPivotStyle="PivotStyleLight16"/>
  <colors>
    <mruColors>
      <color rgb="FF00FF00"/>
      <color rgb="FFFFFF99"/>
      <color rgb="FFFF0066"/>
      <color rgb="FF009900"/>
      <color rgb="FFFF3399"/>
      <color rgb="FFFFFF66"/>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47"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theme" Target="theme/theme1.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5.8883279896478298E-2"/>
          <c:y val="0.105805482386129"/>
          <c:w val="0.38517492888146299"/>
          <c:h val="0.71048931038274998"/>
        </c:manualLayout>
      </c:layout>
      <c:pieChart>
        <c:varyColors val="1"/>
        <c:ser>
          <c:idx val="0"/>
          <c:order val="0"/>
          <c:dLbls>
            <c:spPr>
              <a:noFill/>
              <a:ln>
                <a:noFill/>
              </a:ln>
              <a:effectLst/>
            </c:spPr>
            <c:txPr>
              <a:bodyPr/>
              <a:lstStyle/>
              <a:p>
                <a:pPr>
                  <a:defRPr b="1">
                    <a:solidFill>
                      <a:srgbClr val="FFFFFF"/>
                    </a:solidFill>
                  </a:defRPr>
                </a:pPr>
                <a:endParaRPr lang="en-US"/>
              </a:p>
            </c:txPr>
            <c:dLblPos val="ctr"/>
            <c:showLegendKey val="0"/>
            <c:showVal val="1"/>
            <c:showCatName val="0"/>
            <c:showSerName val="0"/>
            <c:showPercent val="0"/>
            <c:showBubbleSize val="0"/>
            <c:showLeaderLines val="1"/>
            <c:extLst>
              <c:ext xmlns:c15="http://schemas.microsoft.com/office/drawing/2012/chart" uri="{CE6537A1-D6FC-4f65-9D91-7224C49458BB}"/>
            </c:extLst>
          </c:dLbls>
          <c:cat>
            <c:strRef>
              <c:f>'Budget Choices Workings'!$B$89:$B$90</c:f>
              <c:strCache>
                <c:ptCount val="2"/>
                <c:pt idx="0">
                  <c:v>Savings achieved</c:v>
                </c:pt>
                <c:pt idx="1">
                  <c:v>Savings still required</c:v>
                </c:pt>
              </c:strCache>
            </c:strRef>
          </c:cat>
          <c:val>
            <c:numRef>
              <c:f>'Budget Choices Workings'!$C$89:$C$90</c:f>
              <c:numCache>
                <c:formatCode>0%</c:formatCode>
                <c:ptCount val="2"/>
                <c:pt idx="0">
                  <c:v>0.12599730259110759</c:v>
                </c:pt>
                <c:pt idx="1">
                  <c:v>0.87400269740889247</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45086252401197302"/>
          <c:y val="0.20249358558901001"/>
          <c:w val="0.475411277606477"/>
          <c:h val="0.54292788667925695"/>
        </c:manualLayout>
      </c:layout>
      <c:overlay val="0"/>
      <c:txPr>
        <a:bodyPr/>
        <a:lstStyle/>
        <a:p>
          <a:pPr>
            <a:defRPr sz="1000"/>
          </a:pPr>
          <a:endParaRPr lang="en-US"/>
        </a:p>
      </c:txPr>
    </c:legend>
    <c:plotVisOnly val="1"/>
    <c:dispBlanksAs val="gap"/>
    <c:showDLblsOverMax val="0"/>
  </c:chart>
  <c:spPr>
    <a:solidFill>
      <a:schemeClr val="bg1">
        <a:lumMod val="85000"/>
        <a:alpha val="0"/>
      </a:schemeClr>
    </a:solidFill>
    <a:ln>
      <a:noFill/>
    </a:ln>
  </c:spPr>
  <c:printSettings>
    <c:headerFooter/>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'Budget Choices Workings'!$AN$84</c:f>
              <c:strCache>
                <c:ptCount val="1"/>
                <c:pt idx="0">
                  <c:v>Children covered</c:v>
                </c:pt>
              </c:strCache>
            </c:strRef>
          </c:tx>
          <c:invertIfNegative val="0"/>
          <c:dLbls>
            <c:dLbl>
              <c:idx val="0"/>
              <c:layout>
                <c:manualLayout>
                  <c:x val="-0.15833333333333333"/>
                  <c:y val="0.10185185185185185"/>
                </c:manualLayout>
              </c:layout>
              <c:spPr/>
              <c:txPr>
                <a:bodyPr/>
                <a:lstStyle/>
                <a:p>
                  <a:pPr>
                    <a:defRPr sz="800"/>
                  </a:pPr>
                  <a:endParaRPr lang="en-US"/>
                </a:p>
              </c:txPr>
              <c:showLegendKey val="0"/>
              <c:showVal val="1"/>
              <c:showCatName val="0"/>
              <c:showSerName val="0"/>
              <c:showPercent val="0"/>
              <c:showBubbleSize val="0"/>
              <c:extLst>
                <c:ext xmlns:c15="http://schemas.microsoft.com/office/drawing/2012/chart" uri="{CE6537A1-D6FC-4f65-9D91-7224C49458BB}"/>
              </c:extLst>
            </c:dLbl>
            <c:dLbl>
              <c:idx val="1"/>
              <c:layout>
                <c:manualLayout>
                  <c:x val="-0.16111111111111112"/>
                  <c:y val="0.10185185185185185"/>
                </c:manualLayout>
              </c:layout>
              <c:spPr/>
              <c:txPr>
                <a:bodyPr/>
                <a:lstStyle/>
                <a:p>
                  <a:pPr>
                    <a:defRPr sz="800"/>
                  </a:pPr>
                  <a:endParaRPr lang="en-US"/>
                </a:p>
              </c:txPr>
              <c:showLegendKey val="0"/>
              <c:showVal val="1"/>
              <c:showCatName val="0"/>
              <c:showSerName val="0"/>
              <c:showPercent val="0"/>
              <c:showBubbleSize val="0"/>
              <c:extLst>
                <c:ext xmlns:c15="http://schemas.microsoft.com/office/drawing/2012/chart" uri="{CE6537A1-D6FC-4f65-9D91-7224C49458BB}"/>
              </c:extLst>
            </c:dLbl>
            <c:dLbl>
              <c:idx val="2"/>
              <c:layout>
                <c:manualLayout>
                  <c:x val="-0.1388888888888889"/>
                  <c:y val="8.7962962962962965E-2"/>
                </c:manualLayout>
              </c:layout>
              <c:spPr/>
              <c:txPr>
                <a:bodyPr/>
                <a:lstStyle/>
                <a:p>
                  <a:pPr>
                    <a:defRPr sz="800"/>
                  </a:pPr>
                  <a:endParaRPr lang="en-US"/>
                </a:p>
              </c:txPr>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'Budget Choices Workings'!$AM$95:$AM$97</c:f>
              <c:strCache>
                <c:ptCount val="3"/>
                <c:pt idx="0">
                  <c:v>Severe Acute</c:v>
                </c:pt>
                <c:pt idx="1">
                  <c:v>Moderate Acute</c:v>
                </c:pt>
                <c:pt idx="2">
                  <c:v>Growth Faltering</c:v>
                </c:pt>
              </c:strCache>
            </c:strRef>
          </c:cat>
          <c:val>
            <c:numRef>
              <c:f>'Budget Choices Workings'!$AN$95:$AN$97</c:f>
              <c:numCache>
                <c:formatCode>_ * #,##0_ ;_ * \-#,##0_ ;_ * "-"??_ ;_ @_ </c:formatCode>
                <c:ptCount val="3"/>
                <c:pt idx="0">
                  <c:v>47464.940952466422</c:v>
                </c:pt>
                <c:pt idx="1">
                  <c:v>189859.76380986569</c:v>
                </c:pt>
                <c:pt idx="2">
                  <c:v>474649.40952466422</c:v>
                </c:pt>
              </c:numCache>
            </c:numRef>
          </c:val>
        </c:ser>
        <c:ser>
          <c:idx val="1"/>
          <c:order val="1"/>
          <c:tx>
            <c:strRef>
              <c:f>'Budget Choices Workings'!$AO$84</c:f>
              <c:strCache>
                <c:ptCount val="1"/>
                <c:pt idx="0">
                  <c:v> Children excluded </c:v>
                </c:pt>
              </c:strCache>
            </c:strRef>
          </c:tx>
          <c:invertIfNegative val="0"/>
          <c:dLbls>
            <c:dLbl>
              <c:idx val="0"/>
              <c:layout>
                <c:manualLayout>
                  <c:x val="-2.7777777777777779E-3"/>
                  <c:y val="-9.2592592592592587E-2"/>
                </c:manualLayout>
              </c:layout>
              <c:spPr/>
              <c:txPr>
                <a:bodyPr/>
                <a:lstStyle/>
                <a:p>
                  <a:pPr>
                    <a:defRPr sz="800">
                      <a:solidFill>
                        <a:srgbClr val="C00000"/>
                      </a:solidFill>
                    </a:defRPr>
                  </a:pPr>
                  <a:endParaRPr lang="en-US"/>
                </a:p>
              </c:txPr>
              <c:showLegendKey val="0"/>
              <c:showVal val="1"/>
              <c:showCatName val="0"/>
              <c:showSerName val="0"/>
              <c:showPercent val="0"/>
              <c:showBubbleSize val="0"/>
              <c:extLst>
                <c:ext xmlns:c15="http://schemas.microsoft.com/office/drawing/2012/chart" uri="{CE6537A1-D6FC-4f65-9D91-7224C49458BB}"/>
              </c:extLst>
            </c:dLbl>
            <c:dLbl>
              <c:idx val="1"/>
              <c:layout>
                <c:manualLayout>
                  <c:x val="0"/>
                  <c:y val="-8.7962962962962965E-2"/>
                </c:manualLayout>
              </c:layout>
              <c:spPr/>
              <c:txPr>
                <a:bodyPr/>
                <a:lstStyle/>
                <a:p>
                  <a:pPr>
                    <a:defRPr sz="800">
                      <a:solidFill>
                        <a:srgbClr val="C00000"/>
                      </a:solidFill>
                    </a:defRPr>
                  </a:pPr>
                  <a:endParaRPr lang="en-US"/>
                </a:p>
              </c:txPr>
              <c:showLegendKey val="0"/>
              <c:showVal val="1"/>
              <c:showCatName val="0"/>
              <c:showSerName val="0"/>
              <c:showPercent val="0"/>
              <c:showBubbleSize val="0"/>
              <c:extLst>
                <c:ext xmlns:c15="http://schemas.microsoft.com/office/drawing/2012/chart" uri="{CE6537A1-D6FC-4f65-9D91-7224C49458BB}"/>
              </c:extLst>
            </c:dLbl>
            <c:dLbl>
              <c:idx val="2"/>
              <c:layout>
                <c:manualLayout>
                  <c:x val="0"/>
                  <c:y val="-9.2592592592592587E-2"/>
                </c:manualLayout>
              </c:layout>
              <c:spPr/>
              <c:txPr>
                <a:bodyPr/>
                <a:lstStyle/>
                <a:p>
                  <a:pPr>
                    <a:defRPr sz="800">
                      <a:solidFill>
                        <a:srgbClr val="C00000"/>
                      </a:solidFill>
                    </a:defRPr>
                  </a:pPr>
                  <a:endParaRPr lang="en-US"/>
                </a:p>
              </c:txPr>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'Budget Choices Workings'!$AM$95:$AM$97</c:f>
              <c:strCache>
                <c:ptCount val="3"/>
                <c:pt idx="0">
                  <c:v>Severe Acute</c:v>
                </c:pt>
                <c:pt idx="1">
                  <c:v>Moderate Acute</c:v>
                </c:pt>
                <c:pt idx="2">
                  <c:v>Growth Faltering</c:v>
                </c:pt>
              </c:strCache>
            </c:strRef>
          </c:cat>
          <c:val>
            <c:numRef>
              <c:f>'Budget Choices Workings'!$AO$95:$AO$97</c:f>
              <c:numCache>
                <c:formatCode>_ * #,##0_ ;_ * \-#,##0_ ;_ * "-"??_ ;_ @_ </c:formatCode>
                <c:ptCount val="3"/>
                <c:pt idx="0">
                  <c:v>0</c:v>
                </c:pt>
                <c:pt idx="1">
                  <c:v>0</c:v>
                </c:pt>
                <c:pt idx="2">
                  <c:v>0</c:v>
                </c:pt>
              </c:numCache>
            </c:numRef>
          </c:val>
        </c:ser>
        <c:ser>
          <c:idx val="2"/>
          <c:order val="2"/>
          <c:tx>
            <c:strRef>
              <c:f>'Budget Choices Workings'!$AP$84</c:f>
              <c:strCache>
                <c:ptCount val="1"/>
                <c:pt idx="0">
                  <c:v>Children added</c:v>
                </c:pt>
              </c:strCache>
            </c:strRef>
          </c:tx>
          <c:invertIfNegative val="0"/>
          <c:dLbls>
            <c:dLbl>
              <c:idx val="0"/>
              <c:layout>
                <c:manualLayout>
                  <c:x val="1.3888888888888888E-2"/>
                  <c:y val="-9.2592592592592587E-2"/>
                </c:manualLayout>
              </c:layout>
              <c:spPr/>
              <c:txPr>
                <a:bodyPr/>
                <a:lstStyle/>
                <a:p>
                  <a:pPr>
                    <a:defRPr sz="800">
                      <a:solidFill>
                        <a:srgbClr val="00B050"/>
                      </a:solidFill>
                    </a:defRPr>
                  </a:pPr>
                  <a:endParaRPr lang="en-US"/>
                </a:p>
              </c:txPr>
              <c:showLegendKey val="0"/>
              <c:showVal val="1"/>
              <c:showCatName val="0"/>
              <c:showSerName val="0"/>
              <c:showPercent val="0"/>
              <c:showBubbleSize val="0"/>
              <c:extLst>
                <c:ext xmlns:c15="http://schemas.microsoft.com/office/drawing/2012/chart" uri="{CE6537A1-D6FC-4f65-9D91-7224C49458BB}"/>
              </c:extLst>
            </c:dLbl>
            <c:dLbl>
              <c:idx val="1"/>
              <c:layout>
                <c:manualLayout>
                  <c:x val="1.1111111111111112E-2"/>
                  <c:y val="-8.3333333333333329E-2"/>
                </c:manualLayout>
              </c:layout>
              <c:spPr/>
              <c:txPr>
                <a:bodyPr/>
                <a:lstStyle/>
                <a:p>
                  <a:pPr>
                    <a:defRPr sz="800">
                      <a:solidFill>
                        <a:srgbClr val="00B050"/>
                      </a:solidFill>
                    </a:defRPr>
                  </a:pPr>
                  <a:endParaRPr lang="en-US"/>
                </a:p>
              </c:txPr>
              <c:showLegendKey val="0"/>
              <c:showVal val="1"/>
              <c:showCatName val="0"/>
              <c:showSerName val="0"/>
              <c:showPercent val="0"/>
              <c:showBubbleSize val="0"/>
              <c:extLst>
                <c:ext xmlns:c15="http://schemas.microsoft.com/office/drawing/2012/chart" uri="{CE6537A1-D6FC-4f65-9D91-7224C49458BB}"/>
              </c:extLst>
            </c:dLbl>
            <c:dLbl>
              <c:idx val="2"/>
              <c:layout>
                <c:manualLayout>
                  <c:x val="1.1111111111111112E-2"/>
                  <c:y val="-9.2592592592592601E-2"/>
                </c:manualLayout>
              </c:layout>
              <c:spPr/>
              <c:txPr>
                <a:bodyPr/>
                <a:lstStyle/>
                <a:p>
                  <a:pPr>
                    <a:defRPr sz="800">
                      <a:solidFill>
                        <a:srgbClr val="00B050"/>
                      </a:solidFill>
                    </a:defRPr>
                  </a:pPr>
                  <a:endParaRPr lang="en-US"/>
                </a:p>
              </c:txPr>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'Budget Choices Workings'!$AM$95:$AM$97</c:f>
              <c:strCache>
                <c:ptCount val="3"/>
                <c:pt idx="0">
                  <c:v>Severe Acute</c:v>
                </c:pt>
                <c:pt idx="1">
                  <c:v>Moderate Acute</c:v>
                </c:pt>
                <c:pt idx="2">
                  <c:v>Growth Faltering</c:v>
                </c:pt>
              </c:strCache>
            </c:strRef>
          </c:cat>
          <c:val>
            <c:numRef>
              <c:f>'Budget Choices Workings'!$AP$95:$AP$97</c:f>
              <c:numCache>
                <c:formatCode>_ * #,##0_ ;_ * \-#,##0_ ;_ * "-"??_ ;_ @_ </c:formatCode>
                <c:ptCount val="3"/>
                <c:pt idx="0">
                  <c:v>0</c:v>
                </c:pt>
                <c:pt idx="1">
                  <c:v>0</c:v>
                </c:pt>
                <c:pt idx="2">
                  <c:v>0</c:v>
                </c:pt>
              </c:numCache>
            </c:numRef>
          </c:val>
        </c:ser>
        <c:ser>
          <c:idx val="3"/>
          <c:order val="3"/>
          <c:tx>
            <c:strRef>
              <c:f>'Budget Choices Workings'!$AQ$84</c:f>
              <c:strCache>
                <c:ptCount val="1"/>
                <c:pt idx="0">
                  <c:v>Children uncovered</c:v>
                </c:pt>
              </c:strCache>
            </c:strRef>
          </c:tx>
          <c:invertIfNegative val="0"/>
          <c:dLbls>
            <c:dLbl>
              <c:idx val="0"/>
              <c:layout>
                <c:manualLayout>
                  <c:x val="-8.3333333333333332E-3"/>
                  <c:y val="8.7962962962962965E-2"/>
                </c:manualLayout>
              </c:layout>
              <c:spPr/>
              <c:txPr>
                <a:bodyPr/>
                <a:lstStyle/>
                <a:p>
                  <a:pPr>
                    <a:defRPr sz="800"/>
                  </a:pPr>
                  <a:endParaRPr lang="en-US"/>
                </a:p>
              </c:txPr>
              <c:showLegendKey val="0"/>
              <c:showVal val="1"/>
              <c:showCatName val="0"/>
              <c:showSerName val="0"/>
              <c:showPercent val="0"/>
              <c:showBubbleSize val="0"/>
              <c:extLst>
                <c:ext xmlns:c15="http://schemas.microsoft.com/office/drawing/2012/chart" uri="{CE6537A1-D6FC-4f65-9D91-7224C49458BB}"/>
              </c:extLst>
            </c:dLbl>
            <c:dLbl>
              <c:idx val="1"/>
              <c:layout>
                <c:manualLayout>
                  <c:x val="-8.3333333333333332E-3"/>
                  <c:y val="9.2592592592592587E-2"/>
                </c:manualLayout>
              </c:layout>
              <c:spPr/>
              <c:txPr>
                <a:bodyPr/>
                <a:lstStyle/>
                <a:p>
                  <a:pPr>
                    <a:defRPr sz="800"/>
                  </a:pPr>
                  <a:endParaRPr lang="en-US"/>
                </a:p>
              </c:txPr>
              <c:showLegendKey val="0"/>
              <c:showVal val="1"/>
              <c:showCatName val="0"/>
              <c:showSerName val="0"/>
              <c:showPercent val="0"/>
              <c:showBubbleSize val="0"/>
              <c:extLst>
                <c:ext xmlns:c15="http://schemas.microsoft.com/office/drawing/2012/chart" uri="{CE6537A1-D6FC-4f65-9D91-7224C49458BB}"/>
              </c:extLst>
            </c:dLbl>
            <c:dLbl>
              <c:idx val="2"/>
              <c:layout>
                <c:manualLayout>
                  <c:x val="0"/>
                  <c:y val="9.7222222222222224E-2"/>
                </c:manualLayout>
              </c:layout>
              <c:spPr/>
              <c:txPr>
                <a:bodyPr/>
                <a:lstStyle/>
                <a:p>
                  <a:pPr>
                    <a:defRPr sz="800"/>
                  </a:pPr>
                  <a:endParaRPr lang="en-US"/>
                </a:p>
              </c:txPr>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'Budget Choices Workings'!$AM$95:$AM$97</c:f>
              <c:strCache>
                <c:ptCount val="3"/>
                <c:pt idx="0">
                  <c:v>Severe Acute</c:v>
                </c:pt>
                <c:pt idx="1">
                  <c:v>Moderate Acute</c:v>
                </c:pt>
                <c:pt idx="2">
                  <c:v>Growth Faltering</c:v>
                </c:pt>
              </c:strCache>
            </c:strRef>
          </c:cat>
          <c:val>
            <c:numRef>
              <c:f>'Budget Choices Workings'!$AQ$95:$AQ$97</c:f>
              <c:numCache>
                <c:formatCode>_ * #,##0_ ;_ * \-#,##0_ ;_ * "-"??_ ;_ @_ </c:formatCode>
                <c:ptCount val="3"/>
                <c:pt idx="0">
                  <c:v>0</c:v>
                </c:pt>
                <c:pt idx="1">
                  <c:v>0</c:v>
                </c:pt>
                <c:pt idx="2">
                  <c:v>0</c:v>
                </c:pt>
              </c:numCache>
            </c:numRef>
          </c:val>
        </c:ser>
        <c:dLbls>
          <c:showLegendKey val="0"/>
          <c:showVal val="0"/>
          <c:showCatName val="0"/>
          <c:showSerName val="0"/>
          <c:showPercent val="0"/>
          <c:showBubbleSize val="0"/>
        </c:dLbls>
        <c:gapWidth val="102"/>
        <c:overlap val="100"/>
        <c:axId val="100432512"/>
        <c:axId val="100438400"/>
      </c:barChart>
      <c:catAx>
        <c:axId val="100432512"/>
        <c:scaling>
          <c:orientation val="minMax"/>
        </c:scaling>
        <c:delete val="0"/>
        <c:axPos val="l"/>
        <c:numFmt formatCode="General" sourceLinked="0"/>
        <c:majorTickMark val="out"/>
        <c:minorTickMark val="none"/>
        <c:tickLblPos val="nextTo"/>
        <c:spPr>
          <a:ln>
            <a:noFill/>
          </a:ln>
        </c:spPr>
        <c:txPr>
          <a:bodyPr/>
          <a:lstStyle/>
          <a:p>
            <a:pPr>
              <a:defRPr>
                <a:latin typeface="Arial" panose="020B0604020202020204" pitchFamily="34" charset="0"/>
                <a:cs typeface="Arial" panose="020B0604020202020204" pitchFamily="34" charset="0"/>
              </a:defRPr>
            </a:pPr>
            <a:endParaRPr lang="en-US"/>
          </a:p>
        </c:txPr>
        <c:crossAx val="100438400"/>
        <c:crosses val="autoZero"/>
        <c:auto val="1"/>
        <c:lblAlgn val="ctr"/>
        <c:lblOffset val="100"/>
        <c:noMultiLvlLbl val="0"/>
      </c:catAx>
      <c:valAx>
        <c:axId val="100438400"/>
        <c:scaling>
          <c:orientation val="minMax"/>
          <c:max val="1"/>
          <c:min val="0"/>
        </c:scaling>
        <c:delete val="1"/>
        <c:axPos val="b"/>
        <c:numFmt formatCode="0%" sourceLinked="1"/>
        <c:majorTickMark val="out"/>
        <c:minorTickMark val="none"/>
        <c:tickLblPos val="nextTo"/>
        <c:crossAx val="100432512"/>
        <c:crosses val="autoZero"/>
        <c:crossBetween val="between"/>
      </c:valAx>
      <c:spPr>
        <a:noFill/>
      </c:spPr>
    </c:plotArea>
    <c:legend>
      <c:legendPos val="r"/>
      <c:overlay val="0"/>
    </c:legend>
    <c:plotVisOnly val="1"/>
    <c:dispBlanksAs val="gap"/>
    <c:showDLblsOverMax val="0"/>
  </c:chart>
  <c:spPr>
    <a:noFill/>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323950131233595"/>
          <c:y val="0.16598961899409589"/>
          <c:w val="0.51687248468941382"/>
          <c:h val="0.52382547330462492"/>
        </c:manualLayout>
      </c:layout>
      <c:barChart>
        <c:barDir val="bar"/>
        <c:grouping val="percentStacked"/>
        <c:varyColors val="0"/>
        <c:ser>
          <c:idx val="0"/>
          <c:order val="0"/>
          <c:tx>
            <c:strRef>
              <c:f>PDOH!$AE$460</c:f>
              <c:strCache>
                <c:ptCount val="1"/>
                <c:pt idx="0">
                  <c:v>Added</c:v>
                </c:pt>
              </c:strCache>
            </c:strRef>
          </c:tx>
          <c:invertIfNegative val="0"/>
          <c:cat>
            <c:strRef>
              <c:f>PDOH!$AD$461</c:f>
              <c:strCache>
                <c:ptCount val="1"/>
                <c:pt idx="0">
                  <c:v>FTE CHWs and Nurses</c:v>
                </c:pt>
              </c:strCache>
            </c:strRef>
          </c:cat>
          <c:val>
            <c:numRef>
              <c:f>PDOH!$AE$461</c:f>
              <c:numCache>
                <c:formatCode>General</c:formatCode>
                <c:ptCount val="1"/>
                <c:pt idx="0">
                  <c:v>0</c:v>
                </c:pt>
              </c:numCache>
            </c:numRef>
          </c:val>
        </c:ser>
        <c:ser>
          <c:idx val="1"/>
          <c:order val="1"/>
          <c:tx>
            <c:strRef>
              <c:f>PDOH!$AF$460</c:f>
              <c:strCache>
                <c:ptCount val="1"/>
                <c:pt idx="0">
                  <c:v>Reduced</c:v>
                </c:pt>
              </c:strCache>
            </c:strRef>
          </c:tx>
          <c:invertIfNegative val="0"/>
          <c:cat>
            <c:strRef>
              <c:f>PDOH!$AD$461</c:f>
              <c:strCache>
                <c:ptCount val="1"/>
                <c:pt idx="0">
                  <c:v>FTE CHWs and Nurses</c:v>
                </c:pt>
              </c:strCache>
            </c:strRef>
          </c:cat>
          <c:val>
            <c:numRef>
              <c:f>PDOH!$AF$461</c:f>
              <c:numCache>
                <c:formatCode>General</c:formatCode>
                <c:ptCount val="1"/>
                <c:pt idx="0">
                  <c:v>0</c:v>
                </c:pt>
              </c:numCache>
            </c:numRef>
          </c:val>
        </c:ser>
        <c:ser>
          <c:idx val="2"/>
          <c:order val="2"/>
          <c:tx>
            <c:strRef>
              <c:f>PDOH!$AG$460</c:f>
              <c:strCache>
                <c:ptCount val="1"/>
                <c:pt idx="0">
                  <c:v>Starting</c:v>
                </c:pt>
              </c:strCache>
            </c:strRef>
          </c:tx>
          <c:invertIfNegative val="0"/>
          <c:cat>
            <c:strRef>
              <c:f>PDOH!$AD$461</c:f>
              <c:strCache>
                <c:ptCount val="1"/>
                <c:pt idx="0">
                  <c:v>FTE CHWs and Nurses</c:v>
                </c:pt>
              </c:strCache>
            </c:strRef>
          </c:cat>
          <c:val>
            <c:numRef>
              <c:f>PDOH!$AG$461</c:f>
              <c:numCache>
                <c:formatCode>General</c:formatCode>
                <c:ptCount val="1"/>
                <c:pt idx="0">
                  <c:v>1</c:v>
                </c:pt>
              </c:numCache>
            </c:numRef>
          </c:val>
        </c:ser>
        <c:dLbls>
          <c:showLegendKey val="0"/>
          <c:showVal val="0"/>
          <c:showCatName val="0"/>
          <c:showSerName val="0"/>
          <c:showPercent val="0"/>
          <c:showBubbleSize val="0"/>
        </c:dLbls>
        <c:gapWidth val="150"/>
        <c:overlap val="100"/>
        <c:axId val="102897152"/>
        <c:axId val="102898688"/>
      </c:barChart>
      <c:catAx>
        <c:axId val="102897152"/>
        <c:scaling>
          <c:orientation val="minMax"/>
        </c:scaling>
        <c:delete val="0"/>
        <c:axPos val="l"/>
        <c:numFmt formatCode="General" sourceLinked="0"/>
        <c:majorTickMark val="out"/>
        <c:minorTickMark val="none"/>
        <c:tickLblPos val="nextTo"/>
        <c:spPr>
          <a:ln>
            <a:noFill/>
          </a:ln>
        </c:spPr>
        <c:txPr>
          <a:bodyPr/>
          <a:lstStyle/>
          <a:p>
            <a:pPr>
              <a:defRPr>
                <a:latin typeface="Arial" panose="020B0604020202020204" pitchFamily="34" charset="0"/>
                <a:cs typeface="Arial" panose="020B0604020202020204" pitchFamily="34" charset="0"/>
              </a:defRPr>
            </a:pPr>
            <a:endParaRPr lang="en-US"/>
          </a:p>
        </c:txPr>
        <c:crossAx val="102898688"/>
        <c:crosses val="autoZero"/>
        <c:auto val="1"/>
        <c:lblAlgn val="ctr"/>
        <c:lblOffset val="100"/>
        <c:noMultiLvlLbl val="0"/>
      </c:catAx>
      <c:valAx>
        <c:axId val="102898688"/>
        <c:scaling>
          <c:orientation val="minMax"/>
        </c:scaling>
        <c:delete val="1"/>
        <c:axPos val="b"/>
        <c:numFmt formatCode="0%" sourceLinked="1"/>
        <c:majorTickMark val="out"/>
        <c:minorTickMark val="none"/>
        <c:tickLblPos val="nextTo"/>
        <c:crossAx val="102897152"/>
        <c:crosses val="autoZero"/>
        <c:crossBetween val="between"/>
      </c:valAx>
      <c:spPr>
        <a:noFill/>
        <a:ln w="25400">
          <a:noFill/>
        </a:ln>
      </c:spPr>
    </c:plotArea>
    <c:legend>
      <c:legendPos val="r"/>
      <c:layout>
        <c:manualLayout>
          <c:xMode val="edge"/>
          <c:yMode val="edge"/>
          <c:x val="0.82478477690288721"/>
          <c:y val="0.17228506938886606"/>
          <c:w val="0.15577077865266842"/>
          <c:h val="0.4584149821565443"/>
        </c:manualLayout>
      </c:layout>
      <c:overlay val="0"/>
      <c:txPr>
        <a:bodyPr/>
        <a:lstStyle/>
        <a:p>
          <a:pPr>
            <a:defRPr>
              <a:latin typeface="Arial" panose="020B0604020202020204" pitchFamily="34" charset="0"/>
              <a:cs typeface="Arial" panose="020B0604020202020204" pitchFamily="34" charset="0"/>
            </a:defRPr>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panose="020B0604020202020204" pitchFamily="34" charset="0"/>
                <a:cs typeface="Arial" panose="020B0604020202020204" pitchFamily="34" charset="0"/>
              </a:defRPr>
            </a:pPr>
            <a:r>
              <a:rPr lang="en-US" sz="1400">
                <a:latin typeface="Arial" panose="020B0604020202020204" pitchFamily="34" charset="0"/>
                <a:cs typeface="Arial" panose="020B0604020202020204" pitchFamily="34" charset="0"/>
              </a:rPr>
              <a:t>Child Support</a:t>
            </a:r>
            <a:r>
              <a:rPr lang="en-US" sz="1400" baseline="0">
                <a:latin typeface="Arial" panose="020B0604020202020204" pitchFamily="34" charset="0"/>
                <a:cs typeface="Arial" panose="020B0604020202020204" pitchFamily="34" charset="0"/>
              </a:rPr>
              <a:t> Grant Beneficiaries</a:t>
            </a:r>
            <a:r>
              <a:rPr lang="en-US" sz="1400">
                <a:latin typeface="Arial" panose="020B0604020202020204" pitchFamily="34" charset="0"/>
                <a:cs typeface="Arial" panose="020B0604020202020204" pitchFamily="34" charset="0"/>
              </a:rPr>
              <a:t> </a:t>
            </a:r>
          </a:p>
        </c:rich>
      </c:tx>
      <c:layout>
        <c:manualLayout>
          <c:xMode val="edge"/>
          <c:yMode val="edge"/>
          <c:x val="0.19229855643044619"/>
          <c:y val="0.2"/>
        </c:manualLayout>
      </c:layout>
      <c:overlay val="0"/>
    </c:title>
    <c:autoTitleDeleted val="0"/>
    <c:plotArea>
      <c:layout/>
      <c:barChart>
        <c:barDir val="bar"/>
        <c:grouping val="percentStacked"/>
        <c:varyColors val="0"/>
        <c:ser>
          <c:idx val="0"/>
          <c:order val="0"/>
          <c:tx>
            <c:strRef>
              <c:f>SASSA!$I$169</c:f>
              <c:strCache>
                <c:ptCount val="1"/>
                <c:pt idx="0">
                  <c:v>Children covered</c:v>
                </c:pt>
              </c:strCache>
            </c:strRef>
          </c:tx>
          <c:invertIfNegative val="0"/>
          <c:val>
            <c:numRef>
              <c:f>SASSA!$J$169</c:f>
              <c:numCache>
                <c:formatCode>_(* #,##0.00_);_(* \(#,##0.00\);_(* "-"??_);_(@_)</c:formatCode>
                <c:ptCount val="1"/>
                <c:pt idx="0">
                  <c:v>2216250.8546094252</c:v>
                </c:pt>
              </c:numCache>
            </c:numRef>
          </c:val>
        </c:ser>
        <c:ser>
          <c:idx val="1"/>
          <c:order val="1"/>
          <c:tx>
            <c:strRef>
              <c:f>SASSA!$I$170</c:f>
              <c:strCache>
                <c:ptCount val="1"/>
                <c:pt idx="0">
                  <c:v>Children excluded</c:v>
                </c:pt>
              </c:strCache>
            </c:strRef>
          </c:tx>
          <c:invertIfNegative val="0"/>
          <c:val>
            <c:numRef>
              <c:f>SASSA!$J$170</c:f>
              <c:numCache>
                <c:formatCode>_(* #,##0.00_);_(* \(#,##0.00\);_(* "-"??_);_(@_)</c:formatCode>
                <c:ptCount val="1"/>
                <c:pt idx="0">
                  <c:v>0</c:v>
                </c:pt>
              </c:numCache>
            </c:numRef>
          </c:val>
        </c:ser>
        <c:ser>
          <c:idx val="2"/>
          <c:order val="2"/>
          <c:tx>
            <c:strRef>
              <c:f>SASSA!$I$171</c:f>
              <c:strCache>
                <c:ptCount val="1"/>
                <c:pt idx="0">
                  <c:v>Children added</c:v>
                </c:pt>
              </c:strCache>
            </c:strRef>
          </c:tx>
          <c:invertIfNegative val="0"/>
          <c:val>
            <c:numRef>
              <c:f>SASSA!$J$171</c:f>
              <c:numCache>
                <c:formatCode>General</c:formatCode>
                <c:ptCount val="1"/>
                <c:pt idx="0">
                  <c:v>0</c:v>
                </c:pt>
              </c:numCache>
            </c:numRef>
          </c:val>
        </c:ser>
        <c:ser>
          <c:idx val="3"/>
          <c:order val="3"/>
          <c:tx>
            <c:strRef>
              <c:f>SASSA!$I$172</c:f>
              <c:strCache>
                <c:ptCount val="1"/>
                <c:pt idx="0">
                  <c:v>Children uncovered</c:v>
                </c:pt>
              </c:strCache>
            </c:strRef>
          </c:tx>
          <c:invertIfNegative val="0"/>
          <c:val>
            <c:numRef>
              <c:f>SASSA!$J$172</c:f>
              <c:numCache>
                <c:formatCode>_ * #,##0_ ;_ * \-#,##0_ ;_ * "-"??_ ;_ @_ </c:formatCode>
                <c:ptCount val="1"/>
                <c:pt idx="0">
                  <c:v>46772.362813141546</c:v>
                </c:pt>
              </c:numCache>
            </c:numRef>
          </c:val>
        </c:ser>
        <c:dLbls>
          <c:showLegendKey val="0"/>
          <c:showVal val="0"/>
          <c:showCatName val="0"/>
          <c:showSerName val="0"/>
          <c:showPercent val="0"/>
          <c:showBubbleSize val="0"/>
        </c:dLbls>
        <c:gapWidth val="150"/>
        <c:overlap val="100"/>
        <c:axId val="102938112"/>
        <c:axId val="102939648"/>
      </c:barChart>
      <c:catAx>
        <c:axId val="102938112"/>
        <c:scaling>
          <c:orientation val="minMax"/>
        </c:scaling>
        <c:delete val="1"/>
        <c:axPos val="l"/>
        <c:majorTickMark val="out"/>
        <c:minorTickMark val="none"/>
        <c:tickLblPos val="nextTo"/>
        <c:crossAx val="102939648"/>
        <c:crosses val="autoZero"/>
        <c:auto val="1"/>
        <c:lblAlgn val="ctr"/>
        <c:lblOffset val="100"/>
        <c:noMultiLvlLbl val="0"/>
      </c:catAx>
      <c:valAx>
        <c:axId val="102939648"/>
        <c:scaling>
          <c:orientation val="minMax"/>
          <c:max val="1"/>
          <c:min val="0"/>
        </c:scaling>
        <c:delete val="1"/>
        <c:axPos val="b"/>
        <c:numFmt formatCode="0%" sourceLinked="1"/>
        <c:majorTickMark val="out"/>
        <c:minorTickMark val="none"/>
        <c:tickLblPos val="nextTo"/>
        <c:crossAx val="102938112"/>
        <c:crosses val="autoZero"/>
        <c:crossBetween val="between"/>
      </c:valAx>
      <c:spPr>
        <a:noFill/>
        <a:ln w="25400">
          <a:noFill/>
        </a:ln>
      </c:spPr>
    </c:plotArea>
    <c:legend>
      <c:legendPos val="r"/>
      <c:overlay val="0"/>
    </c:legend>
    <c:plotVisOnly val="1"/>
    <c:dispBlanksAs val="gap"/>
    <c:showDLblsOverMax val="0"/>
  </c:chart>
  <c:spPr>
    <a:noFill/>
    <a:ln>
      <a:no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manualLayout>
          <c:layoutTarget val="inner"/>
          <c:xMode val="edge"/>
          <c:yMode val="edge"/>
          <c:x val="0.18623882540998199"/>
          <c:y val="0.239928423498809"/>
          <c:w val="0.78262763207230701"/>
          <c:h val="0.65081170492282903"/>
        </c:manualLayout>
      </c:layout>
      <c:barChart>
        <c:barDir val="col"/>
        <c:grouping val="clustered"/>
        <c:varyColors val="0"/>
        <c:ser>
          <c:idx val="0"/>
          <c:order val="0"/>
          <c:tx>
            <c:strRef>
              <c:f>'Budget Choices Workings'!$AA$84</c:f>
              <c:strCache>
                <c:ptCount val="1"/>
                <c:pt idx="0">
                  <c:v>Fewer children receiving treatment compared to baseline</c:v>
                </c:pt>
              </c:strCache>
            </c:strRef>
          </c:tx>
          <c:invertIfNegative val="0"/>
          <c:cat>
            <c:strRef>
              <c:f>'Budget Choices Workings'!$Z$86:$Z$88</c:f>
              <c:strCache>
                <c:ptCount val="3"/>
                <c:pt idx="0">
                  <c:v>Deworming</c:v>
                </c:pt>
                <c:pt idx="1">
                  <c:v>Vitamin A</c:v>
                </c:pt>
                <c:pt idx="2">
                  <c:v>Folic Acid</c:v>
                </c:pt>
              </c:strCache>
            </c:strRef>
          </c:cat>
          <c:val>
            <c:numRef>
              <c:f>'Budget Choices Workings'!$AA$86:$AA$88</c:f>
              <c:numCache>
                <c:formatCode>_ * #,##0_ ;_ * \-#,##0_ ;_ * "-"??_ ;_ @_ </c:formatCode>
                <c:ptCount val="3"/>
                <c:pt idx="0">
                  <c:v>0</c:v>
                </c:pt>
                <c:pt idx="1">
                  <c:v>0</c:v>
                </c:pt>
                <c:pt idx="2">
                  <c:v>0</c:v>
                </c:pt>
              </c:numCache>
            </c:numRef>
          </c:val>
        </c:ser>
        <c:dLbls>
          <c:showLegendKey val="0"/>
          <c:showVal val="0"/>
          <c:showCatName val="0"/>
          <c:showSerName val="0"/>
          <c:showPercent val="0"/>
          <c:showBubbleSize val="0"/>
        </c:dLbls>
        <c:gapWidth val="150"/>
        <c:axId val="103549568"/>
        <c:axId val="103555840"/>
      </c:barChart>
      <c:catAx>
        <c:axId val="103549568"/>
        <c:scaling>
          <c:orientation val="minMax"/>
        </c:scaling>
        <c:delete val="0"/>
        <c:axPos val="b"/>
        <c:numFmt formatCode="General" sourceLinked="0"/>
        <c:majorTickMark val="none"/>
        <c:minorTickMark val="none"/>
        <c:tickLblPos val="low"/>
        <c:crossAx val="103555840"/>
        <c:crosses val="autoZero"/>
        <c:auto val="1"/>
        <c:lblAlgn val="ctr"/>
        <c:lblOffset val="100"/>
        <c:noMultiLvlLbl val="0"/>
      </c:catAx>
      <c:valAx>
        <c:axId val="103555840"/>
        <c:scaling>
          <c:orientation val="minMax"/>
        </c:scaling>
        <c:delete val="0"/>
        <c:axPos val="l"/>
        <c:title>
          <c:tx>
            <c:rich>
              <a:bodyPr rot="-5400000" vert="horz"/>
              <a:lstStyle/>
              <a:p>
                <a:pPr>
                  <a:defRPr/>
                </a:pPr>
                <a:r>
                  <a:rPr lang="en-US"/>
                  <a:t>Number of children</a:t>
                </a:r>
              </a:p>
            </c:rich>
          </c:tx>
          <c:layout>
            <c:manualLayout>
              <c:xMode val="edge"/>
              <c:yMode val="edge"/>
              <c:x val="1.9493615929587699E-3"/>
              <c:y val="0.37729374187639703"/>
            </c:manualLayout>
          </c:layout>
          <c:overlay val="0"/>
        </c:title>
        <c:numFmt formatCode="_ * #,##0_ ;_ * \-#,##0_ ;_ * &quot;-&quot;??_ ;_ @_ " sourceLinked="1"/>
        <c:majorTickMark val="none"/>
        <c:minorTickMark val="none"/>
        <c:tickLblPos val="nextTo"/>
        <c:crossAx val="103549568"/>
        <c:crosses val="autoZero"/>
        <c:crossBetween val="between"/>
      </c:valAx>
      <c:spPr>
        <a:solidFill>
          <a:schemeClr val="bg1">
            <a:lumMod val="85000"/>
            <a:alpha val="0"/>
          </a:schemeClr>
        </a:solidFill>
      </c:spPr>
    </c:plotArea>
    <c:plotVisOnly val="1"/>
    <c:dispBlanksAs val="gap"/>
    <c:showDLblsOverMax val="0"/>
  </c:chart>
  <c:spPr>
    <a:solidFill>
      <a:schemeClr val="bg1">
        <a:lumMod val="85000"/>
        <a:alpha val="0"/>
      </a:schemeClr>
    </a:solidFill>
    <a:ln>
      <a:noFill/>
    </a:ln>
  </c:spPr>
  <c:printSettings>
    <c:headerFooter/>
    <c:pageMargins b="1" l="0.75" r="0.75" t="1" header="0.5" footer="0.5"/>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manualLayout>
          <c:layoutTarget val="inner"/>
          <c:xMode val="edge"/>
          <c:yMode val="edge"/>
          <c:x val="0.14319225721784801"/>
          <c:y val="0.23148148148148101"/>
          <c:w val="0.82069663167104101"/>
          <c:h val="0.65117308253134998"/>
        </c:manualLayout>
      </c:layout>
      <c:barChart>
        <c:barDir val="col"/>
        <c:grouping val="clustered"/>
        <c:varyColors val="0"/>
        <c:ser>
          <c:idx val="0"/>
          <c:order val="0"/>
          <c:tx>
            <c:strRef>
              <c:f>'Budget Choices Workings'!$AA$102</c:f>
              <c:strCache>
                <c:ptCount val="1"/>
                <c:pt idx="0">
                  <c:v>Fewer staff receiving malnutrition training as a result of cost savings (compared to baseline)</c:v>
                </c:pt>
              </c:strCache>
            </c:strRef>
          </c:tx>
          <c:invertIfNegative val="0"/>
          <c:cat>
            <c:strRef>
              <c:f>'Budget Choices Workings'!$Z$103:$Z$105</c:f>
              <c:strCache>
                <c:ptCount val="3"/>
                <c:pt idx="0">
                  <c:v>Health facilities</c:v>
                </c:pt>
                <c:pt idx="1">
                  <c:v>Ward based teams</c:v>
                </c:pt>
                <c:pt idx="2">
                  <c:v>District specialist teams</c:v>
                </c:pt>
              </c:strCache>
            </c:strRef>
          </c:cat>
          <c:val>
            <c:numRef>
              <c:f>'Budget Choices Workings'!$AA$103:$AA$105</c:f>
              <c:numCache>
                <c:formatCode>General</c:formatCode>
                <c:ptCount val="3"/>
                <c:pt idx="0" formatCode="&quot;R&quot;#,##0_);[Red]\(&quot;R&quot;#,##0\)">
                  <c:v>0</c:v>
                </c:pt>
                <c:pt idx="1">
                  <c:v>0</c:v>
                </c:pt>
                <c:pt idx="2">
                  <c:v>0</c:v>
                </c:pt>
              </c:numCache>
            </c:numRef>
          </c:val>
        </c:ser>
        <c:dLbls>
          <c:showLegendKey val="0"/>
          <c:showVal val="0"/>
          <c:showCatName val="0"/>
          <c:showSerName val="0"/>
          <c:showPercent val="0"/>
          <c:showBubbleSize val="0"/>
        </c:dLbls>
        <c:gapWidth val="150"/>
        <c:axId val="108774144"/>
        <c:axId val="108775680"/>
      </c:barChart>
      <c:catAx>
        <c:axId val="108774144"/>
        <c:scaling>
          <c:orientation val="minMax"/>
        </c:scaling>
        <c:delete val="0"/>
        <c:axPos val="b"/>
        <c:numFmt formatCode="General" sourceLinked="0"/>
        <c:majorTickMark val="none"/>
        <c:minorTickMark val="none"/>
        <c:tickLblPos val="nextTo"/>
        <c:crossAx val="108775680"/>
        <c:crosses val="autoZero"/>
        <c:auto val="1"/>
        <c:lblAlgn val="ctr"/>
        <c:lblOffset val="100"/>
        <c:noMultiLvlLbl val="0"/>
      </c:catAx>
      <c:valAx>
        <c:axId val="108775680"/>
        <c:scaling>
          <c:orientation val="minMax"/>
        </c:scaling>
        <c:delete val="0"/>
        <c:axPos val="l"/>
        <c:title>
          <c:tx>
            <c:rich>
              <a:bodyPr rot="-5400000" vert="horz"/>
              <a:lstStyle/>
              <a:p>
                <a:pPr>
                  <a:defRPr/>
                </a:pPr>
                <a:r>
                  <a:rPr lang="en-US"/>
                  <a:t>Number of staff</a:t>
                </a:r>
              </a:p>
            </c:rich>
          </c:tx>
          <c:layout>
            <c:manualLayout>
              <c:xMode val="edge"/>
              <c:yMode val="edge"/>
              <c:x val="2.7777777777777801E-3"/>
              <c:y val="0.37766294838145198"/>
            </c:manualLayout>
          </c:layout>
          <c:overlay val="0"/>
        </c:title>
        <c:numFmt formatCode="&quot;R&quot;#,##0_);[Red]\(&quot;R&quot;#,##0\)" sourceLinked="1"/>
        <c:majorTickMark val="none"/>
        <c:minorTickMark val="none"/>
        <c:tickLblPos val="nextTo"/>
        <c:crossAx val="108774144"/>
        <c:crosses val="autoZero"/>
        <c:crossBetween val="between"/>
        <c:majorUnit val="900"/>
      </c:valAx>
      <c:spPr>
        <a:solidFill>
          <a:schemeClr val="bg1">
            <a:lumMod val="85000"/>
            <a:alpha val="0"/>
          </a:schemeClr>
        </a:solidFill>
      </c:spPr>
    </c:plotArea>
    <c:plotVisOnly val="1"/>
    <c:dispBlanksAs val="gap"/>
    <c:showDLblsOverMax val="0"/>
  </c:chart>
  <c:spPr>
    <a:solidFill>
      <a:schemeClr val="bg1">
        <a:lumMod val="85000"/>
        <a:alpha val="0"/>
      </a:schemeClr>
    </a:solidFill>
    <a:ln>
      <a:noFill/>
    </a:ln>
  </c:spPr>
  <c:printSettings>
    <c:headerFooter/>
    <c:pageMargins b="1" l="0.75" r="0.75" t="1" header="0.5" footer="0.5"/>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'Budget Choices Workings'!$AN$84</c:f>
              <c:strCache>
                <c:ptCount val="1"/>
                <c:pt idx="0">
                  <c:v>Children covered</c:v>
                </c:pt>
              </c:strCache>
            </c:strRef>
          </c:tx>
          <c:invertIfNegative val="0"/>
          <c:dLbls>
            <c:dLbl>
              <c:idx val="0"/>
              <c:layout>
                <c:manualLayout>
                  <c:x val="5.3763440860215101E-3"/>
                  <c:y val="0.11111111111111099"/>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0"/>
                  <c:y val="0.11111111111111099"/>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2.6881720430107499E-3"/>
                  <c:y val="0.11111111111111099"/>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8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'Budget Choices Workings'!$AM$102</c:f>
              <c:strCache>
                <c:ptCount val="1"/>
                <c:pt idx="0">
                  <c:v>Children in ECD centres</c:v>
                </c:pt>
              </c:strCache>
            </c:strRef>
          </c:cat>
          <c:val>
            <c:numRef>
              <c:f>'Budget Choices Workings'!$AN$102</c:f>
              <c:numCache>
                <c:formatCode>_ * #,##0_ ;_ * \-#,##0_ ;_ * "-"??_ ;_ @_ </c:formatCode>
                <c:ptCount val="1"/>
                <c:pt idx="0">
                  <c:v>1120375.7461139867</c:v>
                </c:pt>
              </c:numCache>
            </c:numRef>
          </c:val>
        </c:ser>
        <c:ser>
          <c:idx val="1"/>
          <c:order val="1"/>
          <c:tx>
            <c:strRef>
              <c:f>'Budget Choices Workings'!$AO$84</c:f>
              <c:strCache>
                <c:ptCount val="1"/>
                <c:pt idx="0">
                  <c:v> Children excluded </c:v>
                </c:pt>
              </c:strCache>
            </c:strRef>
          </c:tx>
          <c:invertIfNegative val="0"/>
          <c:dLbls>
            <c:dLbl>
              <c:idx val="0"/>
              <c:layout>
                <c:manualLayout>
                  <c:x val="-4.1536863966770499E-3"/>
                  <c:y val="-0.29070351920295701"/>
                </c:manualLayout>
              </c:layout>
              <c:spPr/>
              <c:txPr>
                <a:bodyPr/>
                <a:lstStyle/>
                <a:p>
                  <a:pPr>
                    <a:defRPr sz="800">
                      <a:solidFill>
                        <a:srgbClr val="C00000"/>
                      </a:solidFill>
                    </a:defRPr>
                  </a:pPr>
                  <a:endParaRPr lang="en-US"/>
                </a:p>
              </c:txPr>
              <c:showLegendKey val="0"/>
              <c:showVal val="1"/>
              <c:showCatName val="0"/>
              <c:showSerName val="0"/>
              <c:showPercent val="0"/>
              <c:showBubbleSize val="0"/>
              <c:extLst>
                <c:ext xmlns:c15="http://schemas.microsoft.com/office/drawing/2012/chart" uri="{CE6537A1-D6FC-4f65-9D91-7224C49458BB}"/>
              </c:extLst>
            </c:dLbl>
            <c:dLbl>
              <c:idx val="1"/>
              <c:layout>
                <c:manualLayout>
                  <c:x val="0"/>
                  <c:y val="-0.11111111111111099"/>
                </c:manualLayout>
              </c:layout>
              <c:spPr/>
              <c:txPr>
                <a:bodyPr/>
                <a:lstStyle/>
                <a:p>
                  <a:pPr>
                    <a:defRPr sz="800">
                      <a:solidFill>
                        <a:srgbClr val="C00000"/>
                      </a:solidFill>
                    </a:defRPr>
                  </a:pPr>
                  <a:endParaRPr lang="en-US"/>
                </a:p>
              </c:txPr>
              <c:showLegendKey val="0"/>
              <c:showVal val="1"/>
              <c:showCatName val="0"/>
              <c:showSerName val="0"/>
              <c:showPercent val="0"/>
              <c:showBubbleSize val="0"/>
              <c:extLst>
                <c:ext xmlns:c15="http://schemas.microsoft.com/office/drawing/2012/chart" uri="{CE6537A1-D6FC-4f65-9D91-7224C49458BB}"/>
              </c:extLst>
            </c:dLbl>
            <c:dLbl>
              <c:idx val="2"/>
              <c:layout>
                <c:manualLayout>
                  <c:x val="0"/>
                  <c:y val="-0.11111111111111099"/>
                </c:manualLayout>
              </c:layout>
              <c:spPr/>
              <c:txPr>
                <a:bodyPr/>
                <a:lstStyle/>
                <a:p>
                  <a:pPr>
                    <a:defRPr sz="800">
                      <a:solidFill>
                        <a:srgbClr val="C00000"/>
                      </a:solidFill>
                    </a:defRPr>
                  </a:pPr>
                  <a:endParaRPr lang="en-US"/>
                </a:p>
              </c:txPr>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'Budget Choices Workings'!$AM$102</c:f>
              <c:strCache>
                <c:ptCount val="1"/>
                <c:pt idx="0">
                  <c:v>Children in ECD centres</c:v>
                </c:pt>
              </c:strCache>
            </c:strRef>
          </c:cat>
          <c:val>
            <c:numRef>
              <c:f>'Budget Choices Workings'!$AO$102</c:f>
              <c:numCache>
                <c:formatCode>_ * #,##0_ ;_ * \-#,##0_ ;_ * "-"??_ ;_ @_ </c:formatCode>
                <c:ptCount val="1"/>
                <c:pt idx="0">
                  <c:v>204635.2276685359</c:v>
                </c:pt>
              </c:numCache>
            </c:numRef>
          </c:val>
        </c:ser>
        <c:ser>
          <c:idx val="2"/>
          <c:order val="2"/>
          <c:tx>
            <c:strRef>
              <c:f>'Budget Choices Workings'!$AP$84</c:f>
              <c:strCache>
                <c:ptCount val="1"/>
                <c:pt idx="0">
                  <c:v>Children added</c:v>
                </c:pt>
              </c:strCache>
            </c:strRef>
          </c:tx>
          <c:invertIfNegative val="0"/>
          <c:dLbls>
            <c:dLbl>
              <c:idx val="0"/>
              <c:layout>
                <c:manualLayout>
                  <c:x val="2.0768431983385202E-3"/>
                  <c:y val="0.27356366168514701"/>
                </c:manualLayout>
              </c:layout>
              <c:spPr/>
              <c:txPr>
                <a:bodyPr/>
                <a:lstStyle/>
                <a:p>
                  <a:pPr>
                    <a:defRPr sz="800">
                      <a:solidFill>
                        <a:srgbClr val="92D050"/>
                      </a:solidFill>
                    </a:defRPr>
                  </a:pPr>
                  <a:endParaRPr lang="en-US"/>
                </a:p>
              </c:txPr>
              <c:showLegendKey val="0"/>
              <c:showVal val="1"/>
              <c:showCatName val="0"/>
              <c:showSerName val="0"/>
              <c:showPercent val="0"/>
              <c:showBubbleSize val="0"/>
              <c:extLst>
                <c:ext xmlns:c15="http://schemas.microsoft.com/office/drawing/2012/chart" uri="{CE6537A1-D6FC-4f65-9D91-7224C49458BB}"/>
              </c:extLst>
            </c:dLbl>
            <c:dLbl>
              <c:idx val="1"/>
              <c:layout>
                <c:manualLayout>
                  <c:x val="0"/>
                  <c:y val="0.115740740740741"/>
                </c:manualLayout>
              </c:layout>
              <c:spPr/>
              <c:txPr>
                <a:bodyPr/>
                <a:lstStyle/>
                <a:p>
                  <a:pPr>
                    <a:defRPr sz="800">
                      <a:solidFill>
                        <a:srgbClr val="92D050"/>
                      </a:solidFill>
                    </a:defRPr>
                  </a:pPr>
                  <a:endParaRPr lang="en-US"/>
                </a:p>
              </c:txPr>
              <c:showLegendKey val="0"/>
              <c:showVal val="1"/>
              <c:showCatName val="0"/>
              <c:showSerName val="0"/>
              <c:showPercent val="0"/>
              <c:showBubbleSize val="0"/>
              <c:extLst>
                <c:ext xmlns:c15="http://schemas.microsoft.com/office/drawing/2012/chart" uri="{CE6537A1-D6FC-4f65-9D91-7224C49458BB}"/>
              </c:extLst>
            </c:dLbl>
            <c:dLbl>
              <c:idx val="2"/>
              <c:layout>
                <c:manualLayout>
                  <c:x val="2.6881720430107499E-3"/>
                  <c:y val="0.115740740740741"/>
                </c:manualLayout>
              </c:layout>
              <c:spPr/>
              <c:txPr>
                <a:bodyPr/>
                <a:lstStyle/>
                <a:p>
                  <a:pPr>
                    <a:defRPr sz="800">
                      <a:solidFill>
                        <a:srgbClr val="92D050"/>
                      </a:solidFill>
                    </a:defRPr>
                  </a:pPr>
                  <a:endParaRPr lang="en-US"/>
                </a:p>
              </c:txP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a:solidFill>
                      <a:srgbClr val="92D05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'Budget Choices Workings'!$AM$102</c:f>
              <c:strCache>
                <c:ptCount val="1"/>
                <c:pt idx="0">
                  <c:v>Children in ECD centres</c:v>
                </c:pt>
              </c:strCache>
            </c:strRef>
          </c:cat>
          <c:val>
            <c:numRef>
              <c:f>'Budget Choices Workings'!$AP$102</c:f>
              <c:numCache>
                <c:formatCode>_ * #,##0_ ;_ * \-#,##0_ ;_ * "-"??_ ;_ @_ </c:formatCode>
                <c:ptCount val="1"/>
                <c:pt idx="0">
                  <c:v>0</c:v>
                </c:pt>
              </c:numCache>
            </c:numRef>
          </c:val>
        </c:ser>
        <c:ser>
          <c:idx val="3"/>
          <c:order val="3"/>
          <c:tx>
            <c:strRef>
              <c:f>'Budget Choices Workings'!$AQ$84</c:f>
              <c:strCache>
                <c:ptCount val="1"/>
                <c:pt idx="0">
                  <c:v>Children uncovered</c:v>
                </c:pt>
              </c:strCache>
            </c:strRef>
          </c:tx>
          <c:invertIfNegative val="0"/>
          <c:dLbls>
            <c:dLbl>
              <c:idx val="0"/>
              <c:layout>
                <c:manualLayout>
                  <c:x val="0"/>
                  <c:y val="0.115740740740741"/>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0"/>
                  <c:y val="0.115740740740741"/>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0"/>
                  <c:y val="0.115740740740741"/>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8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'Budget Choices Workings'!$AM$102</c:f>
              <c:strCache>
                <c:ptCount val="1"/>
                <c:pt idx="0">
                  <c:v>Children in ECD centres</c:v>
                </c:pt>
              </c:strCache>
            </c:strRef>
          </c:cat>
          <c:val>
            <c:numRef>
              <c:f>'Budget Choices Workings'!$AQ$102</c:f>
              <c:numCache>
                <c:formatCode>_ * #,##0_ ;_ * \-#,##0_ ;_ * "-"??_ ;_ @_ </c:formatCode>
                <c:ptCount val="1"/>
                <c:pt idx="0">
                  <c:v>183315.42750552646</c:v>
                </c:pt>
              </c:numCache>
            </c:numRef>
          </c:val>
        </c:ser>
        <c:dLbls>
          <c:showLegendKey val="0"/>
          <c:showVal val="0"/>
          <c:showCatName val="0"/>
          <c:showSerName val="0"/>
          <c:showPercent val="0"/>
          <c:showBubbleSize val="0"/>
        </c:dLbls>
        <c:gapWidth val="98"/>
        <c:overlap val="100"/>
        <c:axId val="108905216"/>
        <c:axId val="108906752"/>
      </c:barChart>
      <c:catAx>
        <c:axId val="108905216"/>
        <c:scaling>
          <c:orientation val="minMax"/>
        </c:scaling>
        <c:delete val="0"/>
        <c:axPos val="l"/>
        <c:numFmt formatCode="General" sourceLinked="1"/>
        <c:majorTickMark val="out"/>
        <c:minorTickMark val="none"/>
        <c:tickLblPos val="nextTo"/>
        <c:spPr>
          <a:ln>
            <a:noFill/>
          </a:ln>
        </c:spPr>
        <c:crossAx val="108906752"/>
        <c:crosses val="autoZero"/>
        <c:auto val="1"/>
        <c:lblAlgn val="ctr"/>
        <c:lblOffset val="100"/>
        <c:noMultiLvlLbl val="0"/>
      </c:catAx>
      <c:valAx>
        <c:axId val="108906752"/>
        <c:scaling>
          <c:orientation val="minMax"/>
        </c:scaling>
        <c:delete val="1"/>
        <c:axPos val="b"/>
        <c:majorGridlines>
          <c:spPr>
            <a:ln>
              <a:noFill/>
            </a:ln>
          </c:spPr>
        </c:majorGridlines>
        <c:numFmt formatCode="0%" sourceLinked="1"/>
        <c:majorTickMark val="out"/>
        <c:minorTickMark val="none"/>
        <c:tickLblPos val="nextTo"/>
        <c:crossAx val="108905216"/>
        <c:crosses val="autoZero"/>
        <c:crossBetween val="between"/>
      </c:valAx>
      <c:spPr>
        <a:noFill/>
      </c:spPr>
    </c:plotArea>
    <c:legend>
      <c:legendPos val="r"/>
      <c:overlay val="0"/>
    </c:legend>
    <c:plotVisOnly val="1"/>
    <c:dispBlanksAs val="gap"/>
    <c:showDLblsOverMax val="0"/>
  </c:chart>
  <c:spPr>
    <a:noFill/>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'Budget Choices Workings'!$AN$84</c:f>
              <c:strCache>
                <c:ptCount val="1"/>
                <c:pt idx="0">
                  <c:v>Children covered</c:v>
                </c:pt>
              </c:strCache>
            </c:strRef>
          </c:tx>
          <c:invertIfNegative val="0"/>
          <c:dLbls>
            <c:dLbl>
              <c:idx val="0"/>
              <c:layout>
                <c:manualLayout>
                  <c:x val="5.3763440860215101E-3"/>
                  <c:y val="0.11111111111111099"/>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0"/>
                  <c:y val="0.11111111111111099"/>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2.6881720430107499E-3"/>
                  <c:y val="0.11111111111111099"/>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8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'Budget Choices Workings'!$AM$105</c:f>
              <c:strCache>
                <c:ptCount val="1"/>
                <c:pt idx="0">
                  <c:v>SROD beneficiaries</c:v>
                </c:pt>
              </c:strCache>
            </c:strRef>
          </c:cat>
          <c:val>
            <c:numRef>
              <c:f>'Budget Choices Workings'!$AN$105</c:f>
              <c:numCache>
                <c:formatCode>_ * #,##0_ ;_ * \-#,##0_ ;_ * "-"??_ ;_ @_ </c:formatCode>
                <c:ptCount val="1"/>
                <c:pt idx="0">
                  <c:v>116742.18023856706</c:v>
                </c:pt>
              </c:numCache>
            </c:numRef>
          </c:val>
        </c:ser>
        <c:ser>
          <c:idx val="1"/>
          <c:order val="1"/>
          <c:tx>
            <c:strRef>
              <c:f>'Budget Choices Workings'!$AO$84</c:f>
              <c:strCache>
                <c:ptCount val="1"/>
                <c:pt idx="0">
                  <c:v> Children excluded </c:v>
                </c:pt>
              </c:strCache>
            </c:strRef>
          </c:tx>
          <c:invertIfNegative val="0"/>
          <c:dLbls>
            <c:dLbl>
              <c:idx val="0"/>
              <c:layout>
                <c:manualLayout>
                  <c:x val="-4.1536863966770499E-3"/>
                  <c:y val="-0.29070351920295701"/>
                </c:manualLayout>
              </c:layout>
              <c:spPr/>
              <c:txPr>
                <a:bodyPr/>
                <a:lstStyle/>
                <a:p>
                  <a:pPr>
                    <a:defRPr sz="800">
                      <a:solidFill>
                        <a:srgbClr val="C00000"/>
                      </a:solidFill>
                    </a:defRPr>
                  </a:pPr>
                  <a:endParaRPr lang="en-US"/>
                </a:p>
              </c:txPr>
              <c:showLegendKey val="0"/>
              <c:showVal val="1"/>
              <c:showCatName val="0"/>
              <c:showSerName val="0"/>
              <c:showPercent val="0"/>
              <c:showBubbleSize val="0"/>
              <c:extLst>
                <c:ext xmlns:c15="http://schemas.microsoft.com/office/drawing/2012/chart" uri="{CE6537A1-D6FC-4f65-9D91-7224C49458BB}"/>
              </c:extLst>
            </c:dLbl>
            <c:dLbl>
              <c:idx val="1"/>
              <c:layout>
                <c:manualLayout>
                  <c:x val="0"/>
                  <c:y val="-0.11111111111111099"/>
                </c:manualLayout>
              </c:layout>
              <c:spPr/>
              <c:txPr>
                <a:bodyPr/>
                <a:lstStyle/>
                <a:p>
                  <a:pPr>
                    <a:defRPr sz="800">
                      <a:solidFill>
                        <a:srgbClr val="C00000"/>
                      </a:solidFill>
                    </a:defRPr>
                  </a:pPr>
                  <a:endParaRPr lang="en-US"/>
                </a:p>
              </c:txPr>
              <c:showLegendKey val="0"/>
              <c:showVal val="1"/>
              <c:showCatName val="0"/>
              <c:showSerName val="0"/>
              <c:showPercent val="0"/>
              <c:showBubbleSize val="0"/>
              <c:extLst>
                <c:ext xmlns:c15="http://schemas.microsoft.com/office/drawing/2012/chart" uri="{CE6537A1-D6FC-4f65-9D91-7224C49458BB}"/>
              </c:extLst>
            </c:dLbl>
            <c:dLbl>
              <c:idx val="2"/>
              <c:layout>
                <c:manualLayout>
                  <c:x val="0"/>
                  <c:y val="-0.11111111111111099"/>
                </c:manualLayout>
              </c:layout>
              <c:spPr/>
              <c:txPr>
                <a:bodyPr/>
                <a:lstStyle/>
                <a:p>
                  <a:pPr>
                    <a:defRPr sz="800">
                      <a:solidFill>
                        <a:srgbClr val="C00000"/>
                      </a:solidFill>
                    </a:defRPr>
                  </a:pPr>
                  <a:endParaRPr lang="en-US"/>
                </a:p>
              </c:txPr>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'Budget Choices Workings'!$AM$105</c:f>
              <c:strCache>
                <c:ptCount val="1"/>
                <c:pt idx="0">
                  <c:v>SROD beneficiaries</c:v>
                </c:pt>
              </c:strCache>
            </c:strRef>
          </c:cat>
          <c:val>
            <c:numRef>
              <c:f>'Budget Choices Workings'!$AO$105</c:f>
              <c:numCache>
                <c:formatCode>_ * #,##0_ ;_ * \-#,##0_ ;_ * "-"??_ ;_ @_ </c:formatCode>
                <c:ptCount val="1"/>
                <c:pt idx="0">
                  <c:v>0</c:v>
                </c:pt>
              </c:numCache>
            </c:numRef>
          </c:val>
        </c:ser>
        <c:ser>
          <c:idx val="2"/>
          <c:order val="2"/>
          <c:tx>
            <c:strRef>
              <c:f>'Budget Choices Workings'!$AP$84</c:f>
              <c:strCache>
                <c:ptCount val="1"/>
                <c:pt idx="0">
                  <c:v>Children added</c:v>
                </c:pt>
              </c:strCache>
            </c:strRef>
          </c:tx>
          <c:invertIfNegative val="0"/>
          <c:dLbls>
            <c:dLbl>
              <c:idx val="0"/>
              <c:layout>
                <c:manualLayout>
                  <c:x val="2.0768431983385202E-3"/>
                  <c:y val="0.27356366168514701"/>
                </c:manualLayout>
              </c:layout>
              <c:spPr/>
              <c:txPr>
                <a:bodyPr/>
                <a:lstStyle/>
                <a:p>
                  <a:pPr>
                    <a:defRPr sz="800">
                      <a:solidFill>
                        <a:srgbClr val="92D050"/>
                      </a:solidFill>
                    </a:defRPr>
                  </a:pPr>
                  <a:endParaRPr lang="en-US"/>
                </a:p>
              </c:txPr>
              <c:showLegendKey val="0"/>
              <c:showVal val="1"/>
              <c:showCatName val="0"/>
              <c:showSerName val="0"/>
              <c:showPercent val="0"/>
              <c:showBubbleSize val="0"/>
              <c:extLst>
                <c:ext xmlns:c15="http://schemas.microsoft.com/office/drawing/2012/chart" uri="{CE6537A1-D6FC-4f65-9D91-7224C49458BB}"/>
              </c:extLst>
            </c:dLbl>
            <c:dLbl>
              <c:idx val="1"/>
              <c:layout>
                <c:manualLayout>
                  <c:x val="0"/>
                  <c:y val="0.115740740740741"/>
                </c:manualLayout>
              </c:layout>
              <c:spPr/>
              <c:txPr>
                <a:bodyPr/>
                <a:lstStyle/>
                <a:p>
                  <a:pPr>
                    <a:defRPr sz="800">
                      <a:solidFill>
                        <a:srgbClr val="92D050"/>
                      </a:solidFill>
                    </a:defRPr>
                  </a:pPr>
                  <a:endParaRPr lang="en-US"/>
                </a:p>
              </c:txPr>
              <c:showLegendKey val="0"/>
              <c:showVal val="1"/>
              <c:showCatName val="0"/>
              <c:showSerName val="0"/>
              <c:showPercent val="0"/>
              <c:showBubbleSize val="0"/>
              <c:extLst>
                <c:ext xmlns:c15="http://schemas.microsoft.com/office/drawing/2012/chart" uri="{CE6537A1-D6FC-4f65-9D91-7224C49458BB}"/>
              </c:extLst>
            </c:dLbl>
            <c:dLbl>
              <c:idx val="2"/>
              <c:layout>
                <c:manualLayout>
                  <c:x val="2.6881720430107499E-3"/>
                  <c:y val="0.115740740740741"/>
                </c:manualLayout>
              </c:layout>
              <c:spPr/>
              <c:txPr>
                <a:bodyPr/>
                <a:lstStyle/>
                <a:p>
                  <a:pPr>
                    <a:defRPr sz="800">
                      <a:solidFill>
                        <a:srgbClr val="92D050"/>
                      </a:solidFill>
                    </a:defRPr>
                  </a:pPr>
                  <a:endParaRPr lang="en-US"/>
                </a:p>
              </c:txP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a:solidFill>
                      <a:srgbClr val="92D05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'Budget Choices Workings'!$AM$105</c:f>
              <c:strCache>
                <c:ptCount val="1"/>
                <c:pt idx="0">
                  <c:v>SROD beneficiaries</c:v>
                </c:pt>
              </c:strCache>
            </c:strRef>
          </c:cat>
          <c:val>
            <c:numRef>
              <c:f>'Budget Choices Workings'!$AP$105</c:f>
              <c:numCache>
                <c:formatCode>_ * #,##0_ ;_ * \-#,##0_ ;_ * "-"??_ ;_ @_ </c:formatCode>
                <c:ptCount val="1"/>
                <c:pt idx="0">
                  <c:v>0</c:v>
                </c:pt>
              </c:numCache>
            </c:numRef>
          </c:val>
        </c:ser>
        <c:ser>
          <c:idx val="3"/>
          <c:order val="3"/>
          <c:tx>
            <c:strRef>
              <c:f>'Budget Choices Workings'!$AQ$84</c:f>
              <c:strCache>
                <c:ptCount val="1"/>
                <c:pt idx="0">
                  <c:v>Children uncovered</c:v>
                </c:pt>
              </c:strCache>
            </c:strRef>
          </c:tx>
          <c:invertIfNegative val="0"/>
          <c:dLbls>
            <c:dLbl>
              <c:idx val="0"/>
              <c:layout>
                <c:manualLayout>
                  <c:x val="0"/>
                  <c:y val="0.115740740740741"/>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0"/>
                  <c:y val="0.115740740740741"/>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0"/>
                  <c:y val="0.115740740740741"/>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8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'Budget Choices Workings'!$AM$105</c:f>
              <c:strCache>
                <c:ptCount val="1"/>
                <c:pt idx="0">
                  <c:v>SROD beneficiaries</c:v>
                </c:pt>
              </c:strCache>
            </c:strRef>
          </c:cat>
          <c:val>
            <c:numRef>
              <c:f>'Budget Choices Workings'!$AQ$105</c:f>
              <c:numCache>
                <c:formatCode>_ * #,##0_ ;_ * \-#,##0_ ;_ * "-"??_ ;_ @_ </c:formatCode>
                <c:ptCount val="1"/>
                <c:pt idx="0">
                  <c:v>0</c:v>
                </c:pt>
              </c:numCache>
            </c:numRef>
          </c:val>
        </c:ser>
        <c:dLbls>
          <c:showLegendKey val="0"/>
          <c:showVal val="0"/>
          <c:showCatName val="0"/>
          <c:showSerName val="0"/>
          <c:showPercent val="0"/>
          <c:showBubbleSize val="0"/>
        </c:dLbls>
        <c:gapWidth val="98"/>
        <c:overlap val="100"/>
        <c:axId val="108962176"/>
        <c:axId val="108963712"/>
      </c:barChart>
      <c:catAx>
        <c:axId val="108962176"/>
        <c:scaling>
          <c:orientation val="minMax"/>
        </c:scaling>
        <c:delete val="0"/>
        <c:axPos val="l"/>
        <c:numFmt formatCode="General" sourceLinked="1"/>
        <c:majorTickMark val="out"/>
        <c:minorTickMark val="none"/>
        <c:tickLblPos val="nextTo"/>
        <c:spPr>
          <a:ln>
            <a:noFill/>
          </a:ln>
        </c:spPr>
        <c:crossAx val="108963712"/>
        <c:crosses val="autoZero"/>
        <c:auto val="1"/>
        <c:lblAlgn val="ctr"/>
        <c:lblOffset val="100"/>
        <c:noMultiLvlLbl val="0"/>
      </c:catAx>
      <c:valAx>
        <c:axId val="108963712"/>
        <c:scaling>
          <c:orientation val="minMax"/>
        </c:scaling>
        <c:delete val="1"/>
        <c:axPos val="b"/>
        <c:majorGridlines>
          <c:spPr>
            <a:ln>
              <a:noFill/>
            </a:ln>
          </c:spPr>
        </c:majorGridlines>
        <c:numFmt formatCode="0%" sourceLinked="1"/>
        <c:majorTickMark val="out"/>
        <c:minorTickMark val="none"/>
        <c:tickLblPos val="nextTo"/>
        <c:crossAx val="108962176"/>
        <c:crosses val="autoZero"/>
        <c:crossBetween val="between"/>
      </c:valAx>
      <c:spPr>
        <a:noFill/>
      </c:spPr>
    </c:plotArea>
    <c:legend>
      <c:legendPos val="r"/>
      <c:overlay val="0"/>
    </c:legend>
    <c:plotVisOnly val="1"/>
    <c:dispBlanksAs val="gap"/>
    <c:showDLblsOverMax val="0"/>
  </c:chart>
  <c:spPr>
    <a:noFill/>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'Budget Choices Workings'!$AN$84</c:f>
              <c:strCache>
                <c:ptCount val="1"/>
                <c:pt idx="0">
                  <c:v>Children covered</c:v>
                </c:pt>
              </c:strCache>
            </c:strRef>
          </c:tx>
          <c:invertIfNegative val="0"/>
          <c:dLbls>
            <c:dLbl>
              <c:idx val="0"/>
              <c:layout>
                <c:manualLayout>
                  <c:x val="-0.15833333333333333"/>
                  <c:y val="0.10185185185185185"/>
                </c:manualLayout>
              </c:layout>
              <c:spPr/>
              <c:txPr>
                <a:bodyPr/>
                <a:lstStyle/>
                <a:p>
                  <a:pPr>
                    <a:defRPr sz="800"/>
                  </a:pPr>
                  <a:endParaRPr lang="en-US"/>
                </a:p>
              </c:txPr>
              <c:showLegendKey val="0"/>
              <c:showVal val="1"/>
              <c:showCatName val="0"/>
              <c:showSerName val="0"/>
              <c:showPercent val="0"/>
              <c:showBubbleSize val="0"/>
              <c:extLst>
                <c:ext xmlns:c15="http://schemas.microsoft.com/office/drawing/2012/chart" uri="{CE6537A1-D6FC-4f65-9D91-7224C49458BB}"/>
              </c:extLst>
            </c:dLbl>
            <c:dLbl>
              <c:idx val="1"/>
              <c:layout>
                <c:manualLayout>
                  <c:x val="-0.16111111111111112"/>
                  <c:y val="0.10185185185185185"/>
                </c:manualLayout>
              </c:layout>
              <c:spPr/>
              <c:txPr>
                <a:bodyPr/>
                <a:lstStyle/>
                <a:p>
                  <a:pPr>
                    <a:defRPr sz="800"/>
                  </a:pPr>
                  <a:endParaRPr lang="en-US"/>
                </a:p>
              </c:txPr>
              <c:showLegendKey val="0"/>
              <c:showVal val="1"/>
              <c:showCatName val="0"/>
              <c:showSerName val="0"/>
              <c:showPercent val="0"/>
              <c:showBubbleSize val="0"/>
              <c:extLst>
                <c:ext xmlns:c15="http://schemas.microsoft.com/office/drawing/2012/chart" uri="{CE6537A1-D6FC-4f65-9D91-7224C49458BB}"/>
              </c:extLst>
            </c:dLbl>
            <c:dLbl>
              <c:idx val="2"/>
              <c:layout>
                <c:manualLayout>
                  <c:x val="-0.1388888888888889"/>
                  <c:y val="8.7962962962962965E-2"/>
                </c:manualLayout>
              </c:layout>
              <c:spPr/>
              <c:txPr>
                <a:bodyPr/>
                <a:lstStyle/>
                <a:p>
                  <a:pPr>
                    <a:defRPr sz="800"/>
                  </a:pPr>
                  <a:endParaRPr lang="en-US"/>
                </a:p>
              </c:txPr>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'Budget Choices Workings'!$AM$85:$AM$87</c:f>
              <c:strCache>
                <c:ptCount val="3"/>
                <c:pt idx="0">
                  <c:v>Vitamin A</c:v>
                </c:pt>
                <c:pt idx="1">
                  <c:v>Deworming</c:v>
                </c:pt>
                <c:pt idx="2">
                  <c:v>Surveillance</c:v>
                </c:pt>
              </c:strCache>
            </c:strRef>
          </c:cat>
          <c:val>
            <c:numRef>
              <c:f>'Budget Choices Workings'!$AN$85:$AN$87</c:f>
              <c:numCache>
                <c:formatCode>_ * #,##0_ ;_ * \-#,##0_ ;_ * "-"??_ ;_ @_ </c:formatCode>
                <c:ptCount val="3"/>
                <c:pt idx="0">
                  <c:v>4746494.0952466419</c:v>
                </c:pt>
                <c:pt idx="1">
                  <c:v>4746494.0952466419</c:v>
                </c:pt>
                <c:pt idx="2">
                  <c:v>4746494.0952466419</c:v>
                </c:pt>
              </c:numCache>
            </c:numRef>
          </c:val>
        </c:ser>
        <c:ser>
          <c:idx val="1"/>
          <c:order val="1"/>
          <c:tx>
            <c:strRef>
              <c:f>'Budget Choices Workings'!$AO$84</c:f>
              <c:strCache>
                <c:ptCount val="1"/>
                <c:pt idx="0">
                  <c:v> Children excluded </c:v>
                </c:pt>
              </c:strCache>
            </c:strRef>
          </c:tx>
          <c:invertIfNegative val="0"/>
          <c:dLbls>
            <c:dLbl>
              <c:idx val="0"/>
              <c:layout>
                <c:manualLayout>
                  <c:x val="-2.7777777777777779E-3"/>
                  <c:y val="-9.2592592592592587E-2"/>
                </c:manualLayout>
              </c:layout>
              <c:spPr/>
              <c:txPr>
                <a:bodyPr/>
                <a:lstStyle/>
                <a:p>
                  <a:pPr>
                    <a:defRPr sz="800">
                      <a:solidFill>
                        <a:srgbClr val="C00000"/>
                      </a:solidFill>
                    </a:defRPr>
                  </a:pPr>
                  <a:endParaRPr lang="en-US"/>
                </a:p>
              </c:txPr>
              <c:showLegendKey val="0"/>
              <c:showVal val="1"/>
              <c:showCatName val="0"/>
              <c:showSerName val="0"/>
              <c:showPercent val="0"/>
              <c:showBubbleSize val="0"/>
              <c:extLst>
                <c:ext xmlns:c15="http://schemas.microsoft.com/office/drawing/2012/chart" uri="{CE6537A1-D6FC-4f65-9D91-7224C49458BB}"/>
              </c:extLst>
            </c:dLbl>
            <c:dLbl>
              <c:idx val="1"/>
              <c:layout>
                <c:manualLayout>
                  <c:x val="0"/>
                  <c:y val="-8.7962962962962965E-2"/>
                </c:manualLayout>
              </c:layout>
              <c:spPr/>
              <c:txPr>
                <a:bodyPr/>
                <a:lstStyle/>
                <a:p>
                  <a:pPr>
                    <a:defRPr sz="800">
                      <a:solidFill>
                        <a:srgbClr val="C00000"/>
                      </a:solidFill>
                    </a:defRPr>
                  </a:pPr>
                  <a:endParaRPr lang="en-US"/>
                </a:p>
              </c:txPr>
              <c:showLegendKey val="0"/>
              <c:showVal val="1"/>
              <c:showCatName val="0"/>
              <c:showSerName val="0"/>
              <c:showPercent val="0"/>
              <c:showBubbleSize val="0"/>
              <c:extLst>
                <c:ext xmlns:c15="http://schemas.microsoft.com/office/drawing/2012/chart" uri="{CE6537A1-D6FC-4f65-9D91-7224C49458BB}"/>
              </c:extLst>
            </c:dLbl>
            <c:dLbl>
              <c:idx val="2"/>
              <c:layout>
                <c:manualLayout>
                  <c:x val="0"/>
                  <c:y val="-9.2592592592592587E-2"/>
                </c:manualLayout>
              </c:layout>
              <c:spPr/>
              <c:txPr>
                <a:bodyPr/>
                <a:lstStyle/>
                <a:p>
                  <a:pPr>
                    <a:defRPr sz="800">
                      <a:solidFill>
                        <a:srgbClr val="C00000"/>
                      </a:solidFill>
                    </a:defRPr>
                  </a:pPr>
                  <a:endParaRPr lang="en-US"/>
                </a:p>
              </c:txPr>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'Budget Choices Workings'!$AM$85:$AM$87</c:f>
              <c:strCache>
                <c:ptCount val="3"/>
                <c:pt idx="0">
                  <c:v>Vitamin A</c:v>
                </c:pt>
                <c:pt idx="1">
                  <c:v>Deworming</c:v>
                </c:pt>
                <c:pt idx="2">
                  <c:v>Surveillance</c:v>
                </c:pt>
              </c:strCache>
            </c:strRef>
          </c:cat>
          <c:val>
            <c:numRef>
              <c:f>'Budget Choices Workings'!$AO$85:$AO$87</c:f>
              <c:numCache>
                <c:formatCode>_ * #,##0_ ;_ * \-#,##0_ ;_ * "-"??_ ;_ @_ </c:formatCode>
                <c:ptCount val="3"/>
                <c:pt idx="0">
                  <c:v>0</c:v>
                </c:pt>
                <c:pt idx="1">
                  <c:v>0</c:v>
                </c:pt>
                <c:pt idx="2">
                  <c:v>0</c:v>
                </c:pt>
              </c:numCache>
            </c:numRef>
          </c:val>
        </c:ser>
        <c:ser>
          <c:idx val="2"/>
          <c:order val="2"/>
          <c:tx>
            <c:strRef>
              <c:f>'Budget Choices Workings'!$AP$84</c:f>
              <c:strCache>
                <c:ptCount val="1"/>
                <c:pt idx="0">
                  <c:v>Children added</c:v>
                </c:pt>
              </c:strCache>
            </c:strRef>
          </c:tx>
          <c:invertIfNegative val="0"/>
          <c:dLbls>
            <c:dLbl>
              <c:idx val="0"/>
              <c:layout>
                <c:manualLayout>
                  <c:x val="1.3888888888888888E-2"/>
                  <c:y val="-9.2592592592592587E-2"/>
                </c:manualLayout>
              </c:layout>
              <c:spPr/>
              <c:txPr>
                <a:bodyPr/>
                <a:lstStyle/>
                <a:p>
                  <a:pPr>
                    <a:defRPr sz="800">
                      <a:solidFill>
                        <a:srgbClr val="00B050"/>
                      </a:solidFill>
                    </a:defRPr>
                  </a:pPr>
                  <a:endParaRPr lang="en-US"/>
                </a:p>
              </c:txPr>
              <c:showLegendKey val="0"/>
              <c:showVal val="1"/>
              <c:showCatName val="0"/>
              <c:showSerName val="0"/>
              <c:showPercent val="0"/>
              <c:showBubbleSize val="0"/>
              <c:extLst>
                <c:ext xmlns:c15="http://schemas.microsoft.com/office/drawing/2012/chart" uri="{CE6537A1-D6FC-4f65-9D91-7224C49458BB}"/>
              </c:extLst>
            </c:dLbl>
            <c:dLbl>
              <c:idx val="1"/>
              <c:layout>
                <c:manualLayout>
                  <c:x val="1.1111111111111112E-2"/>
                  <c:y val="-8.3333333333333329E-2"/>
                </c:manualLayout>
              </c:layout>
              <c:spPr/>
              <c:txPr>
                <a:bodyPr/>
                <a:lstStyle/>
                <a:p>
                  <a:pPr>
                    <a:defRPr sz="800">
                      <a:solidFill>
                        <a:srgbClr val="00B050"/>
                      </a:solidFill>
                    </a:defRPr>
                  </a:pPr>
                  <a:endParaRPr lang="en-US"/>
                </a:p>
              </c:txPr>
              <c:showLegendKey val="0"/>
              <c:showVal val="1"/>
              <c:showCatName val="0"/>
              <c:showSerName val="0"/>
              <c:showPercent val="0"/>
              <c:showBubbleSize val="0"/>
              <c:extLst>
                <c:ext xmlns:c15="http://schemas.microsoft.com/office/drawing/2012/chart" uri="{CE6537A1-D6FC-4f65-9D91-7224C49458BB}"/>
              </c:extLst>
            </c:dLbl>
            <c:dLbl>
              <c:idx val="2"/>
              <c:layout>
                <c:manualLayout>
                  <c:x val="1.1111111111111112E-2"/>
                  <c:y val="-9.2592592592592601E-2"/>
                </c:manualLayout>
              </c:layout>
              <c:spPr/>
              <c:txPr>
                <a:bodyPr/>
                <a:lstStyle/>
                <a:p>
                  <a:pPr>
                    <a:defRPr sz="800">
                      <a:solidFill>
                        <a:srgbClr val="00B050"/>
                      </a:solidFill>
                    </a:defRPr>
                  </a:pPr>
                  <a:endParaRPr lang="en-US"/>
                </a:p>
              </c:txPr>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'Budget Choices Workings'!$AM$85:$AM$87</c:f>
              <c:strCache>
                <c:ptCount val="3"/>
                <c:pt idx="0">
                  <c:v>Vitamin A</c:v>
                </c:pt>
                <c:pt idx="1">
                  <c:v>Deworming</c:v>
                </c:pt>
                <c:pt idx="2">
                  <c:v>Surveillance</c:v>
                </c:pt>
              </c:strCache>
            </c:strRef>
          </c:cat>
          <c:val>
            <c:numRef>
              <c:f>'Budget Choices Workings'!$AP$85:$AP$87</c:f>
              <c:numCache>
                <c:formatCode>_ * #,##0_ ;_ * \-#,##0_ ;_ * "-"??_ ;_ @_ </c:formatCode>
                <c:ptCount val="3"/>
                <c:pt idx="0">
                  <c:v>0</c:v>
                </c:pt>
                <c:pt idx="1">
                  <c:v>0</c:v>
                </c:pt>
                <c:pt idx="2">
                  <c:v>0</c:v>
                </c:pt>
              </c:numCache>
            </c:numRef>
          </c:val>
        </c:ser>
        <c:ser>
          <c:idx val="3"/>
          <c:order val="3"/>
          <c:tx>
            <c:strRef>
              <c:f>'Budget Choices Workings'!$AQ$84</c:f>
              <c:strCache>
                <c:ptCount val="1"/>
                <c:pt idx="0">
                  <c:v>Children uncovered</c:v>
                </c:pt>
              </c:strCache>
            </c:strRef>
          </c:tx>
          <c:invertIfNegative val="0"/>
          <c:dLbls>
            <c:dLbl>
              <c:idx val="0"/>
              <c:layout>
                <c:manualLayout>
                  <c:x val="-8.3333333333333332E-3"/>
                  <c:y val="8.7962962962962965E-2"/>
                </c:manualLayout>
              </c:layout>
              <c:spPr/>
              <c:txPr>
                <a:bodyPr/>
                <a:lstStyle/>
                <a:p>
                  <a:pPr>
                    <a:defRPr sz="800"/>
                  </a:pPr>
                  <a:endParaRPr lang="en-US"/>
                </a:p>
              </c:txPr>
              <c:showLegendKey val="0"/>
              <c:showVal val="1"/>
              <c:showCatName val="0"/>
              <c:showSerName val="0"/>
              <c:showPercent val="0"/>
              <c:showBubbleSize val="0"/>
              <c:extLst>
                <c:ext xmlns:c15="http://schemas.microsoft.com/office/drawing/2012/chart" uri="{CE6537A1-D6FC-4f65-9D91-7224C49458BB}"/>
              </c:extLst>
            </c:dLbl>
            <c:dLbl>
              <c:idx val="1"/>
              <c:layout>
                <c:manualLayout>
                  <c:x val="-8.3333333333333332E-3"/>
                  <c:y val="9.2592592592592587E-2"/>
                </c:manualLayout>
              </c:layout>
              <c:spPr/>
              <c:txPr>
                <a:bodyPr/>
                <a:lstStyle/>
                <a:p>
                  <a:pPr>
                    <a:defRPr sz="800"/>
                  </a:pPr>
                  <a:endParaRPr lang="en-US"/>
                </a:p>
              </c:txPr>
              <c:showLegendKey val="0"/>
              <c:showVal val="1"/>
              <c:showCatName val="0"/>
              <c:showSerName val="0"/>
              <c:showPercent val="0"/>
              <c:showBubbleSize val="0"/>
              <c:extLst>
                <c:ext xmlns:c15="http://schemas.microsoft.com/office/drawing/2012/chart" uri="{CE6537A1-D6FC-4f65-9D91-7224C49458BB}"/>
              </c:extLst>
            </c:dLbl>
            <c:dLbl>
              <c:idx val="2"/>
              <c:layout>
                <c:manualLayout>
                  <c:x val="0"/>
                  <c:y val="9.7222222222222224E-2"/>
                </c:manualLayout>
              </c:layout>
              <c:spPr/>
              <c:txPr>
                <a:bodyPr/>
                <a:lstStyle/>
                <a:p>
                  <a:pPr>
                    <a:defRPr sz="800"/>
                  </a:pPr>
                  <a:endParaRPr lang="en-US"/>
                </a:p>
              </c:txPr>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'Budget Choices Workings'!$AM$85:$AM$87</c:f>
              <c:strCache>
                <c:ptCount val="3"/>
                <c:pt idx="0">
                  <c:v>Vitamin A</c:v>
                </c:pt>
                <c:pt idx="1">
                  <c:v>Deworming</c:v>
                </c:pt>
                <c:pt idx="2">
                  <c:v>Surveillance</c:v>
                </c:pt>
              </c:strCache>
            </c:strRef>
          </c:cat>
          <c:val>
            <c:numRef>
              <c:f>'Budget Choices Workings'!$AQ$85:$AQ$87</c:f>
              <c:numCache>
                <c:formatCode>_ * #,##0_ ;_ * \-#,##0_ ;_ * "-"??_ ;_ @_ </c:formatCode>
                <c:ptCount val="3"/>
                <c:pt idx="0">
                  <c:v>0</c:v>
                </c:pt>
                <c:pt idx="1">
                  <c:v>0</c:v>
                </c:pt>
                <c:pt idx="2">
                  <c:v>0</c:v>
                </c:pt>
              </c:numCache>
            </c:numRef>
          </c:val>
        </c:ser>
        <c:dLbls>
          <c:showLegendKey val="0"/>
          <c:showVal val="0"/>
          <c:showCatName val="0"/>
          <c:showSerName val="0"/>
          <c:showPercent val="0"/>
          <c:showBubbleSize val="0"/>
        </c:dLbls>
        <c:gapWidth val="102"/>
        <c:overlap val="100"/>
        <c:axId val="109091072"/>
        <c:axId val="109101056"/>
      </c:barChart>
      <c:catAx>
        <c:axId val="109091072"/>
        <c:scaling>
          <c:orientation val="minMax"/>
        </c:scaling>
        <c:delete val="0"/>
        <c:axPos val="l"/>
        <c:numFmt formatCode="General" sourceLinked="0"/>
        <c:majorTickMark val="out"/>
        <c:minorTickMark val="none"/>
        <c:tickLblPos val="nextTo"/>
        <c:spPr>
          <a:ln>
            <a:noFill/>
          </a:ln>
        </c:spPr>
        <c:crossAx val="109101056"/>
        <c:crosses val="autoZero"/>
        <c:auto val="1"/>
        <c:lblAlgn val="ctr"/>
        <c:lblOffset val="100"/>
        <c:noMultiLvlLbl val="0"/>
      </c:catAx>
      <c:valAx>
        <c:axId val="109101056"/>
        <c:scaling>
          <c:orientation val="minMax"/>
          <c:max val="1"/>
          <c:min val="0"/>
        </c:scaling>
        <c:delete val="1"/>
        <c:axPos val="b"/>
        <c:numFmt formatCode="0%" sourceLinked="1"/>
        <c:majorTickMark val="out"/>
        <c:minorTickMark val="none"/>
        <c:tickLblPos val="nextTo"/>
        <c:crossAx val="10909107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'Budget Choices Workings'!$AN$89</c:f>
              <c:strCache>
                <c:ptCount val="1"/>
                <c:pt idx="0">
                  <c:v>Staff covered</c:v>
                </c:pt>
              </c:strCache>
            </c:strRef>
          </c:tx>
          <c:invertIfNegative val="0"/>
          <c:dLbls>
            <c:dLbl>
              <c:idx val="0"/>
              <c:layout>
                <c:manualLayout>
                  <c:x val="-0.15833333333333333"/>
                  <c:y val="0.10185185185185185"/>
                </c:manualLayout>
              </c:layout>
              <c:spPr/>
              <c:txPr>
                <a:bodyPr/>
                <a:lstStyle/>
                <a:p>
                  <a:pPr>
                    <a:defRPr sz="800"/>
                  </a:pPr>
                  <a:endParaRPr lang="en-US"/>
                </a:p>
              </c:txPr>
              <c:showLegendKey val="0"/>
              <c:showVal val="1"/>
              <c:showCatName val="0"/>
              <c:showSerName val="0"/>
              <c:showPercent val="0"/>
              <c:showBubbleSize val="0"/>
              <c:extLst>
                <c:ext xmlns:c15="http://schemas.microsoft.com/office/drawing/2012/chart" uri="{CE6537A1-D6FC-4f65-9D91-7224C49458BB}"/>
              </c:extLst>
            </c:dLbl>
            <c:dLbl>
              <c:idx val="1"/>
              <c:layout>
                <c:manualLayout>
                  <c:x val="-0.16111111111111112"/>
                  <c:y val="0.10185185185185185"/>
                </c:manualLayout>
              </c:layout>
              <c:spPr/>
              <c:txPr>
                <a:bodyPr/>
                <a:lstStyle/>
                <a:p>
                  <a:pPr>
                    <a:defRPr sz="800"/>
                  </a:pPr>
                  <a:endParaRPr lang="en-US"/>
                </a:p>
              </c:txPr>
              <c:showLegendKey val="0"/>
              <c:showVal val="1"/>
              <c:showCatName val="0"/>
              <c:showSerName val="0"/>
              <c:showPercent val="0"/>
              <c:showBubbleSize val="0"/>
              <c:extLst>
                <c:ext xmlns:c15="http://schemas.microsoft.com/office/drawing/2012/chart" uri="{CE6537A1-D6FC-4f65-9D91-7224C49458BB}"/>
              </c:extLst>
            </c:dLbl>
            <c:dLbl>
              <c:idx val="2"/>
              <c:layout>
                <c:manualLayout>
                  <c:x val="-0.1388888888888889"/>
                  <c:y val="8.7962962962962965E-2"/>
                </c:manualLayout>
              </c:layout>
              <c:spPr/>
              <c:txPr>
                <a:bodyPr/>
                <a:lstStyle/>
                <a:p>
                  <a:pPr>
                    <a:defRPr sz="800"/>
                  </a:pPr>
                  <a:endParaRPr lang="en-US"/>
                </a:p>
              </c:txPr>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'Budget Choices Workings'!$AM$90:$AM$92</c:f>
              <c:strCache>
                <c:ptCount val="3"/>
                <c:pt idx="0">
                  <c:v>Districit specialist teams</c:v>
                </c:pt>
                <c:pt idx="1">
                  <c:v>Ward based teams</c:v>
                </c:pt>
                <c:pt idx="2">
                  <c:v>Health facilities</c:v>
                </c:pt>
              </c:strCache>
            </c:strRef>
          </c:cat>
          <c:val>
            <c:numRef>
              <c:f>'Budget Choices Workings'!$AN$90:$AN$92</c:f>
              <c:numCache>
                <c:formatCode>_ * #,##0_ ;_ * \-#,##0_ ;_ * "-"??_ ;_ @_ </c:formatCode>
                <c:ptCount val="3"/>
                <c:pt idx="0">
                  <c:v>249.60000000000002</c:v>
                </c:pt>
                <c:pt idx="1">
                  <c:v>21385</c:v>
                </c:pt>
                <c:pt idx="2">
                  <c:v>17905</c:v>
                </c:pt>
              </c:numCache>
            </c:numRef>
          </c:val>
        </c:ser>
        <c:ser>
          <c:idx val="1"/>
          <c:order val="1"/>
          <c:tx>
            <c:strRef>
              <c:f>'Budget Choices Workings'!$AO$89</c:f>
              <c:strCache>
                <c:ptCount val="1"/>
                <c:pt idx="0">
                  <c:v>Staff excluded</c:v>
                </c:pt>
              </c:strCache>
            </c:strRef>
          </c:tx>
          <c:invertIfNegative val="0"/>
          <c:dLbls>
            <c:dLbl>
              <c:idx val="0"/>
              <c:layout>
                <c:manualLayout>
                  <c:x val="-2.7777777777777779E-3"/>
                  <c:y val="-9.2592592592592587E-2"/>
                </c:manualLayout>
              </c:layout>
              <c:spPr/>
              <c:txPr>
                <a:bodyPr/>
                <a:lstStyle/>
                <a:p>
                  <a:pPr>
                    <a:defRPr sz="800">
                      <a:solidFill>
                        <a:srgbClr val="C00000"/>
                      </a:solidFill>
                    </a:defRPr>
                  </a:pPr>
                  <a:endParaRPr lang="en-US"/>
                </a:p>
              </c:txPr>
              <c:showLegendKey val="0"/>
              <c:showVal val="1"/>
              <c:showCatName val="0"/>
              <c:showSerName val="0"/>
              <c:showPercent val="0"/>
              <c:showBubbleSize val="0"/>
              <c:extLst>
                <c:ext xmlns:c15="http://schemas.microsoft.com/office/drawing/2012/chart" uri="{CE6537A1-D6FC-4f65-9D91-7224C49458BB}"/>
              </c:extLst>
            </c:dLbl>
            <c:dLbl>
              <c:idx val="1"/>
              <c:layout>
                <c:manualLayout>
                  <c:x val="0"/>
                  <c:y val="-8.7962962962962965E-2"/>
                </c:manualLayout>
              </c:layout>
              <c:spPr/>
              <c:txPr>
                <a:bodyPr/>
                <a:lstStyle/>
                <a:p>
                  <a:pPr>
                    <a:defRPr sz="800">
                      <a:solidFill>
                        <a:srgbClr val="C00000"/>
                      </a:solidFill>
                    </a:defRPr>
                  </a:pPr>
                  <a:endParaRPr lang="en-US"/>
                </a:p>
              </c:txPr>
              <c:showLegendKey val="0"/>
              <c:showVal val="1"/>
              <c:showCatName val="0"/>
              <c:showSerName val="0"/>
              <c:showPercent val="0"/>
              <c:showBubbleSize val="0"/>
              <c:extLst>
                <c:ext xmlns:c15="http://schemas.microsoft.com/office/drawing/2012/chart" uri="{CE6537A1-D6FC-4f65-9D91-7224C49458BB}"/>
              </c:extLst>
            </c:dLbl>
            <c:dLbl>
              <c:idx val="2"/>
              <c:layout>
                <c:manualLayout>
                  <c:x val="0"/>
                  <c:y val="-9.2592592592592587E-2"/>
                </c:manualLayout>
              </c:layout>
              <c:spPr/>
              <c:txPr>
                <a:bodyPr/>
                <a:lstStyle/>
                <a:p>
                  <a:pPr>
                    <a:defRPr sz="800">
                      <a:solidFill>
                        <a:srgbClr val="C00000"/>
                      </a:solidFill>
                    </a:defRPr>
                  </a:pPr>
                  <a:endParaRPr lang="en-US"/>
                </a:p>
              </c:txPr>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'Budget Choices Workings'!$AM$90:$AM$92</c:f>
              <c:strCache>
                <c:ptCount val="3"/>
                <c:pt idx="0">
                  <c:v>Districit specialist teams</c:v>
                </c:pt>
                <c:pt idx="1">
                  <c:v>Ward based teams</c:v>
                </c:pt>
                <c:pt idx="2">
                  <c:v>Health facilities</c:v>
                </c:pt>
              </c:strCache>
            </c:strRef>
          </c:cat>
          <c:val>
            <c:numRef>
              <c:f>'Budget Choices Workings'!$AO$90:$AO$92</c:f>
              <c:numCache>
                <c:formatCode>_ * #,##0_ ;_ * \-#,##0_ ;_ * "-"??_ ;_ @_ </c:formatCode>
                <c:ptCount val="3"/>
                <c:pt idx="0">
                  <c:v>0</c:v>
                </c:pt>
                <c:pt idx="1">
                  <c:v>0</c:v>
                </c:pt>
                <c:pt idx="2">
                  <c:v>0</c:v>
                </c:pt>
              </c:numCache>
            </c:numRef>
          </c:val>
        </c:ser>
        <c:ser>
          <c:idx val="2"/>
          <c:order val="2"/>
          <c:tx>
            <c:strRef>
              <c:f>'Budget Choices Workings'!$AP$89</c:f>
              <c:strCache>
                <c:ptCount val="1"/>
                <c:pt idx="0">
                  <c:v>Staff added</c:v>
                </c:pt>
              </c:strCache>
            </c:strRef>
          </c:tx>
          <c:invertIfNegative val="0"/>
          <c:dLbls>
            <c:dLbl>
              <c:idx val="0"/>
              <c:layout>
                <c:manualLayout>
                  <c:x val="1.3888888888888888E-2"/>
                  <c:y val="-9.2592592592592587E-2"/>
                </c:manualLayout>
              </c:layout>
              <c:spPr/>
              <c:txPr>
                <a:bodyPr/>
                <a:lstStyle/>
                <a:p>
                  <a:pPr>
                    <a:defRPr sz="800">
                      <a:solidFill>
                        <a:srgbClr val="00B050"/>
                      </a:solidFill>
                    </a:defRPr>
                  </a:pPr>
                  <a:endParaRPr lang="en-US"/>
                </a:p>
              </c:txPr>
              <c:showLegendKey val="0"/>
              <c:showVal val="1"/>
              <c:showCatName val="0"/>
              <c:showSerName val="0"/>
              <c:showPercent val="0"/>
              <c:showBubbleSize val="0"/>
              <c:extLst>
                <c:ext xmlns:c15="http://schemas.microsoft.com/office/drawing/2012/chart" uri="{CE6537A1-D6FC-4f65-9D91-7224C49458BB}"/>
              </c:extLst>
            </c:dLbl>
            <c:dLbl>
              <c:idx val="1"/>
              <c:layout>
                <c:manualLayout>
                  <c:x val="1.1111111111111112E-2"/>
                  <c:y val="-8.3333333333333329E-2"/>
                </c:manualLayout>
              </c:layout>
              <c:spPr/>
              <c:txPr>
                <a:bodyPr/>
                <a:lstStyle/>
                <a:p>
                  <a:pPr>
                    <a:defRPr sz="800">
                      <a:solidFill>
                        <a:srgbClr val="00B050"/>
                      </a:solidFill>
                    </a:defRPr>
                  </a:pPr>
                  <a:endParaRPr lang="en-US"/>
                </a:p>
              </c:txPr>
              <c:showLegendKey val="0"/>
              <c:showVal val="1"/>
              <c:showCatName val="0"/>
              <c:showSerName val="0"/>
              <c:showPercent val="0"/>
              <c:showBubbleSize val="0"/>
              <c:extLst>
                <c:ext xmlns:c15="http://schemas.microsoft.com/office/drawing/2012/chart" uri="{CE6537A1-D6FC-4f65-9D91-7224C49458BB}"/>
              </c:extLst>
            </c:dLbl>
            <c:dLbl>
              <c:idx val="2"/>
              <c:layout>
                <c:manualLayout>
                  <c:x val="1.1111111111111112E-2"/>
                  <c:y val="-9.2592592592592601E-2"/>
                </c:manualLayout>
              </c:layout>
              <c:spPr/>
              <c:txPr>
                <a:bodyPr/>
                <a:lstStyle/>
                <a:p>
                  <a:pPr>
                    <a:defRPr sz="800">
                      <a:solidFill>
                        <a:srgbClr val="00B050"/>
                      </a:solidFill>
                    </a:defRPr>
                  </a:pPr>
                  <a:endParaRPr lang="en-US"/>
                </a:p>
              </c:txPr>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'Budget Choices Workings'!$AM$90:$AM$92</c:f>
              <c:strCache>
                <c:ptCount val="3"/>
                <c:pt idx="0">
                  <c:v>Districit specialist teams</c:v>
                </c:pt>
                <c:pt idx="1">
                  <c:v>Ward based teams</c:v>
                </c:pt>
                <c:pt idx="2">
                  <c:v>Health facilities</c:v>
                </c:pt>
              </c:strCache>
            </c:strRef>
          </c:cat>
          <c:val>
            <c:numRef>
              <c:f>'Budget Choices Workings'!$AP$90:$AP$92</c:f>
              <c:numCache>
                <c:formatCode>_ * #,##0_ ;_ * \-#,##0_ ;_ * "-"??_ ;_ @_ </c:formatCode>
                <c:ptCount val="3"/>
                <c:pt idx="0">
                  <c:v>0</c:v>
                </c:pt>
                <c:pt idx="1">
                  <c:v>0</c:v>
                </c:pt>
                <c:pt idx="2">
                  <c:v>0</c:v>
                </c:pt>
              </c:numCache>
            </c:numRef>
          </c:val>
        </c:ser>
        <c:ser>
          <c:idx val="3"/>
          <c:order val="3"/>
          <c:tx>
            <c:strRef>
              <c:f>'Budget Choices Workings'!$AQ$89</c:f>
              <c:strCache>
                <c:ptCount val="1"/>
                <c:pt idx="0">
                  <c:v>Staff uncovered</c:v>
                </c:pt>
              </c:strCache>
            </c:strRef>
          </c:tx>
          <c:invertIfNegative val="0"/>
          <c:dLbls>
            <c:dLbl>
              <c:idx val="0"/>
              <c:layout>
                <c:manualLayout>
                  <c:x val="-8.3333333333333332E-3"/>
                  <c:y val="8.7962962962962965E-2"/>
                </c:manualLayout>
              </c:layout>
              <c:spPr/>
              <c:txPr>
                <a:bodyPr/>
                <a:lstStyle/>
                <a:p>
                  <a:pPr>
                    <a:defRPr sz="800"/>
                  </a:pPr>
                  <a:endParaRPr lang="en-US"/>
                </a:p>
              </c:txPr>
              <c:showLegendKey val="0"/>
              <c:showVal val="1"/>
              <c:showCatName val="0"/>
              <c:showSerName val="0"/>
              <c:showPercent val="0"/>
              <c:showBubbleSize val="0"/>
              <c:extLst>
                <c:ext xmlns:c15="http://schemas.microsoft.com/office/drawing/2012/chart" uri="{CE6537A1-D6FC-4f65-9D91-7224C49458BB}"/>
              </c:extLst>
            </c:dLbl>
            <c:dLbl>
              <c:idx val="1"/>
              <c:layout>
                <c:manualLayout>
                  <c:x val="-8.3333333333333332E-3"/>
                  <c:y val="9.2592592592592587E-2"/>
                </c:manualLayout>
              </c:layout>
              <c:spPr/>
              <c:txPr>
                <a:bodyPr/>
                <a:lstStyle/>
                <a:p>
                  <a:pPr>
                    <a:defRPr sz="800"/>
                  </a:pPr>
                  <a:endParaRPr lang="en-US"/>
                </a:p>
              </c:txPr>
              <c:showLegendKey val="0"/>
              <c:showVal val="1"/>
              <c:showCatName val="0"/>
              <c:showSerName val="0"/>
              <c:showPercent val="0"/>
              <c:showBubbleSize val="0"/>
              <c:extLst>
                <c:ext xmlns:c15="http://schemas.microsoft.com/office/drawing/2012/chart" uri="{CE6537A1-D6FC-4f65-9D91-7224C49458BB}"/>
              </c:extLst>
            </c:dLbl>
            <c:dLbl>
              <c:idx val="2"/>
              <c:layout>
                <c:manualLayout>
                  <c:x val="0"/>
                  <c:y val="9.7222222222222224E-2"/>
                </c:manualLayout>
              </c:layout>
              <c:spPr/>
              <c:txPr>
                <a:bodyPr/>
                <a:lstStyle/>
                <a:p>
                  <a:pPr>
                    <a:defRPr sz="800"/>
                  </a:pPr>
                  <a:endParaRPr lang="en-US"/>
                </a:p>
              </c:txPr>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'Budget Choices Workings'!$AM$90:$AM$92</c:f>
              <c:strCache>
                <c:ptCount val="3"/>
                <c:pt idx="0">
                  <c:v>Districit specialist teams</c:v>
                </c:pt>
                <c:pt idx="1">
                  <c:v>Ward based teams</c:v>
                </c:pt>
                <c:pt idx="2">
                  <c:v>Health facilities</c:v>
                </c:pt>
              </c:strCache>
            </c:strRef>
          </c:cat>
          <c:val>
            <c:numRef>
              <c:f>'Budget Choices Workings'!$AQ$90:$AQ$92</c:f>
              <c:numCache>
                <c:formatCode>_ * #,##0_ ;_ * \-#,##0_ ;_ * "-"??_ ;_ @_ </c:formatCode>
                <c:ptCount val="3"/>
                <c:pt idx="0">
                  <c:v>0</c:v>
                </c:pt>
                <c:pt idx="1">
                  <c:v>0</c:v>
                </c:pt>
                <c:pt idx="2">
                  <c:v>0</c:v>
                </c:pt>
              </c:numCache>
            </c:numRef>
          </c:val>
        </c:ser>
        <c:dLbls>
          <c:showLegendKey val="0"/>
          <c:showVal val="0"/>
          <c:showCatName val="0"/>
          <c:showSerName val="0"/>
          <c:showPercent val="0"/>
          <c:showBubbleSize val="0"/>
        </c:dLbls>
        <c:gapWidth val="102"/>
        <c:overlap val="100"/>
        <c:axId val="109187456"/>
        <c:axId val="109188992"/>
      </c:barChart>
      <c:catAx>
        <c:axId val="109187456"/>
        <c:scaling>
          <c:orientation val="minMax"/>
        </c:scaling>
        <c:delete val="0"/>
        <c:axPos val="l"/>
        <c:numFmt formatCode="General" sourceLinked="0"/>
        <c:majorTickMark val="out"/>
        <c:minorTickMark val="none"/>
        <c:tickLblPos val="nextTo"/>
        <c:spPr>
          <a:ln>
            <a:noFill/>
          </a:ln>
        </c:spPr>
        <c:crossAx val="109188992"/>
        <c:crosses val="autoZero"/>
        <c:auto val="1"/>
        <c:lblAlgn val="ctr"/>
        <c:lblOffset val="100"/>
        <c:noMultiLvlLbl val="0"/>
      </c:catAx>
      <c:valAx>
        <c:axId val="109188992"/>
        <c:scaling>
          <c:orientation val="minMax"/>
          <c:max val="1"/>
          <c:min val="0"/>
        </c:scaling>
        <c:delete val="1"/>
        <c:axPos val="b"/>
        <c:numFmt formatCode="0%" sourceLinked="1"/>
        <c:majorTickMark val="out"/>
        <c:minorTickMark val="none"/>
        <c:tickLblPos val="nextTo"/>
        <c:crossAx val="109187456"/>
        <c:crosses val="autoZero"/>
        <c:crossBetween val="between"/>
      </c:valAx>
      <c:spPr>
        <a:noFill/>
      </c:spPr>
    </c:plotArea>
    <c:legend>
      <c:legendPos val="r"/>
      <c:overlay val="0"/>
    </c:legend>
    <c:plotVisOnly val="1"/>
    <c:dispBlanksAs val="gap"/>
    <c:showDLblsOverMax val="0"/>
  </c:chart>
  <c:spPr>
    <a:noFill/>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'Budget Choices Workings'!$AN$84</c:f>
              <c:strCache>
                <c:ptCount val="1"/>
                <c:pt idx="0">
                  <c:v>Children covered</c:v>
                </c:pt>
              </c:strCache>
            </c:strRef>
          </c:tx>
          <c:invertIfNegative val="0"/>
          <c:dLbls>
            <c:dLbl>
              <c:idx val="0"/>
              <c:layout>
                <c:manualLayout>
                  <c:x val="-0.15833333333333333"/>
                  <c:y val="0.10185185185185185"/>
                </c:manualLayout>
              </c:layout>
              <c:spPr/>
              <c:txPr>
                <a:bodyPr/>
                <a:lstStyle/>
                <a:p>
                  <a:pPr>
                    <a:defRPr sz="800"/>
                  </a:pPr>
                  <a:endParaRPr lang="en-US"/>
                </a:p>
              </c:txPr>
              <c:showLegendKey val="0"/>
              <c:showVal val="1"/>
              <c:showCatName val="0"/>
              <c:showSerName val="0"/>
              <c:showPercent val="0"/>
              <c:showBubbleSize val="0"/>
              <c:extLst>
                <c:ext xmlns:c15="http://schemas.microsoft.com/office/drawing/2012/chart" uri="{CE6537A1-D6FC-4f65-9D91-7224C49458BB}"/>
              </c:extLst>
            </c:dLbl>
            <c:dLbl>
              <c:idx val="1"/>
              <c:layout>
                <c:manualLayout>
                  <c:x val="-0.16111111111111112"/>
                  <c:y val="0.10185185185185185"/>
                </c:manualLayout>
              </c:layout>
              <c:spPr/>
              <c:txPr>
                <a:bodyPr/>
                <a:lstStyle/>
                <a:p>
                  <a:pPr>
                    <a:defRPr sz="800"/>
                  </a:pPr>
                  <a:endParaRPr lang="en-US"/>
                </a:p>
              </c:txPr>
              <c:showLegendKey val="0"/>
              <c:showVal val="1"/>
              <c:showCatName val="0"/>
              <c:showSerName val="0"/>
              <c:showPercent val="0"/>
              <c:showBubbleSize val="0"/>
              <c:extLst>
                <c:ext xmlns:c15="http://schemas.microsoft.com/office/drawing/2012/chart" uri="{CE6537A1-D6FC-4f65-9D91-7224C49458BB}"/>
              </c:extLst>
            </c:dLbl>
            <c:dLbl>
              <c:idx val="2"/>
              <c:layout>
                <c:manualLayout>
                  <c:x val="-0.1388888888888889"/>
                  <c:y val="8.7962962962962965E-2"/>
                </c:manualLayout>
              </c:layout>
              <c:spPr/>
              <c:txPr>
                <a:bodyPr/>
                <a:lstStyle/>
                <a:p>
                  <a:pPr>
                    <a:defRPr sz="800"/>
                  </a:pPr>
                  <a:endParaRPr lang="en-US"/>
                </a:p>
              </c:txPr>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'Budget Choices Workings'!$AM$95:$AM$97</c:f>
              <c:strCache>
                <c:ptCount val="3"/>
                <c:pt idx="0">
                  <c:v>Severe Acute</c:v>
                </c:pt>
                <c:pt idx="1">
                  <c:v>Moderate Acute</c:v>
                </c:pt>
                <c:pt idx="2">
                  <c:v>Growth Faltering</c:v>
                </c:pt>
              </c:strCache>
            </c:strRef>
          </c:cat>
          <c:val>
            <c:numRef>
              <c:f>'Budget Choices Workings'!$AN$95:$AN$97</c:f>
              <c:numCache>
                <c:formatCode>_ * #,##0_ ;_ * \-#,##0_ ;_ * "-"??_ ;_ @_ </c:formatCode>
                <c:ptCount val="3"/>
                <c:pt idx="0">
                  <c:v>47464.940952466422</c:v>
                </c:pt>
                <c:pt idx="1">
                  <c:v>189859.76380986569</c:v>
                </c:pt>
                <c:pt idx="2">
                  <c:v>474649.40952466422</c:v>
                </c:pt>
              </c:numCache>
            </c:numRef>
          </c:val>
        </c:ser>
        <c:ser>
          <c:idx val="1"/>
          <c:order val="1"/>
          <c:tx>
            <c:strRef>
              <c:f>'Budget Choices Workings'!$AO$84</c:f>
              <c:strCache>
                <c:ptCount val="1"/>
                <c:pt idx="0">
                  <c:v> Children excluded </c:v>
                </c:pt>
              </c:strCache>
            </c:strRef>
          </c:tx>
          <c:invertIfNegative val="0"/>
          <c:dLbls>
            <c:dLbl>
              <c:idx val="0"/>
              <c:layout>
                <c:manualLayout>
                  <c:x val="-2.7777777777777779E-3"/>
                  <c:y val="-9.2592592592592587E-2"/>
                </c:manualLayout>
              </c:layout>
              <c:spPr/>
              <c:txPr>
                <a:bodyPr/>
                <a:lstStyle/>
                <a:p>
                  <a:pPr>
                    <a:defRPr sz="800">
                      <a:solidFill>
                        <a:srgbClr val="C00000"/>
                      </a:solidFill>
                    </a:defRPr>
                  </a:pPr>
                  <a:endParaRPr lang="en-US"/>
                </a:p>
              </c:txPr>
              <c:showLegendKey val="0"/>
              <c:showVal val="1"/>
              <c:showCatName val="0"/>
              <c:showSerName val="0"/>
              <c:showPercent val="0"/>
              <c:showBubbleSize val="0"/>
              <c:extLst>
                <c:ext xmlns:c15="http://schemas.microsoft.com/office/drawing/2012/chart" uri="{CE6537A1-D6FC-4f65-9D91-7224C49458BB}"/>
              </c:extLst>
            </c:dLbl>
            <c:dLbl>
              <c:idx val="1"/>
              <c:layout>
                <c:manualLayout>
                  <c:x val="0"/>
                  <c:y val="-8.7962962962962965E-2"/>
                </c:manualLayout>
              </c:layout>
              <c:spPr/>
              <c:txPr>
                <a:bodyPr/>
                <a:lstStyle/>
                <a:p>
                  <a:pPr>
                    <a:defRPr sz="800">
                      <a:solidFill>
                        <a:srgbClr val="C00000"/>
                      </a:solidFill>
                    </a:defRPr>
                  </a:pPr>
                  <a:endParaRPr lang="en-US"/>
                </a:p>
              </c:txPr>
              <c:showLegendKey val="0"/>
              <c:showVal val="1"/>
              <c:showCatName val="0"/>
              <c:showSerName val="0"/>
              <c:showPercent val="0"/>
              <c:showBubbleSize val="0"/>
              <c:extLst>
                <c:ext xmlns:c15="http://schemas.microsoft.com/office/drawing/2012/chart" uri="{CE6537A1-D6FC-4f65-9D91-7224C49458BB}"/>
              </c:extLst>
            </c:dLbl>
            <c:dLbl>
              <c:idx val="2"/>
              <c:layout>
                <c:manualLayout>
                  <c:x val="0"/>
                  <c:y val="-9.2592592592592587E-2"/>
                </c:manualLayout>
              </c:layout>
              <c:spPr/>
              <c:txPr>
                <a:bodyPr/>
                <a:lstStyle/>
                <a:p>
                  <a:pPr>
                    <a:defRPr sz="800">
                      <a:solidFill>
                        <a:srgbClr val="C00000"/>
                      </a:solidFill>
                    </a:defRPr>
                  </a:pPr>
                  <a:endParaRPr lang="en-US"/>
                </a:p>
              </c:txPr>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'Budget Choices Workings'!$AM$95:$AM$97</c:f>
              <c:strCache>
                <c:ptCount val="3"/>
                <c:pt idx="0">
                  <c:v>Severe Acute</c:v>
                </c:pt>
                <c:pt idx="1">
                  <c:v>Moderate Acute</c:v>
                </c:pt>
                <c:pt idx="2">
                  <c:v>Growth Faltering</c:v>
                </c:pt>
              </c:strCache>
            </c:strRef>
          </c:cat>
          <c:val>
            <c:numRef>
              <c:f>'Budget Choices Workings'!$AO$95:$AO$97</c:f>
              <c:numCache>
                <c:formatCode>_ * #,##0_ ;_ * \-#,##0_ ;_ * "-"??_ ;_ @_ </c:formatCode>
                <c:ptCount val="3"/>
                <c:pt idx="0">
                  <c:v>0</c:v>
                </c:pt>
                <c:pt idx="1">
                  <c:v>0</c:v>
                </c:pt>
                <c:pt idx="2">
                  <c:v>0</c:v>
                </c:pt>
              </c:numCache>
            </c:numRef>
          </c:val>
        </c:ser>
        <c:ser>
          <c:idx val="2"/>
          <c:order val="2"/>
          <c:tx>
            <c:strRef>
              <c:f>'Budget Choices Workings'!$AP$84</c:f>
              <c:strCache>
                <c:ptCount val="1"/>
                <c:pt idx="0">
                  <c:v>Children added</c:v>
                </c:pt>
              </c:strCache>
            </c:strRef>
          </c:tx>
          <c:invertIfNegative val="0"/>
          <c:dLbls>
            <c:dLbl>
              <c:idx val="0"/>
              <c:layout>
                <c:manualLayout>
                  <c:x val="1.3888888888888888E-2"/>
                  <c:y val="-9.2592592592592587E-2"/>
                </c:manualLayout>
              </c:layout>
              <c:spPr/>
              <c:txPr>
                <a:bodyPr/>
                <a:lstStyle/>
                <a:p>
                  <a:pPr>
                    <a:defRPr sz="800">
                      <a:solidFill>
                        <a:srgbClr val="00B050"/>
                      </a:solidFill>
                    </a:defRPr>
                  </a:pPr>
                  <a:endParaRPr lang="en-US"/>
                </a:p>
              </c:txPr>
              <c:showLegendKey val="0"/>
              <c:showVal val="1"/>
              <c:showCatName val="0"/>
              <c:showSerName val="0"/>
              <c:showPercent val="0"/>
              <c:showBubbleSize val="0"/>
              <c:extLst>
                <c:ext xmlns:c15="http://schemas.microsoft.com/office/drawing/2012/chart" uri="{CE6537A1-D6FC-4f65-9D91-7224C49458BB}"/>
              </c:extLst>
            </c:dLbl>
            <c:dLbl>
              <c:idx val="1"/>
              <c:layout>
                <c:manualLayout>
                  <c:x val="1.1111111111111112E-2"/>
                  <c:y val="-8.3333333333333329E-2"/>
                </c:manualLayout>
              </c:layout>
              <c:spPr/>
              <c:txPr>
                <a:bodyPr/>
                <a:lstStyle/>
                <a:p>
                  <a:pPr>
                    <a:defRPr sz="800">
                      <a:solidFill>
                        <a:srgbClr val="00B050"/>
                      </a:solidFill>
                    </a:defRPr>
                  </a:pPr>
                  <a:endParaRPr lang="en-US"/>
                </a:p>
              </c:txPr>
              <c:showLegendKey val="0"/>
              <c:showVal val="1"/>
              <c:showCatName val="0"/>
              <c:showSerName val="0"/>
              <c:showPercent val="0"/>
              <c:showBubbleSize val="0"/>
              <c:extLst>
                <c:ext xmlns:c15="http://schemas.microsoft.com/office/drawing/2012/chart" uri="{CE6537A1-D6FC-4f65-9D91-7224C49458BB}"/>
              </c:extLst>
            </c:dLbl>
            <c:dLbl>
              <c:idx val="2"/>
              <c:layout>
                <c:manualLayout>
                  <c:x val="1.1111111111111112E-2"/>
                  <c:y val="-9.2592592592592601E-2"/>
                </c:manualLayout>
              </c:layout>
              <c:spPr/>
              <c:txPr>
                <a:bodyPr/>
                <a:lstStyle/>
                <a:p>
                  <a:pPr>
                    <a:defRPr sz="800">
                      <a:solidFill>
                        <a:srgbClr val="00B050"/>
                      </a:solidFill>
                    </a:defRPr>
                  </a:pPr>
                  <a:endParaRPr lang="en-US"/>
                </a:p>
              </c:txPr>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'Budget Choices Workings'!$AM$95:$AM$97</c:f>
              <c:strCache>
                <c:ptCount val="3"/>
                <c:pt idx="0">
                  <c:v>Severe Acute</c:v>
                </c:pt>
                <c:pt idx="1">
                  <c:v>Moderate Acute</c:v>
                </c:pt>
                <c:pt idx="2">
                  <c:v>Growth Faltering</c:v>
                </c:pt>
              </c:strCache>
            </c:strRef>
          </c:cat>
          <c:val>
            <c:numRef>
              <c:f>'Budget Choices Workings'!$AP$95:$AP$97</c:f>
              <c:numCache>
                <c:formatCode>_ * #,##0_ ;_ * \-#,##0_ ;_ * "-"??_ ;_ @_ </c:formatCode>
                <c:ptCount val="3"/>
                <c:pt idx="0">
                  <c:v>0</c:v>
                </c:pt>
                <c:pt idx="1">
                  <c:v>0</c:v>
                </c:pt>
                <c:pt idx="2">
                  <c:v>0</c:v>
                </c:pt>
              </c:numCache>
            </c:numRef>
          </c:val>
        </c:ser>
        <c:ser>
          <c:idx val="3"/>
          <c:order val="3"/>
          <c:tx>
            <c:strRef>
              <c:f>'Budget Choices Workings'!$AQ$84</c:f>
              <c:strCache>
                <c:ptCount val="1"/>
                <c:pt idx="0">
                  <c:v>Children uncovered</c:v>
                </c:pt>
              </c:strCache>
            </c:strRef>
          </c:tx>
          <c:invertIfNegative val="0"/>
          <c:dLbls>
            <c:dLbl>
              <c:idx val="0"/>
              <c:layout>
                <c:manualLayout>
                  <c:x val="-8.3333333333333332E-3"/>
                  <c:y val="8.7962962962962965E-2"/>
                </c:manualLayout>
              </c:layout>
              <c:spPr/>
              <c:txPr>
                <a:bodyPr/>
                <a:lstStyle/>
                <a:p>
                  <a:pPr>
                    <a:defRPr sz="800"/>
                  </a:pPr>
                  <a:endParaRPr lang="en-US"/>
                </a:p>
              </c:txPr>
              <c:showLegendKey val="0"/>
              <c:showVal val="1"/>
              <c:showCatName val="0"/>
              <c:showSerName val="0"/>
              <c:showPercent val="0"/>
              <c:showBubbleSize val="0"/>
              <c:extLst>
                <c:ext xmlns:c15="http://schemas.microsoft.com/office/drawing/2012/chart" uri="{CE6537A1-D6FC-4f65-9D91-7224C49458BB}"/>
              </c:extLst>
            </c:dLbl>
            <c:dLbl>
              <c:idx val="1"/>
              <c:layout>
                <c:manualLayout>
                  <c:x val="-8.3333333333333332E-3"/>
                  <c:y val="9.2592592592592587E-2"/>
                </c:manualLayout>
              </c:layout>
              <c:spPr/>
              <c:txPr>
                <a:bodyPr/>
                <a:lstStyle/>
                <a:p>
                  <a:pPr>
                    <a:defRPr sz="800"/>
                  </a:pPr>
                  <a:endParaRPr lang="en-US"/>
                </a:p>
              </c:txPr>
              <c:showLegendKey val="0"/>
              <c:showVal val="1"/>
              <c:showCatName val="0"/>
              <c:showSerName val="0"/>
              <c:showPercent val="0"/>
              <c:showBubbleSize val="0"/>
              <c:extLst>
                <c:ext xmlns:c15="http://schemas.microsoft.com/office/drawing/2012/chart" uri="{CE6537A1-D6FC-4f65-9D91-7224C49458BB}"/>
              </c:extLst>
            </c:dLbl>
            <c:dLbl>
              <c:idx val="2"/>
              <c:layout>
                <c:manualLayout>
                  <c:x val="0"/>
                  <c:y val="9.7222222222222224E-2"/>
                </c:manualLayout>
              </c:layout>
              <c:spPr/>
              <c:txPr>
                <a:bodyPr/>
                <a:lstStyle/>
                <a:p>
                  <a:pPr>
                    <a:defRPr sz="800"/>
                  </a:pPr>
                  <a:endParaRPr lang="en-US"/>
                </a:p>
              </c:txPr>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'Budget Choices Workings'!$AM$95:$AM$97</c:f>
              <c:strCache>
                <c:ptCount val="3"/>
                <c:pt idx="0">
                  <c:v>Severe Acute</c:v>
                </c:pt>
                <c:pt idx="1">
                  <c:v>Moderate Acute</c:v>
                </c:pt>
                <c:pt idx="2">
                  <c:v>Growth Faltering</c:v>
                </c:pt>
              </c:strCache>
            </c:strRef>
          </c:cat>
          <c:val>
            <c:numRef>
              <c:f>'Budget Choices Workings'!$AQ$95:$AQ$97</c:f>
              <c:numCache>
                <c:formatCode>_ * #,##0_ ;_ * \-#,##0_ ;_ * "-"??_ ;_ @_ </c:formatCode>
                <c:ptCount val="3"/>
                <c:pt idx="0">
                  <c:v>0</c:v>
                </c:pt>
                <c:pt idx="1">
                  <c:v>0</c:v>
                </c:pt>
                <c:pt idx="2">
                  <c:v>0</c:v>
                </c:pt>
              </c:numCache>
            </c:numRef>
          </c:val>
        </c:ser>
        <c:dLbls>
          <c:showLegendKey val="0"/>
          <c:showVal val="0"/>
          <c:showCatName val="0"/>
          <c:showSerName val="0"/>
          <c:showPercent val="0"/>
          <c:showBubbleSize val="0"/>
        </c:dLbls>
        <c:gapWidth val="102"/>
        <c:overlap val="100"/>
        <c:axId val="109259008"/>
        <c:axId val="109264896"/>
      </c:barChart>
      <c:catAx>
        <c:axId val="109259008"/>
        <c:scaling>
          <c:orientation val="minMax"/>
        </c:scaling>
        <c:delete val="0"/>
        <c:axPos val="l"/>
        <c:numFmt formatCode="General" sourceLinked="0"/>
        <c:majorTickMark val="out"/>
        <c:minorTickMark val="none"/>
        <c:tickLblPos val="nextTo"/>
        <c:spPr>
          <a:ln>
            <a:noFill/>
          </a:ln>
        </c:spPr>
        <c:crossAx val="109264896"/>
        <c:crosses val="autoZero"/>
        <c:auto val="1"/>
        <c:lblAlgn val="ctr"/>
        <c:lblOffset val="100"/>
        <c:noMultiLvlLbl val="0"/>
      </c:catAx>
      <c:valAx>
        <c:axId val="109264896"/>
        <c:scaling>
          <c:orientation val="minMax"/>
          <c:max val="1"/>
          <c:min val="0"/>
        </c:scaling>
        <c:delete val="1"/>
        <c:axPos val="b"/>
        <c:numFmt formatCode="0%" sourceLinked="1"/>
        <c:majorTickMark val="out"/>
        <c:minorTickMark val="none"/>
        <c:tickLblPos val="nextTo"/>
        <c:crossAx val="109259008"/>
        <c:crosses val="autoZero"/>
        <c:crossBetween val="between"/>
      </c:valAx>
      <c:spPr>
        <a:noFill/>
      </c:spPr>
    </c:plotArea>
    <c:legend>
      <c:legendPos val="r"/>
      <c:overlay val="0"/>
    </c:legend>
    <c:plotVisOnly val="1"/>
    <c:dispBlanksAs val="gap"/>
    <c:showDLblsOverMax val="0"/>
  </c:chart>
  <c:spPr>
    <a:no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1.96319924829923E-2"/>
          <c:y val="9.9747863247863194E-2"/>
          <c:w val="0.40217530262956402"/>
          <c:h val="0.71252831196581201"/>
        </c:manualLayout>
      </c:layout>
      <c:pieChart>
        <c:varyColors val="1"/>
        <c:ser>
          <c:idx val="0"/>
          <c:order val="0"/>
          <c:dLbls>
            <c:spPr>
              <a:noFill/>
              <a:ln>
                <a:noFill/>
              </a:ln>
              <a:effectLst/>
            </c:spPr>
            <c:dLblPos val="ctr"/>
            <c:showLegendKey val="0"/>
            <c:showVal val="1"/>
            <c:showCatName val="0"/>
            <c:showSerName val="0"/>
            <c:showPercent val="0"/>
            <c:showBubbleSize val="0"/>
            <c:showLeaderLines val="1"/>
            <c:extLst>
              <c:ext xmlns:c15="http://schemas.microsoft.com/office/drawing/2012/chart" uri="{CE6537A1-D6FC-4f65-9D91-7224C49458BB}"/>
            </c:extLst>
          </c:dLbls>
          <c:cat>
            <c:strRef>
              <c:f>'Budget Choices Workings'!$B$93:$B$94</c:f>
              <c:strCache>
                <c:ptCount val="2"/>
                <c:pt idx="0">
                  <c:v>Savings achieved</c:v>
                </c:pt>
                <c:pt idx="1">
                  <c:v>Savings still required</c:v>
                </c:pt>
              </c:strCache>
            </c:strRef>
          </c:cat>
          <c:val>
            <c:numRef>
              <c:f>'Budget Choices Workings'!$C$93:$C$94</c:f>
              <c:numCache>
                <c:formatCode>0%</c:formatCode>
                <c:ptCount val="2"/>
                <c:pt idx="0">
                  <c:v>0.26539245216356067</c:v>
                </c:pt>
                <c:pt idx="1">
                  <c:v>0.73460754783643933</c:v>
                </c:pt>
              </c:numCache>
            </c:numRef>
          </c:val>
        </c:ser>
        <c:dLbls>
          <c:dLblPos val="ctr"/>
          <c:showLegendKey val="0"/>
          <c:showVal val="1"/>
          <c:showCatName val="0"/>
          <c:showSerName val="0"/>
          <c:showPercent val="0"/>
          <c:showBubbleSize val="0"/>
          <c:showLeaderLines val="1"/>
        </c:dLbls>
        <c:firstSliceAng val="0"/>
      </c:pieChart>
    </c:plotArea>
    <c:legend>
      <c:legendPos val="r"/>
      <c:layout>
        <c:manualLayout>
          <c:xMode val="edge"/>
          <c:yMode val="edge"/>
          <c:x val="0.46698663328304102"/>
          <c:y val="0.17393749999999999"/>
          <c:w val="0.42193138888888898"/>
          <c:h val="0.55353191535489898"/>
        </c:manualLayout>
      </c:layout>
      <c:overlay val="0"/>
    </c:legend>
    <c:plotVisOnly val="1"/>
    <c:dispBlanksAs val="gap"/>
    <c:showDLblsOverMax val="0"/>
  </c:chart>
  <c:spPr>
    <a:solidFill>
      <a:schemeClr val="accent1">
        <a:lumMod val="20000"/>
        <a:lumOff val="80000"/>
        <a:alpha val="0"/>
      </a:schemeClr>
    </a:solidFill>
    <a:ln>
      <a:noFill/>
    </a:ln>
  </c:spPr>
  <c:printSettings>
    <c:headerFooter/>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dLbls>
            <c:dLbl>
              <c:idx val="4"/>
              <c:layout>
                <c:manualLayout>
                  <c:x val="0"/>
                  <c:y val="1.1516314779270634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'Budget Choices Workings'!$B$107:$B$111</c:f>
              <c:strCache>
                <c:ptCount val="5"/>
                <c:pt idx="0">
                  <c:v>Preventative interventions</c:v>
                </c:pt>
                <c:pt idx="1">
                  <c:v>Growth Monitoring and Feeding</c:v>
                </c:pt>
                <c:pt idx="2">
                  <c:v>Moderate Acute Malnutrition</c:v>
                </c:pt>
                <c:pt idx="3">
                  <c:v>SAM without medical complications</c:v>
                </c:pt>
                <c:pt idx="4">
                  <c:v>SAM with medical complications</c:v>
                </c:pt>
              </c:strCache>
            </c:strRef>
          </c:cat>
          <c:val>
            <c:numRef>
              <c:f>'Budget Choices Workings'!$C$107:$C$111</c:f>
              <c:numCache>
                <c:formatCode>"R"#,##0_);[Red]\("R"#,##0\)</c:formatCode>
                <c:ptCount val="5"/>
                <c:pt idx="0">
                  <c:v>291.16790171513952</c:v>
                </c:pt>
                <c:pt idx="1">
                  <c:v>1384.9586193488369</c:v>
                </c:pt>
                <c:pt idx="2">
                  <c:v>11612.815427932817</c:v>
                </c:pt>
                <c:pt idx="3">
                  <c:v>13692.183601484141</c:v>
                </c:pt>
                <c:pt idx="4">
                  <c:v>65825.868271912143</c:v>
                </c:pt>
              </c:numCache>
            </c:numRef>
          </c:val>
        </c:ser>
        <c:dLbls>
          <c:showLegendKey val="0"/>
          <c:showVal val="0"/>
          <c:showCatName val="0"/>
          <c:showSerName val="0"/>
          <c:showPercent val="0"/>
          <c:showBubbleSize val="0"/>
        </c:dLbls>
        <c:gapWidth val="150"/>
        <c:axId val="109289472"/>
        <c:axId val="109291008"/>
      </c:barChart>
      <c:catAx>
        <c:axId val="109289472"/>
        <c:scaling>
          <c:orientation val="minMax"/>
        </c:scaling>
        <c:delete val="0"/>
        <c:axPos val="b"/>
        <c:numFmt formatCode="General" sourceLinked="0"/>
        <c:majorTickMark val="out"/>
        <c:minorTickMark val="none"/>
        <c:tickLblPos val="nextTo"/>
        <c:crossAx val="109291008"/>
        <c:crosses val="autoZero"/>
        <c:auto val="1"/>
        <c:lblAlgn val="ctr"/>
        <c:lblOffset val="100"/>
        <c:noMultiLvlLbl val="0"/>
      </c:catAx>
      <c:valAx>
        <c:axId val="109291008"/>
        <c:scaling>
          <c:orientation val="minMax"/>
        </c:scaling>
        <c:delete val="0"/>
        <c:axPos val="l"/>
        <c:majorGridlines/>
        <c:title>
          <c:tx>
            <c:rich>
              <a:bodyPr rot="-5400000" vert="horz"/>
              <a:lstStyle/>
              <a:p>
                <a:pPr>
                  <a:defRPr/>
                </a:pPr>
                <a:r>
                  <a:rPr lang="en-US"/>
                  <a:t>Unit costs in Rands</a:t>
                </a:r>
              </a:p>
            </c:rich>
          </c:tx>
          <c:overlay val="0"/>
        </c:title>
        <c:numFmt formatCode="&quot;R&quot;#,##0_);[Red]\(&quot;R&quot;#,##0\)" sourceLinked="1"/>
        <c:majorTickMark val="out"/>
        <c:minorTickMark val="none"/>
        <c:tickLblPos val="nextTo"/>
        <c:crossAx val="109289472"/>
        <c:crosses val="autoZero"/>
        <c:crossBetween val="between"/>
      </c:valAx>
    </c:plotArea>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44995792937717"/>
          <c:y val="5.0925925925925923E-2"/>
          <c:w val="0.62201742442281305"/>
          <c:h val="0.654112350539516"/>
        </c:manualLayout>
      </c:layout>
      <c:barChart>
        <c:barDir val="bar"/>
        <c:grouping val="percentStacked"/>
        <c:varyColors val="0"/>
        <c:ser>
          <c:idx val="0"/>
          <c:order val="0"/>
          <c:tx>
            <c:strRef>
              <c:f>'Budget Choices Workings'!$C$154</c:f>
              <c:strCache>
                <c:ptCount val="1"/>
                <c:pt idx="0">
                  <c:v>COE</c:v>
                </c:pt>
              </c:strCache>
            </c:strRef>
          </c:tx>
          <c:invertIfNegative val="0"/>
          <c:cat>
            <c:strRef>
              <c:f>'Budget Choices Workings'!$B$160:$B$164</c:f>
              <c:strCache>
                <c:ptCount val="5"/>
                <c:pt idx="0">
                  <c:v>Preventative interventions</c:v>
                </c:pt>
                <c:pt idx="1">
                  <c:v>Growth Monitoring and Feeding</c:v>
                </c:pt>
                <c:pt idx="2">
                  <c:v>Moderate Acute Malnutrition</c:v>
                </c:pt>
                <c:pt idx="3">
                  <c:v>SAM without medical complications</c:v>
                </c:pt>
                <c:pt idx="4">
                  <c:v>SAM with medical complications</c:v>
                </c:pt>
              </c:strCache>
            </c:strRef>
          </c:cat>
          <c:val>
            <c:numRef>
              <c:f>'Budget Choices Workings'!$C$160:$C$164</c:f>
              <c:numCache>
                <c:formatCode>_(* #,##0.00_);_(* \(#,##0.00\);_(* "-"??_);_(@_)</c:formatCode>
                <c:ptCount val="5"/>
                <c:pt idx="0">
                  <c:v>0.84146271940255124</c:v>
                </c:pt>
                <c:pt idx="1">
                  <c:v>0.8754820385311719</c:v>
                </c:pt>
                <c:pt idx="2">
                  <c:v>0.50275994087439957</c:v>
                </c:pt>
                <c:pt idx="3">
                  <c:v>0.19893253083013468</c:v>
                </c:pt>
                <c:pt idx="4">
                  <c:v>0.49517509274184529</c:v>
                </c:pt>
              </c:numCache>
            </c:numRef>
          </c:val>
        </c:ser>
        <c:ser>
          <c:idx val="1"/>
          <c:order val="1"/>
          <c:tx>
            <c:strRef>
              <c:f>'Budget Choices Workings'!$D$154</c:f>
              <c:strCache>
                <c:ptCount val="1"/>
                <c:pt idx="0">
                  <c:v>Food Stuffs</c:v>
                </c:pt>
              </c:strCache>
            </c:strRef>
          </c:tx>
          <c:invertIfNegative val="0"/>
          <c:cat>
            <c:strRef>
              <c:f>'Budget Choices Workings'!$B$160:$B$164</c:f>
              <c:strCache>
                <c:ptCount val="5"/>
                <c:pt idx="0">
                  <c:v>Preventative interventions</c:v>
                </c:pt>
                <c:pt idx="1">
                  <c:v>Growth Monitoring and Feeding</c:v>
                </c:pt>
                <c:pt idx="2">
                  <c:v>Moderate Acute Malnutrition</c:v>
                </c:pt>
                <c:pt idx="3">
                  <c:v>SAM without medical complications</c:v>
                </c:pt>
                <c:pt idx="4">
                  <c:v>SAM with medical complications</c:v>
                </c:pt>
              </c:strCache>
            </c:strRef>
          </c:cat>
          <c:val>
            <c:numRef>
              <c:f>'Budget Choices Workings'!$D$160:$D$164</c:f>
              <c:numCache>
                <c:formatCode>_(* #,##0.00_);_(* \(#,##0.00\);_(* "-"??_);_(@_)</c:formatCode>
                <c:ptCount val="5"/>
                <c:pt idx="0">
                  <c:v>0</c:v>
                </c:pt>
                <c:pt idx="1">
                  <c:v>2.0758742967726593E-2</c:v>
                </c:pt>
                <c:pt idx="2">
                  <c:v>3.5119388793437338E-2</c:v>
                </c:pt>
                <c:pt idx="3">
                  <c:v>2.3886635219716311E-2</c:v>
                </c:pt>
                <c:pt idx="4">
                  <c:v>4.4557791223349331E-2</c:v>
                </c:pt>
              </c:numCache>
            </c:numRef>
          </c:val>
        </c:ser>
        <c:ser>
          <c:idx val="2"/>
          <c:order val="2"/>
          <c:tx>
            <c:strRef>
              <c:f>'Budget Choices Workings'!$E$154</c:f>
              <c:strCache>
                <c:ptCount val="1"/>
                <c:pt idx="0">
                  <c:v>Medicines</c:v>
                </c:pt>
              </c:strCache>
            </c:strRef>
          </c:tx>
          <c:invertIfNegative val="0"/>
          <c:cat>
            <c:strRef>
              <c:f>'Budget Choices Workings'!$B$160:$B$164</c:f>
              <c:strCache>
                <c:ptCount val="5"/>
                <c:pt idx="0">
                  <c:v>Preventative interventions</c:v>
                </c:pt>
                <c:pt idx="1">
                  <c:v>Growth Monitoring and Feeding</c:v>
                </c:pt>
                <c:pt idx="2">
                  <c:v>Moderate Acute Malnutrition</c:v>
                </c:pt>
                <c:pt idx="3">
                  <c:v>SAM without medical complications</c:v>
                </c:pt>
                <c:pt idx="4">
                  <c:v>SAM with medical complications</c:v>
                </c:pt>
              </c:strCache>
            </c:strRef>
          </c:cat>
          <c:val>
            <c:numRef>
              <c:f>'Budget Choices Workings'!$E$160:$E$164</c:f>
              <c:numCache>
                <c:formatCode>_(* #,##0.00_);_(* \(#,##0.00\);_(* "-"??_);_(@_)</c:formatCode>
                <c:ptCount val="5"/>
                <c:pt idx="0">
                  <c:v>3.4536156866873786E-2</c:v>
                </c:pt>
                <c:pt idx="1">
                  <c:v>0.1037592185011016</c:v>
                </c:pt>
                <c:pt idx="2">
                  <c:v>1.0033919054609651E-2</c:v>
                </c:pt>
                <c:pt idx="3">
                  <c:v>1.0319951449138014E-2</c:v>
                </c:pt>
                <c:pt idx="4">
                  <c:v>4.5192347295924026E-3</c:v>
                </c:pt>
              </c:numCache>
            </c:numRef>
          </c:val>
        </c:ser>
        <c:ser>
          <c:idx val="3"/>
          <c:order val="3"/>
          <c:tx>
            <c:strRef>
              <c:f>'Budget Choices Workings'!$F$154</c:f>
              <c:strCache>
                <c:ptCount val="1"/>
                <c:pt idx="0">
                  <c:v>Hospital Overheads</c:v>
                </c:pt>
              </c:strCache>
            </c:strRef>
          </c:tx>
          <c:invertIfNegative val="0"/>
          <c:cat>
            <c:strRef>
              <c:f>'Budget Choices Workings'!$B$160:$B$164</c:f>
              <c:strCache>
                <c:ptCount val="5"/>
                <c:pt idx="0">
                  <c:v>Preventative interventions</c:v>
                </c:pt>
                <c:pt idx="1">
                  <c:v>Growth Monitoring and Feeding</c:v>
                </c:pt>
                <c:pt idx="2">
                  <c:v>Moderate Acute Malnutrition</c:v>
                </c:pt>
                <c:pt idx="3">
                  <c:v>SAM without medical complications</c:v>
                </c:pt>
                <c:pt idx="4">
                  <c:v>SAM with medical complications</c:v>
                </c:pt>
              </c:strCache>
            </c:strRef>
          </c:cat>
          <c:val>
            <c:numRef>
              <c:f>'Budget Choices Workings'!$F$160:$F$164</c:f>
              <c:numCache>
                <c:formatCode>_(* #,##0.00_);_(* \(#,##0.00\);_(* "-"??_);_(@_)</c:formatCode>
                <c:ptCount val="5"/>
                <c:pt idx="0">
                  <c:v>0</c:v>
                </c:pt>
                <c:pt idx="1">
                  <c:v>0</c:v>
                </c:pt>
                <c:pt idx="2">
                  <c:v>0.4520867512775536</c:v>
                </c:pt>
                <c:pt idx="3">
                  <c:v>0.76686088250101103</c:v>
                </c:pt>
                <c:pt idx="4">
                  <c:v>0.45574788130521304</c:v>
                </c:pt>
              </c:numCache>
            </c:numRef>
          </c:val>
        </c:ser>
        <c:ser>
          <c:idx val="4"/>
          <c:order val="4"/>
          <c:tx>
            <c:strRef>
              <c:f>'Budget Choices Workings'!$G$154</c:f>
              <c:strCache>
                <c:ptCount val="1"/>
                <c:pt idx="0">
                  <c:v>Other Goods and Services</c:v>
                </c:pt>
              </c:strCache>
            </c:strRef>
          </c:tx>
          <c:invertIfNegative val="0"/>
          <c:cat>
            <c:strRef>
              <c:f>'Budget Choices Workings'!$B$160:$B$164</c:f>
              <c:strCache>
                <c:ptCount val="5"/>
                <c:pt idx="0">
                  <c:v>Preventative interventions</c:v>
                </c:pt>
                <c:pt idx="1">
                  <c:v>Growth Monitoring and Feeding</c:v>
                </c:pt>
                <c:pt idx="2">
                  <c:v>Moderate Acute Malnutrition</c:v>
                </c:pt>
                <c:pt idx="3">
                  <c:v>SAM without medical complications</c:v>
                </c:pt>
                <c:pt idx="4">
                  <c:v>SAM with medical complications</c:v>
                </c:pt>
              </c:strCache>
            </c:strRef>
          </c:cat>
          <c:val>
            <c:numRef>
              <c:f>'Budget Choices Workings'!$G$160:$G$164</c:f>
              <c:numCache>
                <c:formatCode>_(* #,##0.00_);_(* \(#,##0.00\);_(* "-"??_);_(@_)</c:formatCode>
                <c:ptCount val="5"/>
                <c:pt idx="0">
                  <c:v>0.12400112373057484</c:v>
                </c:pt>
                <c:pt idx="1">
                  <c:v>0</c:v>
                </c:pt>
                <c:pt idx="2">
                  <c:v>0</c:v>
                </c:pt>
                <c:pt idx="3">
                  <c:v>0</c:v>
                </c:pt>
                <c:pt idx="4">
                  <c:v>0</c:v>
                </c:pt>
              </c:numCache>
            </c:numRef>
          </c:val>
        </c:ser>
        <c:dLbls>
          <c:showLegendKey val="0"/>
          <c:showVal val="0"/>
          <c:showCatName val="0"/>
          <c:showSerName val="0"/>
          <c:showPercent val="0"/>
          <c:showBubbleSize val="0"/>
        </c:dLbls>
        <c:gapWidth val="39"/>
        <c:overlap val="100"/>
        <c:axId val="111112960"/>
        <c:axId val="111114496"/>
      </c:barChart>
      <c:catAx>
        <c:axId val="111112960"/>
        <c:scaling>
          <c:orientation val="minMax"/>
        </c:scaling>
        <c:delete val="0"/>
        <c:axPos val="l"/>
        <c:numFmt formatCode="General" sourceLinked="0"/>
        <c:majorTickMark val="out"/>
        <c:minorTickMark val="none"/>
        <c:tickLblPos val="nextTo"/>
        <c:crossAx val="111114496"/>
        <c:crosses val="autoZero"/>
        <c:auto val="1"/>
        <c:lblAlgn val="ctr"/>
        <c:lblOffset val="100"/>
        <c:noMultiLvlLbl val="0"/>
      </c:catAx>
      <c:valAx>
        <c:axId val="111114496"/>
        <c:scaling>
          <c:orientation val="minMax"/>
        </c:scaling>
        <c:delete val="0"/>
        <c:axPos val="b"/>
        <c:majorGridlines/>
        <c:numFmt formatCode="0%" sourceLinked="1"/>
        <c:majorTickMark val="out"/>
        <c:minorTickMark val="none"/>
        <c:tickLblPos val="nextTo"/>
        <c:crossAx val="111112960"/>
        <c:crosses val="autoZero"/>
        <c:crossBetween val="between"/>
      </c:valAx>
    </c:plotArea>
    <c:legend>
      <c:legendPos val="b"/>
      <c:layout/>
      <c:overlay val="0"/>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7814082643510282"/>
          <c:y val="3.8273555953787917E-2"/>
          <c:w val="0.79204616478744649"/>
          <c:h val="0.7776710526315791"/>
        </c:manualLayout>
      </c:layout>
      <c:barChart>
        <c:barDir val="col"/>
        <c:grouping val="stacked"/>
        <c:varyColors val="0"/>
        <c:ser>
          <c:idx val="0"/>
          <c:order val="0"/>
          <c:spPr>
            <a:solidFill>
              <a:schemeClr val="tx2">
                <a:lumMod val="75000"/>
              </a:schemeClr>
            </a:solidFill>
          </c:spPr>
          <c:invertIfNegative val="0"/>
          <c:dLbls>
            <c:dLbl>
              <c:idx val="0"/>
              <c:layout>
                <c:manualLayout>
                  <c:x val="2.1484121527086512E-17"/>
                  <c:y val="-5.5555555555555552E-2"/>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0"/>
                  <c:y val="-5.5555555555555552E-2"/>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0"/>
                  <c:y val="-0.10185185185185185"/>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0"/>
                  <c:y val="-9.4065844037798205E-2"/>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2.3437041858114052E-3"/>
                  <c:y val="-0.38455612093256231"/>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'Budget Choices Workings'!$B$148:$B$152</c:f>
              <c:strCache>
                <c:ptCount val="5"/>
                <c:pt idx="0">
                  <c:v>Preventative interventions</c:v>
                </c:pt>
                <c:pt idx="1">
                  <c:v>Growth Monitoring and Feeding</c:v>
                </c:pt>
                <c:pt idx="2">
                  <c:v>Moderate Acute Malnutrition</c:v>
                </c:pt>
                <c:pt idx="3">
                  <c:v>SAM without medical complications</c:v>
                </c:pt>
                <c:pt idx="4">
                  <c:v>SAM with medical complications</c:v>
                </c:pt>
              </c:strCache>
            </c:strRef>
          </c:cat>
          <c:val>
            <c:numRef>
              <c:f>'Budget Choices Workings'!$H$148:$H$152</c:f>
              <c:numCache>
                <c:formatCode>_ * #,##0_ ;_ * \-#,##0_ ;_ * "-"??_ ;_ @_ </c:formatCode>
                <c:ptCount val="5"/>
                <c:pt idx="0">
                  <c:v>291.16790171513946</c:v>
                </c:pt>
                <c:pt idx="1">
                  <c:v>1384.9586193488369</c:v>
                </c:pt>
                <c:pt idx="2">
                  <c:v>11612.815427932816</c:v>
                </c:pt>
                <c:pt idx="3">
                  <c:v>13692.183601484141</c:v>
                </c:pt>
                <c:pt idx="4">
                  <c:v>65825.868271912143</c:v>
                </c:pt>
              </c:numCache>
            </c:numRef>
          </c:val>
        </c:ser>
        <c:dLbls>
          <c:showLegendKey val="0"/>
          <c:showVal val="0"/>
          <c:showCatName val="0"/>
          <c:showSerName val="0"/>
          <c:showPercent val="0"/>
          <c:showBubbleSize val="0"/>
        </c:dLbls>
        <c:gapWidth val="150"/>
        <c:overlap val="100"/>
        <c:axId val="111147264"/>
        <c:axId val="111489024"/>
      </c:barChart>
      <c:catAx>
        <c:axId val="111147264"/>
        <c:scaling>
          <c:orientation val="minMax"/>
        </c:scaling>
        <c:delete val="0"/>
        <c:axPos val="b"/>
        <c:numFmt formatCode="General" sourceLinked="0"/>
        <c:majorTickMark val="out"/>
        <c:minorTickMark val="none"/>
        <c:tickLblPos val="nextTo"/>
        <c:crossAx val="111489024"/>
        <c:crosses val="autoZero"/>
        <c:auto val="1"/>
        <c:lblAlgn val="ctr"/>
        <c:lblOffset val="800"/>
        <c:noMultiLvlLbl val="0"/>
      </c:catAx>
      <c:valAx>
        <c:axId val="111489024"/>
        <c:scaling>
          <c:orientation val="minMax"/>
        </c:scaling>
        <c:delete val="0"/>
        <c:axPos val="l"/>
        <c:majorGridlines/>
        <c:title>
          <c:tx>
            <c:rich>
              <a:bodyPr rot="-5400000" vert="horz"/>
              <a:lstStyle/>
              <a:p>
                <a:pPr>
                  <a:defRPr/>
                </a:pPr>
                <a:r>
                  <a:rPr lang="en-US"/>
                  <a:t>Unit Cost in Rands (bar)</a:t>
                </a:r>
              </a:p>
            </c:rich>
          </c:tx>
          <c:layout/>
          <c:overlay val="0"/>
        </c:title>
        <c:numFmt formatCode="_ * #,##0_ ;_ * \-#,##0_ ;_ * &quot;-&quot;??_ ;_ @_ " sourceLinked="1"/>
        <c:majorTickMark val="out"/>
        <c:minorTickMark val="none"/>
        <c:tickLblPos val="nextTo"/>
        <c:crossAx val="111147264"/>
        <c:crosses val="autoZero"/>
        <c:crossBetween val="between"/>
      </c:valAx>
    </c:plotArea>
    <c:plotVisOnly val="1"/>
    <c:dispBlanksAs val="gap"/>
    <c:showDLblsOverMax val="0"/>
  </c:chart>
  <c:txPr>
    <a:bodyPr/>
    <a:lstStyle/>
    <a:p>
      <a:pPr>
        <a:defRPr>
          <a:solidFill>
            <a:schemeClr val="tx1"/>
          </a:solidFill>
        </a:defRPr>
      </a:pPr>
      <a:endParaRPr lang="en-US"/>
    </a:p>
  </c:txPr>
  <c:printSettings>
    <c:headerFooter/>
    <c:pageMargins b="0.75" l="0.7" r="0.7" t="0.75" header="0.3" footer="0.3"/>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323950131233595"/>
          <c:y val="0.16598961899409589"/>
          <c:w val="0.51687248468941382"/>
          <c:h val="0.52382547330462492"/>
        </c:manualLayout>
      </c:layout>
      <c:barChart>
        <c:barDir val="bar"/>
        <c:grouping val="percentStacked"/>
        <c:varyColors val="0"/>
        <c:ser>
          <c:idx val="0"/>
          <c:order val="0"/>
          <c:tx>
            <c:strRef>
              <c:f>PDOH!$AE$460</c:f>
              <c:strCache>
                <c:ptCount val="1"/>
                <c:pt idx="0">
                  <c:v>Added</c:v>
                </c:pt>
              </c:strCache>
            </c:strRef>
          </c:tx>
          <c:invertIfNegative val="0"/>
          <c:cat>
            <c:strRef>
              <c:f>PDOH!$AD$461</c:f>
              <c:strCache>
                <c:ptCount val="1"/>
                <c:pt idx="0">
                  <c:v>FTE CHWs and Nurses</c:v>
                </c:pt>
              </c:strCache>
            </c:strRef>
          </c:cat>
          <c:val>
            <c:numRef>
              <c:f>PDOH!$AE$461</c:f>
              <c:numCache>
                <c:formatCode>General</c:formatCode>
                <c:ptCount val="1"/>
                <c:pt idx="0">
                  <c:v>0</c:v>
                </c:pt>
              </c:numCache>
            </c:numRef>
          </c:val>
        </c:ser>
        <c:ser>
          <c:idx val="1"/>
          <c:order val="1"/>
          <c:tx>
            <c:strRef>
              <c:f>PDOH!$AF$460</c:f>
              <c:strCache>
                <c:ptCount val="1"/>
                <c:pt idx="0">
                  <c:v>Reduced</c:v>
                </c:pt>
              </c:strCache>
            </c:strRef>
          </c:tx>
          <c:invertIfNegative val="0"/>
          <c:cat>
            <c:strRef>
              <c:f>PDOH!$AD$461</c:f>
              <c:strCache>
                <c:ptCount val="1"/>
                <c:pt idx="0">
                  <c:v>FTE CHWs and Nurses</c:v>
                </c:pt>
              </c:strCache>
            </c:strRef>
          </c:cat>
          <c:val>
            <c:numRef>
              <c:f>PDOH!$AF$461</c:f>
              <c:numCache>
                <c:formatCode>General</c:formatCode>
                <c:ptCount val="1"/>
                <c:pt idx="0">
                  <c:v>0</c:v>
                </c:pt>
              </c:numCache>
            </c:numRef>
          </c:val>
        </c:ser>
        <c:ser>
          <c:idx val="2"/>
          <c:order val="2"/>
          <c:tx>
            <c:strRef>
              <c:f>PDOH!$AG$460</c:f>
              <c:strCache>
                <c:ptCount val="1"/>
                <c:pt idx="0">
                  <c:v>Starting</c:v>
                </c:pt>
              </c:strCache>
            </c:strRef>
          </c:tx>
          <c:invertIfNegative val="0"/>
          <c:cat>
            <c:strRef>
              <c:f>PDOH!$AD$461</c:f>
              <c:strCache>
                <c:ptCount val="1"/>
                <c:pt idx="0">
                  <c:v>FTE CHWs and Nurses</c:v>
                </c:pt>
              </c:strCache>
            </c:strRef>
          </c:cat>
          <c:val>
            <c:numRef>
              <c:f>PDOH!$AG$461</c:f>
              <c:numCache>
                <c:formatCode>General</c:formatCode>
                <c:ptCount val="1"/>
                <c:pt idx="0">
                  <c:v>1</c:v>
                </c:pt>
              </c:numCache>
            </c:numRef>
          </c:val>
        </c:ser>
        <c:dLbls>
          <c:showLegendKey val="0"/>
          <c:showVal val="0"/>
          <c:showCatName val="0"/>
          <c:showSerName val="0"/>
          <c:showPercent val="0"/>
          <c:showBubbleSize val="0"/>
        </c:dLbls>
        <c:gapWidth val="150"/>
        <c:overlap val="100"/>
        <c:axId val="127090048"/>
        <c:axId val="127091840"/>
      </c:barChart>
      <c:catAx>
        <c:axId val="127090048"/>
        <c:scaling>
          <c:orientation val="minMax"/>
        </c:scaling>
        <c:delete val="0"/>
        <c:axPos val="l"/>
        <c:numFmt formatCode="General" sourceLinked="0"/>
        <c:majorTickMark val="out"/>
        <c:minorTickMark val="none"/>
        <c:tickLblPos val="nextTo"/>
        <c:spPr>
          <a:ln>
            <a:noFill/>
          </a:ln>
        </c:spPr>
        <c:txPr>
          <a:bodyPr/>
          <a:lstStyle/>
          <a:p>
            <a:pPr>
              <a:defRPr>
                <a:latin typeface="Arial" panose="020B0604020202020204" pitchFamily="34" charset="0"/>
                <a:cs typeface="Arial" panose="020B0604020202020204" pitchFamily="34" charset="0"/>
              </a:defRPr>
            </a:pPr>
            <a:endParaRPr lang="en-US"/>
          </a:p>
        </c:txPr>
        <c:crossAx val="127091840"/>
        <c:crosses val="autoZero"/>
        <c:auto val="1"/>
        <c:lblAlgn val="ctr"/>
        <c:lblOffset val="100"/>
        <c:noMultiLvlLbl val="0"/>
      </c:catAx>
      <c:valAx>
        <c:axId val="127091840"/>
        <c:scaling>
          <c:orientation val="minMax"/>
        </c:scaling>
        <c:delete val="1"/>
        <c:axPos val="b"/>
        <c:numFmt formatCode="0%" sourceLinked="1"/>
        <c:majorTickMark val="out"/>
        <c:minorTickMark val="none"/>
        <c:tickLblPos val="nextTo"/>
        <c:crossAx val="127090048"/>
        <c:crosses val="autoZero"/>
        <c:crossBetween val="between"/>
      </c:valAx>
      <c:spPr>
        <a:noFill/>
        <a:ln w="25400">
          <a:noFill/>
        </a:ln>
      </c:spPr>
    </c:plotArea>
    <c:legend>
      <c:legendPos val="r"/>
      <c:layout>
        <c:manualLayout>
          <c:xMode val="edge"/>
          <c:yMode val="edge"/>
          <c:x val="0.82478477690288721"/>
          <c:y val="0.17228506938886606"/>
          <c:w val="0.15577077865266842"/>
          <c:h val="0.4584149821565443"/>
        </c:manualLayout>
      </c:layout>
      <c:overlay val="0"/>
      <c:txPr>
        <a:bodyPr/>
        <a:lstStyle/>
        <a:p>
          <a:pPr>
            <a:defRPr>
              <a:latin typeface="Arial" panose="020B0604020202020204" pitchFamily="34" charset="0"/>
              <a:cs typeface="Arial" panose="020B0604020202020204" pitchFamily="34" charset="0"/>
            </a:defRPr>
          </a:pPr>
          <a:endParaRPr lang="en-US"/>
        </a:p>
      </c:txPr>
    </c:legend>
    <c:plotVisOnly val="1"/>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4"/>
          <c:order val="4"/>
          <c:tx>
            <c:strRef>
              <c:f>CBA!$D$62</c:f>
              <c:strCache>
                <c:ptCount val="1"/>
                <c:pt idx="0">
                  <c:v>Prevention Expenditure</c:v>
                </c:pt>
              </c:strCache>
            </c:strRef>
          </c:tx>
          <c:spPr>
            <a:solidFill>
              <a:schemeClr val="bg1">
                <a:lumMod val="85000"/>
              </a:schemeClr>
            </a:solidFill>
            <a:ln>
              <a:noFill/>
            </a:ln>
          </c:spPr>
          <c:invertIfNegative val="0"/>
          <c:cat>
            <c:numRef>
              <c:f>CBA!$E$55:$I$55</c:f>
              <c:numCache>
                <c:formatCode>0%</c:formatCode>
                <c:ptCount val="5"/>
                <c:pt idx="0">
                  <c:v>0.7</c:v>
                </c:pt>
                <c:pt idx="1">
                  <c:v>0.75</c:v>
                </c:pt>
                <c:pt idx="2">
                  <c:v>0.8</c:v>
                </c:pt>
                <c:pt idx="3">
                  <c:v>0.85000000000000009</c:v>
                </c:pt>
                <c:pt idx="4">
                  <c:v>0.90000000000000013</c:v>
                </c:pt>
              </c:numCache>
            </c:numRef>
          </c:cat>
          <c:val>
            <c:numRef>
              <c:f>CBA!$E$50:$I$50</c:f>
              <c:numCache>
                <c:formatCode>_ * #,##0_ ;_ * \-#,##0_ ;_ * "-"??_ ;_ @_ </c:formatCode>
                <c:ptCount val="5"/>
                <c:pt idx="0">
                  <c:v>82771056.457107067</c:v>
                </c:pt>
                <c:pt idx="1">
                  <c:v>165542112.91421437</c:v>
                </c:pt>
                <c:pt idx="2">
                  <c:v>248313169.37132168</c:v>
                </c:pt>
                <c:pt idx="3">
                  <c:v>331084225.82842851</c:v>
                </c:pt>
                <c:pt idx="4">
                  <c:v>413855282.28553605</c:v>
                </c:pt>
              </c:numCache>
            </c:numRef>
          </c:val>
        </c:ser>
        <c:dLbls>
          <c:showLegendKey val="0"/>
          <c:showVal val="0"/>
          <c:showCatName val="0"/>
          <c:showSerName val="0"/>
          <c:showPercent val="0"/>
          <c:showBubbleSize val="0"/>
        </c:dLbls>
        <c:gapWidth val="150"/>
        <c:axId val="139691904"/>
        <c:axId val="139689984"/>
      </c:barChart>
      <c:lineChart>
        <c:grouping val="standard"/>
        <c:varyColors val="0"/>
        <c:ser>
          <c:idx val="0"/>
          <c:order val="0"/>
          <c:tx>
            <c:strRef>
              <c:f>CBA!#REF!</c:f>
              <c:strCache>
                <c:ptCount val="1"/>
                <c:pt idx="0">
                  <c:v>#REF!</c:v>
                </c:pt>
              </c:strCache>
            </c:strRef>
          </c:tx>
          <c:spPr>
            <a:ln w="41275" cmpd="sng"/>
          </c:spPr>
          <c:marker>
            <c:symbol val="none"/>
          </c:marker>
          <c:cat>
            <c:numRef>
              <c:f>CBA!$E$55:$I$55</c:f>
              <c:numCache>
                <c:formatCode>0%</c:formatCode>
                <c:ptCount val="5"/>
                <c:pt idx="0">
                  <c:v>0.7</c:v>
                </c:pt>
                <c:pt idx="1">
                  <c:v>0.75</c:v>
                </c:pt>
                <c:pt idx="2">
                  <c:v>0.8</c:v>
                </c:pt>
                <c:pt idx="3">
                  <c:v>0.85000000000000009</c:v>
                </c:pt>
                <c:pt idx="4">
                  <c:v>0.90000000000000013</c:v>
                </c:pt>
              </c:numCache>
            </c:numRef>
          </c:cat>
          <c:val>
            <c:numRef>
              <c:f>CBA!$E$62:$I$62</c:f>
              <c:numCache>
                <c:formatCode>_ * #,##0_ ;_ * \-#,##0_ ;_ * "-"??_ ;_ @_ </c:formatCode>
                <c:ptCount val="5"/>
                <c:pt idx="0">
                  <c:v>1158794790.3995001</c:v>
                </c:pt>
                <c:pt idx="1">
                  <c:v>1241565846.8566074</c:v>
                </c:pt>
                <c:pt idx="2">
                  <c:v>1324336903.3137147</c:v>
                </c:pt>
                <c:pt idx="3">
                  <c:v>1407107959.7708216</c:v>
                </c:pt>
                <c:pt idx="4">
                  <c:v>1489879016.2279291</c:v>
                </c:pt>
              </c:numCache>
            </c:numRef>
          </c:val>
          <c:smooth val="0"/>
        </c:ser>
        <c:ser>
          <c:idx val="1"/>
          <c:order val="1"/>
          <c:tx>
            <c:strRef>
              <c:f>CBA!$D$51</c:f>
              <c:strCache>
                <c:ptCount val="1"/>
                <c:pt idx="0">
                  <c:v>5% - Treatment savings</c:v>
                </c:pt>
              </c:strCache>
            </c:strRef>
          </c:tx>
          <c:spPr>
            <a:ln>
              <a:prstDash val="sysDash"/>
            </a:ln>
          </c:spPr>
          <c:marker>
            <c:symbol val="none"/>
          </c:marker>
          <c:cat>
            <c:numRef>
              <c:f>CBA!$E$55:$I$55</c:f>
              <c:numCache>
                <c:formatCode>0%</c:formatCode>
                <c:ptCount val="5"/>
                <c:pt idx="0">
                  <c:v>0.7</c:v>
                </c:pt>
                <c:pt idx="1">
                  <c:v>0.75</c:v>
                </c:pt>
                <c:pt idx="2">
                  <c:v>0.8</c:v>
                </c:pt>
                <c:pt idx="3">
                  <c:v>0.85000000000000009</c:v>
                </c:pt>
                <c:pt idx="4">
                  <c:v>0.90000000000000013</c:v>
                </c:pt>
              </c:numCache>
            </c:numRef>
          </c:cat>
          <c:val>
            <c:numRef>
              <c:f>CBA!$E$51:$I$51</c:f>
              <c:numCache>
                <c:formatCode>_ * #,##0_ ;_ * \-#,##0_ ;_ * "-"??_ ;_ @_ </c:formatCode>
                <c:ptCount val="5"/>
                <c:pt idx="0">
                  <c:v>155988475.92939758</c:v>
                </c:pt>
                <c:pt idx="1">
                  <c:v>304177528.06232548</c:v>
                </c:pt>
                <c:pt idx="2">
                  <c:v>444957127.58860683</c:v>
                </c:pt>
                <c:pt idx="3">
                  <c:v>578697747.13857412</c:v>
                </c:pt>
                <c:pt idx="4">
                  <c:v>705751335.71104288</c:v>
                </c:pt>
              </c:numCache>
            </c:numRef>
          </c:val>
          <c:smooth val="0"/>
        </c:ser>
        <c:ser>
          <c:idx val="2"/>
          <c:order val="2"/>
          <c:tx>
            <c:strRef>
              <c:f>CBA!$D$52</c:f>
              <c:strCache>
                <c:ptCount val="1"/>
                <c:pt idx="0">
                  <c:v>10% - Treatment savings</c:v>
                </c:pt>
              </c:strCache>
            </c:strRef>
          </c:tx>
          <c:spPr>
            <a:ln>
              <a:prstDash val="sysDash"/>
            </a:ln>
          </c:spPr>
          <c:marker>
            <c:symbol val="none"/>
          </c:marker>
          <c:cat>
            <c:numRef>
              <c:f>CBA!$E$55:$I$55</c:f>
              <c:numCache>
                <c:formatCode>0%</c:formatCode>
                <c:ptCount val="5"/>
                <c:pt idx="0">
                  <c:v>0.7</c:v>
                </c:pt>
                <c:pt idx="1">
                  <c:v>0.75</c:v>
                </c:pt>
                <c:pt idx="2">
                  <c:v>0.8</c:v>
                </c:pt>
                <c:pt idx="3">
                  <c:v>0.85000000000000009</c:v>
                </c:pt>
                <c:pt idx="4">
                  <c:v>0.90000000000000013</c:v>
                </c:pt>
              </c:numCache>
            </c:numRef>
          </c:cat>
          <c:val>
            <c:numRef>
              <c:f>CBA!$E$52:$I$52</c:f>
              <c:numCache>
                <c:formatCode>_ * #,##0_ ;_ * \-#,##0_ ;_ * "-"??_ ;_ @_ </c:formatCode>
                <c:ptCount val="5"/>
                <c:pt idx="0">
                  <c:v>311976951.85879469</c:v>
                </c:pt>
                <c:pt idx="1">
                  <c:v>592756208.53171015</c:v>
                </c:pt>
                <c:pt idx="2">
                  <c:v>845457539.53733444</c:v>
                </c:pt>
                <c:pt idx="3">
                  <c:v>1072888737.4423954</c:v>
                </c:pt>
                <c:pt idx="4">
                  <c:v>1277576815.5569508</c:v>
                </c:pt>
              </c:numCache>
            </c:numRef>
          </c:val>
          <c:smooth val="0"/>
        </c:ser>
        <c:ser>
          <c:idx val="3"/>
          <c:order val="3"/>
          <c:tx>
            <c:strRef>
              <c:f>CBA!$D$53</c:f>
              <c:strCache>
                <c:ptCount val="1"/>
                <c:pt idx="0">
                  <c:v>15% - Treatment savings</c:v>
                </c:pt>
              </c:strCache>
            </c:strRef>
          </c:tx>
          <c:spPr>
            <a:ln>
              <a:prstDash val="sysDash"/>
            </a:ln>
          </c:spPr>
          <c:marker>
            <c:symbol val="none"/>
          </c:marker>
          <c:cat>
            <c:numRef>
              <c:f>CBA!$E$55:$I$55</c:f>
              <c:numCache>
                <c:formatCode>0%</c:formatCode>
                <c:ptCount val="5"/>
                <c:pt idx="0">
                  <c:v>0.7</c:v>
                </c:pt>
                <c:pt idx="1">
                  <c:v>0.75</c:v>
                </c:pt>
                <c:pt idx="2">
                  <c:v>0.8</c:v>
                </c:pt>
                <c:pt idx="3">
                  <c:v>0.85000000000000009</c:v>
                </c:pt>
                <c:pt idx="4">
                  <c:v>0.90000000000000013</c:v>
                </c:pt>
              </c:numCache>
            </c:numRef>
          </c:cat>
          <c:val>
            <c:numRef>
              <c:f>CBA!$E$53:$I$53</c:f>
              <c:numCache>
                <c:formatCode>_ * #,##0_ ;_ * \-#,##0_ ;_ * "-"??_ ;_ @_ </c:formatCode>
                <c:ptCount val="5"/>
                <c:pt idx="0">
                  <c:v>467965427.78819275</c:v>
                </c:pt>
                <c:pt idx="1">
                  <c:v>865736041.40815639</c:v>
                </c:pt>
                <c:pt idx="2">
                  <c:v>1203841062.9851251</c:v>
                </c:pt>
                <c:pt idx="3">
                  <c:v>1491230331.3255486</c:v>
                </c:pt>
                <c:pt idx="4">
                  <c:v>1735511209.4149086</c:v>
                </c:pt>
              </c:numCache>
            </c:numRef>
          </c:val>
          <c:smooth val="0"/>
        </c:ser>
        <c:dLbls>
          <c:showLegendKey val="0"/>
          <c:showVal val="0"/>
          <c:showCatName val="0"/>
          <c:showSerName val="0"/>
          <c:showPercent val="0"/>
          <c:showBubbleSize val="0"/>
        </c:dLbls>
        <c:marker val="1"/>
        <c:smooth val="0"/>
        <c:axId val="139669888"/>
        <c:axId val="139671424"/>
      </c:lineChart>
      <c:catAx>
        <c:axId val="139669888"/>
        <c:scaling>
          <c:orientation val="minMax"/>
        </c:scaling>
        <c:delete val="0"/>
        <c:axPos val="b"/>
        <c:majorGridlines>
          <c:spPr>
            <a:ln>
              <a:noFill/>
            </a:ln>
          </c:spPr>
        </c:majorGridlines>
        <c:numFmt formatCode="0%" sourceLinked="1"/>
        <c:majorTickMark val="out"/>
        <c:minorTickMark val="none"/>
        <c:tickLblPos val="nextTo"/>
        <c:crossAx val="139671424"/>
        <c:crosses val="autoZero"/>
        <c:auto val="1"/>
        <c:lblAlgn val="ctr"/>
        <c:lblOffset val="100"/>
        <c:noMultiLvlLbl val="0"/>
      </c:catAx>
      <c:valAx>
        <c:axId val="139671424"/>
        <c:scaling>
          <c:orientation val="minMax"/>
        </c:scaling>
        <c:delete val="0"/>
        <c:axPos val="l"/>
        <c:majorGridlines>
          <c:spPr>
            <a:ln>
              <a:noFill/>
            </a:ln>
          </c:spPr>
        </c:majorGridlines>
        <c:minorGridlines>
          <c:spPr>
            <a:ln>
              <a:noFill/>
            </a:ln>
          </c:spPr>
        </c:minorGridlines>
        <c:numFmt formatCode="_ * #,##0_ ;_ * \-#,##0_ ;_ * &quot;-&quot;??_ ;_ @_ " sourceLinked="1"/>
        <c:majorTickMark val="out"/>
        <c:minorTickMark val="none"/>
        <c:tickLblPos val="nextTo"/>
        <c:crossAx val="139669888"/>
        <c:crosses val="autoZero"/>
        <c:crossBetween val="between"/>
        <c:dispUnits>
          <c:builtInUnit val="millions"/>
          <c:dispUnitsLbl>
            <c:layout>
              <c:manualLayout>
                <c:xMode val="edge"/>
                <c:yMode val="edge"/>
                <c:x val="2.6284348864994027E-2"/>
                <c:y val="0.17498813842813804"/>
              </c:manualLayout>
            </c:layout>
            <c:tx>
              <c:rich>
                <a:bodyPr/>
                <a:lstStyle/>
                <a:p>
                  <a:pPr>
                    <a:defRPr/>
                  </a:pPr>
                  <a:r>
                    <a:rPr lang="en-ZA"/>
                    <a:t>Rand Millions</a:t>
                  </a:r>
                </a:p>
              </c:rich>
            </c:tx>
          </c:dispUnitsLbl>
        </c:dispUnits>
      </c:valAx>
      <c:valAx>
        <c:axId val="139689984"/>
        <c:scaling>
          <c:orientation val="minMax"/>
          <c:max val="3000000000"/>
        </c:scaling>
        <c:delete val="0"/>
        <c:axPos val="r"/>
        <c:numFmt formatCode="_ * #,##0_ ;_ * \-#,##0_ ;_ * &quot;-&quot;??_ ;_ @_ " sourceLinked="1"/>
        <c:majorTickMark val="out"/>
        <c:minorTickMark val="none"/>
        <c:tickLblPos val="nextTo"/>
        <c:txPr>
          <a:bodyPr/>
          <a:lstStyle/>
          <a:p>
            <a:pPr>
              <a:defRPr>
                <a:solidFill>
                  <a:schemeClr val="bg1"/>
                </a:solidFill>
              </a:defRPr>
            </a:pPr>
            <a:endParaRPr lang="en-US"/>
          </a:p>
        </c:txPr>
        <c:crossAx val="139691904"/>
        <c:crosses val="max"/>
        <c:crossBetween val="between"/>
        <c:minorUnit val="100000000"/>
        <c:dispUnits>
          <c:builtInUnit val="millions"/>
          <c:dispUnitsLbl>
            <c:txPr>
              <a:bodyPr/>
              <a:lstStyle/>
              <a:p>
                <a:pPr>
                  <a:defRPr>
                    <a:solidFill>
                      <a:schemeClr val="bg1"/>
                    </a:solidFill>
                  </a:defRPr>
                </a:pPr>
                <a:endParaRPr lang="en-US"/>
              </a:p>
            </c:txPr>
          </c:dispUnitsLbl>
        </c:dispUnits>
      </c:valAx>
      <c:catAx>
        <c:axId val="139691904"/>
        <c:scaling>
          <c:orientation val="minMax"/>
        </c:scaling>
        <c:delete val="1"/>
        <c:axPos val="b"/>
        <c:numFmt formatCode="0%" sourceLinked="1"/>
        <c:majorTickMark val="out"/>
        <c:minorTickMark val="none"/>
        <c:tickLblPos val="nextTo"/>
        <c:crossAx val="139689984"/>
        <c:crosses val="autoZero"/>
        <c:auto val="1"/>
        <c:lblAlgn val="ctr"/>
        <c:lblOffset val="100"/>
        <c:noMultiLvlLbl val="0"/>
      </c:catAx>
    </c:plotArea>
    <c:legend>
      <c:legendPos val="b"/>
      <c:overlay val="0"/>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596154492362078"/>
          <c:y val="4.3117283950617286E-2"/>
          <c:w val="0.73648393448792648"/>
          <c:h val="0.73897932098765429"/>
        </c:manualLayout>
      </c:layout>
      <c:lineChart>
        <c:grouping val="standard"/>
        <c:varyColors val="0"/>
        <c:ser>
          <c:idx val="1"/>
          <c:order val="0"/>
          <c:tx>
            <c:strRef>
              <c:f>CBA!$D$57</c:f>
              <c:strCache>
                <c:ptCount val="1"/>
                <c:pt idx="0">
                  <c:v>Treatment Baseline</c:v>
                </c:pt>
              </c:strCache>
            </c:strRef>
          </c:tx>
          <c:spPr>
            <a:ln w="50800">
              <a:solidFill>
                <a:schemeClr val="tx1"/>
              </a:solidFill>
            </a:ln>
          </c:spPr>
          <c:marker>
            <c:symbol val="none"/>
          </c:marker>
          <c:cat>
            <c:numRef>
              <c:f>CBA!$E$55:$I$55</c:f>
              <c:numCache>
                <c:formatCode>0%</c:formatCode>
                <c:ptCount val="5"/>
                <c:pt idx="0">
                  <c:v>0.7</c:v>
                </c:pt>
                <c:pt idx="1">
                  <c:v>0.75</c:v>
                </c:pt>
                <c:pt idx="2">
                  <c:v>0.8</c:v>
                </c:pt>
                <c:pt idx="3">
                  <c:v>0.85000000000000009</c:v>
                </c:pt>
                <c:pt idx="4">
                  <c:v>0.90000000000000013</c:v>
                </c:pt>
              </c:numCache>
            </c:numRef>
          </c:cat>
          <c:val>
            <c:numRef>
              <c:f>CBA!$E$57:$I$57</c:f>
              <c:numCache>
                <c:formatCode>_ * #,##0_ ;_ * \-#,##0_ ;_ * "-"??_ ;_ @_ </c:formatCode>
                <c:ptCount val="5"/>
                <c:pt idx="0">
                  <c:v>3119769518.5879488</c:v>
                </c:pt>
                <c:pt idx="1">
                  <c:v>3119769518.5879488</c:v>
                </c:pt>
                <c:pt idx="2">
                  <c:v>3119769518.5879488</c:v>
                </c:pt>
                <c:pt idx="3">
                  <c:v>3119769518.5879488</c:v>
                </c:pt>
                <c:pt idx="4">
                  <c:v>3119769518.5879488</c:v>
                </c:pt>
              </c:numCache>
            </c:numRef>
          </c:val>
          <c:smooth val="0"/>
        </c:ser>
        <c:ser>
          <c:idx val="2"/>
          <c:order val="1"/>
          <c:tx>
            <c:strRef>
              <c:f>CBA!$D$58</c:f>
              <c:strCache>
                <c:ptCount val="1"/>
                <c:pt idx="0">
                  <c:v>5% - Treatment savings</c:v>
                </c:pt>
              </c:strCache>
            </c:strRef>
          </c:tx>
          <c:spPr>
            <a:ln w="50800">
              <a:solidFill>
                <a:schemeClr val="bg1">
                  <a:lumMod val="50000"/>
                </a:schemeClr>
              </a:solidFill>
              <a:prstDash val="solid"/>
            </a:ln>
          </c:spPr>
          <c:marker>
            <c:symbol val="none"/>
          </c:marker>
          <c:cat>
            <c:numRef>
              <c:f>CBA!$E$55:$I$55</c:f>
              <c:numCache>
                <c:formatCode>0%</c:formatCode>
                <c:ptCount val="5"/>
                <c:pt idx="0">
                  <c:v>0.7</c:v>
                </c:pt>
                <c:pt idx="1">
                  <c:v>0.75</c:v>
                </c:pt>
                <c:pt idx="2">
                  <c:v>0.8</c:v>
                </c:pt>
                <c:pt idx="3">
                  <c:v>0.85000000000000009</c:v>
                </c:pt>
                <c:pt idx="4">
                  <c:v>0.90000000000000013</c:v>
                </c:pt>
              </c:numCache>
            </c:numRef>
          </c:cat>
          <c:val>
            <c:numRef>
              <c:f>CBA!$E$58:$I$58</c:f>
              <c:numCache>
                <c:formatCode>_ * #,##0_ ;_ * \-#,##0_ ;_ * "-"??_ ;_ @_ </c:formatCode>
                <c:ptCount val="5"/>
                <c:pt idx="0">
                  <c:v>2963781042.6585512</c:v>
                </c:pt>
                <c:pt idx="1">
                  <c:v>2815591990.5256233</c:v>
                </c:pt>
                <c:pt idx="2">
                  <c:v>2674812390.999342</c:v>
                </c:pt>
                <c:pt idx="3">
                  <c:v>2541071771.4493747</c:v>
                </c:pt>
                <c:pt idx="4">
                  <c:v>2414018182.8769059</c:v>
                </c:pt>
              </c:numCache>
            </c:numRef>
          </c:val>
          <c:smooth val="0"/>
        </c:ser>
        <c:ser>
          <c:idx val="3"/>
          <c:order val="2"/>
          <c:tx>
            <c:strRef>
              <c:f>CBA!$D$59</c:f>
              <c:strCache>
                <c:ptCount val="1"/>
                <c:pt idx="0">
                  <c:v>10% - Treatment savings</c:v>
                </c:pt>
              </c:strCache>
            </c:strRef>
          </c:tx>
          <c:spPr>
            <a:ln w="50800">
              <a:solidFill>
                <a:schemeClr val="bg1">
                  <a:lumMod val="75000"/>
                </a:schemeClr>
              </a:solidFill>
            </a:ln>
          </c:spPr>
          <c:marker>
            <c:symbol val="none"/>
          </c:marker>
          <c:cat>
            <c:numRef>
              <c:f>CBA!$E$55:$I$55</c:f>
              <c:numCache>
                <c:formatCode>0%</c:formatCode>
                <c:ptCount val="5"/>
                <c:pt idx="0">
                  <c:v>0.7</c:v>
                </c:pt>
                <c:pt idx="1">
                  <c:v>0.75</c:v>
                </c:pt>
                <c:pt idx="2">
                  <c:v>0.8</c:v>
                </c:pt>
                <c:pt idx="3">
                  <c:v>0.85000000000000009</c:v>
                </c:pt>
                <c:pt idx="4">
                  <c:v>0.90000000000000013</c:v>
                </c:pt>
              </c:numCache>
            </c:numRef>
          </c:cat>
          <c:val>
            <c:numRef>
              <c:f>CBA!$E$59:$I$59</c:f>
              <c:numCache>
                <c:formatCode>_ * #,##0_ ;_ * \-#,##0_ ;_ * "-"??_ ;_ @_ </c:formatCode>
                <c:ptCount val="5"/>
                <c:pt idx="0">
                  <c:v>2807792566.7291541</c:v>
                </c:pt>
                <c:pt idx="1">
                  <c:v>2527013310.0562387</c:v>
                </c:pt>
                <c:pt idx="2">
                  <c:v>2274311979.0506144</c:v>
                </c:pt>
                <c:pt idx="3">
                  <c:v>2046880781.1455534</c:v>
                </c:pt>
                <c:pt idx="4">
                  <c:v>1842192703.030998</c:v>
                </c:pt>
              </c:numCache>
            </c:numRef>
          </c:val>
          <c:smooth val="0"/>
        </c:ser>
        <c:ser>
          <c:idx val="4"/>
          <c:order val="3"/>
          <c:tx>
            <c:strRef>
              <c:f>CBA!$D$60</c:f>
              <c:strCache>
                <c:ptCount val="1"/>
                <c:pt idx="0">
                  <c:v>15% - Treatment savings</c:v>
                </c:pt>
              </c:strCache>
            </c:strRef>
          </c:tx>
          <c:spPr>
            <a:ln w="50800">
              <a:solidFill>
                <a:schemeClr val="bg1">
                  <a:lumMod val="85000"/>
                </a:schemeClr>
              </a:solidFill>
            </a:ln>
          </c:spPr>
          <c:marker>
            <c:symbol val="none"/>
          </c:marker>
          <c:cat>
            <c:numRef>
              <c:f>CBA!$E$55:$I$55</c:f>
              <c:numCache>
                <c:formatCode>0%</c:formatCode>
                <c:ptCount val="5"/>
                <c:pt idx="0">
                  <c:v>0.7</c:v>
                </c:pt>
                <c:pt idx="1">
                  <c:v>0.75</c:v>
                </c:pt>
                <c:pt idx="2">
                  <c:v>0.8</c:v>
                </c:pt>
                <c:pt idx="3">
                  <c:v>0.85000000000000009</c:v>
                </c:pt>
                <c:pt idx="4">
                  <c:v>0.90000000000000013</c:v>
                </c:pt>
              </c:numCache>
            </c:numRef>
          </c:cat>
          <c:val>
            <c:numRef>
              <c:f>CBA!$E$60:$I$60</c:f>
              <c:numCache>
                <c:formatCode>_ * #,##0_ ;_ * \-#,##0_ ;_ * "-"??_ ;_ @_ </c:formatCode>
                <c:ptCount val="5"/>
                <c:pt idx="0">
                  <c:v>2651804090.7997561</c:v>
                </c:pt>
                <c:pt idx="1">
                  <c:v>2254033477.1797924</c:v>
                </c:pt>
                <c:pt idx="2">
                  <c:v>1915928455.6028237</c:v>
                </c:pt>
                <c:pt idx="3">
                  <c:v>1628539187.2624002</c:v>
                </c:pt>
                <c:pt idx="4">
                  <c:v>1384258309.1730402</c:v>
                </c:pt>
              </c:numCache>
            </c:numRef>
          </c:val>
          <c:smooth val="0"/>
        </c:ser>
        <c:ser>
          <c:idx val="0"/>
          <c:order val="4"/>
          <c:tx>
            <c:strRef>
              <c:f>CBA!$D$61</c:f>
              <c:strCache>
                <c:ptCount val="1"/>
                <c:pt idx="0">
                  <c:v>Prevention Baseline</c:v>
                </c:pt>
              </c:strCache>
            </c:strRef>
          </c:tx>
          <c:spPr>
            <a:ln w="50800">
              <a:solidFill>
                <a:schemeClr val="accent1"/>
              </a:solidFill>
            </a:ln>
          </c:spPr>
          <c:marker>
            <c:symbol val="none"/>
          </c:marker>
          <c:cat>
            <c:numRef>
              <c:f>CBA!$E$55:$I$55</c:f>
              <c:numCache>
                <c:formatCode>0%</c:formatCode>
                <c:ptCount val="5"/>
                <c:pt idx="0">
                  <c:v>0.7</c:v>
                </c:pt>
                <c:pt idx="1">
                  <c:v>0.75</c:v>
                </c:pt>
                <c:pt idx="2">
                  <c:v>0.8</c:v>
                </c:pt>
                <c:pt idx="3">
                  <c:v>0.85000000000000009</c:v>
                </c:pt>
                <c:pt idx="4">
                  <c:v>0.90000000000000013</c:v>
                </c:pt>
              </c:numCache>
            </c:numRef>
          </c:cat>
          <c:val>
            <c:numRef>
              <c:f>CBA!$E$61:$I$61</c:f>
              <c:numCache>
                <c:formatCode>_ * #,##0_ ;_ * \-#,##0_ ;_ * "-"??_ ;_ @_ </c:formatCode>
                <c:ptCount val="5"/>
                <c:pt idx="0">
                  <c:v>1076023733.9423931</c:v>
                </c:pt>
                <c:pt idx="1">
                  <c:v>1076023733.9423931</c:v>
                </c:pt>
                <c:pt idx="2">
                  <c:v>1076023733.9423931</c:v>
                </c:pt>
                <c:pt idx="3">
                  <c:v>1076023733.9423931</c:v>
                </c:pt>
                <c:pt idx="4">
                  <c:v>1076023733.9423931</c:v>
                </c:pt>
              </c:numCache>
            </c:numRef>
          </c:val>
          <c:smooth val="0"/>
        </c:ser>
        <c:ser>
          <c:idx val="5"/>
          <c:order val="5"/>
          <c:tx>
            <c:strRef>
              <c:f>CBA!$D$62</c:f>
              <c:strCache>
                <c:ptCount val="1"/>
                <c:pt idx="0">
                  <c:v>Prevention Expenditure</c:v>
                </c:pt>
              </c:strCache>
            </c:strRef>
          </c:tx>
          <c:spPr>
            <a:ln w="50800">
              <a:solidFill>
                <a:schemeClr val="accent1">
                  <a:lumMod val="60000"/>
                  <a:lumOff val="40000"/>
                </a:schemeClr>
              </a:solidFill>
            </a:ln>
          </c:spPr>
          <c:marker>
            <c:symbol val="none"/>
          </c:marker>
          <c:cat>
            <c:numRef>
              <c:f>CBA!$E$55:$I$55</c:f>
              <c:numCache>
                <c:formatCode>0%</c:formatCode>
                <c:ptCount val="5"/>
                <c:pt idx="0">
                  <c:v>0.7</c:v>
                </c:pt>
                <c:pt idx="1">
                  <c:v>0.75</c:v>
                </c:pt>
                <c:pt idx="2">
                  <c:v>0.8</c:v>
                </c:pt>
                <c:pt idx="3">
                  <c:v>0.85000000000000009</c:v>
                </c:pt>
                <c:pt idx="4">
                  <c:v>0.90000000000000013</c:v>
                </c:pt>
              </c:numCache>
            </c:numRef>
          </c:cat>
          <c:val>
            <c:numRef>
              <c:f>CBA!$E$62:$I$62</c:f>
              <c:numCache>
                <c:formatCode>_ * #,##0_ ;_ * \-#,##0_ ;_ * "-"??_ ;_ @_ </c:formatCode>
                <c:ptCount val="5"/>
                <c:pt idx="0">
                  <c:v>1158794790.3995001</c:v>
                </c:pt>
                <c:pt idx="1">
                  <c:v>1241565846.8566074</c:v>
                </c:pt>
                <c:pt idx="2">
                  <c:v>1324336903.3137147</c:v>
                </c:pt>
                <c:pt idx="3">
                  <c:v>1407107959.7708216</c:v>
                </c:pt>
                <c:pt idx="4">
                  <c:v>1489879016.2279291</c:v>
                </c:pt>
              </c:numCache>
            </c:numRef>
          </c:val>
          <c:smooth val="0"/>
        </c:ser>
        <c:dLbls>
          <c:showLegendKey val="0"/>
          <c:showVal val="0"/>
          <c:showCatName val="0"/>
          <c:showSerName val="0"/>
          <c:showPercent val="0"/>
          <c:showBubbleSize val="0"/>
        </c:dLbls>
        <c:marker val="1"/>
        <c:smooth val="0"/>
        <c:axId val="139732480"/>
        <c:axId val="139734016"/>
      </c:lineChart>
      <c:catAx>
        <c:axId val="139732480"/>
        <c:scaling>
          <c:orientation val="minMax"/>
        </c:scaling>
        <c:delete val="0"/>
        <c:axPos val="b"/>
        <c:numFmt formatCode="0%" sourceLinked="1"/>
        <c:majorTickMark val="out"/>
        <c:minorTickMark val="none"/>
        <c:tickLblPos val="nextTo"/>
        <c:crossAx val="139734016"/>
        <c:crosses val="autoZero"/>
        <c:auto val="1"/>
        <c:lblAlgn val="ctr"/>
        <c:lblOffset val="100"/>
        <c:noMultiLvlLbl val="0"/>
      </c:catAx>
      <c:valAx>
        <c:axId val="139734016"/>
        <c:scaling>
          <c:orientation val="minMax"/>
        </c:scaling>
        <c:delete val="0"/>
        <c:axPos val="l"/>
        <c:majorGridlines>
          <c:spPr>
            <a:ln>
              <a:noFill/>
            </a:ln>
          </c:spPr>
        </c:majorGridlines>
        <c:numFmt formatCode="_ * #,##0_ ;_ * \-#,##0_ ;_ * &quot;-&quot;??_ ;_ @_ " sourceLinked="1"/>
        <c:majorTickMark val="out"/>
        <c:minorTickMark val="none"/>
        <c:tickLblPos val="nextTo"/>
        <c:crossAx val="139732480"/>
        <c:crosses val="autoZero"/>
        <c:crossBetween val="between"/>
        <c:dispUnits>
          <c:builtInUnit val="millions"/>
          <c:dispUnitsLbl>
            <c:tx>
              <c:rich>
                <a:bodyPr/>
                <a:lstStyle/>
                <a:p>
                  <a:pPr>
                    <a:defRPr/>
                  </a:pPr>
                  <a:r>
                    <a:rPr lang="en-GB"/>
                    <a:t>Rand millions</a:t>
                  </a:r>
                </a:p>
              </c:rich>
            </c:tx>
          </c:dispUnitsLbl>
        </c:dispUnits>
      </c:valAx>
    </c:plotArea>
    <c:legend>
      <c:legendPos val="b"/>
      <c:layout>
        <c:manualLayout>
          <c:xMode val="edge"/>
          <c:yMode val="edge"/>
          <c:x val="3.9301620370370376E-2"/>
          <c:y val="0.86010524691358026"/>
          <c:w val="0.94197546296296297"/>
          <c:h val="0.11637623456790122"/>
        </c:manualLayout>
      </c:layout>
      <c:overlay val="0"/>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3"/>
          <c:tx>
            <c:strRef>
              <c:f>CBA!$D$50</c:f>
              <c:strCache>
                <c:ptCount val="1"/>
                <c:pt idx="0">
                  <c:v>Added Preventative Spend</c:v>
                </c:pt>
              </c:strCache>
            </c:strRef>
          </c:tx>
          <c:spPr>
            <a:solidFill>
              <a:schemeClr val="tx2">
                <a:lumMod val="40000"/>
                <a:lumOff val="60000"/>
              </a:schemeClr>
            </a:solidFill>
          </c:spPr>
          <c:invertIfNegative val="0"/>
          <c:cat>
            <c:numRef>
              <c:f>CBA!$E$49:$I$49</c:f>
              <c:numCache>
                <c:formatCode>0%</c:formatCode>
                <c:ptCount val="5"/>
                <c:pt idx="0">
                  <c:v>0.7</c:v>
                </c:pt>
                <c:pt idx="1">
                  <c:v>0.75</c:v>
                </c:pt>
                <c:pt idx="2">
                  <c:v>0.8</c:v>
                </c:pt>
                <c:pt idx="3">
                  <c:v>0.85000000000000009</c:v>
                </c:pt>
                <c:pt idx="4">
                  <c:v>0.90000000000000013</c:v>
                </c:pt>
              </c:numCache>
            </c:numRef>
          </c:cat>
          <c:val>
            <c:numRef>
              <c:f>CBA!$E$50:$I$50</c:f>
              <c:numCache>
                <c:formatCode>_ * #,##0_ ;_ * \-#,##0_ ;_ * "-"??_ ;_ @_ </c:formatCode>
                <c:ptCount val="5"/>
                <c:pt idx="0">
                  <c:v>82771056.457107067</c:v>
                </c:pt>
                <c:pt idx="1">
                  <c:v>165542112.91421437</c:v>
                </c:pt>
                <c:pt idx="2">
                  <c:v>248313169.37132168</c:v>
                </c:pt>
                <c:pt idx="3">
                  <c:v>331084225.82842851</c:v>
                </c:pt>
                <c:pt idx="4">
                  <c:v>413855282.28553605</c:v>
                </c:pt>
              </c:numCache>
            </c:numRef>
          </c:val>
        </c:ser>
        <c:dLbls>
          <c:showLegendKey val="0"/>
          <c:showVal val="0"/>
          <c:showCatName val="0"/>
          <c:showSerName val="0"/>
          <c:showPercent val="0"/>
          <c:showBubbleSize val="0"/>
        </c:dLbls>
        <c:gapWidth val="150"/>
        <c:axId val="139784576"/>
        <c:axId val="139778304"/>
      </c:barChart>
      <c:lineChart>
        <c:grouping val="standard"/>
        <c:varyColors val="0"/>
        <c:ser>
          <c:idx val="1"/>
          <c:order val="0"/>
          <c:tx>
            <c:strRef>
              <c:f>CBA!$D$51</c:f>
              <c:strCache>
                <c:ptCount val="1"/>
                <c:pt idx="0">
                  <c:v>5% - Treatment savings</c:v>
                </c:pt>
              </c:strCache>
            </c:strRef>
          </c:tx>
          <c:spPr>
            <a:ln w="50800">
              <a:solidFill>
                <a:schemeClr val="bg1">
                  <a:lumMod val="50000"/>
                </a:schemeClr>
              </a:solidFill>
            </a:ln>
          </c:spPr>
          <c:marker>
            <c:symbol val="none"/>
          </c:marker>
          <c:cat>
            <c:numRef>
              <c:f>CBA!$E$49:$I$49</c:f>
              <c:numCache>
                <c:formatCode>0%</c:formatCode>
                <c:ptCount val="5"/>
                <c:pt idx="0">
                  <c:v>0.7</c:v>
                </c:pt>
                <c:pt idx="1">
                  <c:v>0.75</c:v>
                </c:pt>
                <c:pt idx="2">
                  <c:v>0.8</c:v>
                </c:pt>
                <c:pt idx="3">
                  <c:v>0.85000000000000009</c:v>
                </c:pt>
                <c:pt idx="4">
                  <c:v>0.90000000000000013</c:v>
                </c:pt>
              </c:numCache>
            </c:numRef>
          </c:cat>
          <c:val>
            <c:numRef>
              <c:f>CBA!$E$51:$I$51</c:f>
              <c:numCache>
                <c:formatCode>_ * #,##0_ ;_ * \-#,##0_ ;_ * "-"??_ ;_ @_ </c:formatCode>
                <c:ptCount val="5"/>
                <c:pt idx="0">
                  <c:v>155988475.92939758</c:v>
                </c:pt>
                <c:pt idx="1">
                  <c:v>304177528.06232548</c:v>
                </c:pt>
                <c:pt idx="2">
                  <c:v>444957127.58860683</c:v>
                </c:pt>
                <c:pt idx="3">
                  <c:v>578697747.13857412</c:v>
                </c:pt>
                <c:pt idx="4">
                  <c:v>705751335.71104288</c:v>
                </c:pt>
              </c:numCache>
            </c:numRef>
          </c:val>
          <c:smooth val="0"/>
        </c:ser>
        <c:ser>
          <c:idx val="2"/>
          <c:order val="1"/>
          <c:tx>
            <c:strRef>
              <c:f>CBA!$D$52</c:f>
              <c:strCache>
                <c:ptCount val="1"/>
                <c:pt idx="0">
                  <c:v>10% - Treatment savings</c:v>
                </c:pt>
              </c:strCache>
            </c:strRef>
          </c:tx>
          <c:spPr>
            <a:ln w="50800">
              <a:solidFill>
                <a:schemeClr val="bg1">
                  <a:lumMod val="65000"/>
                </a:schemeClr>
              </a:solidFill>
            </a:ln>
          </c:spPr>
          <c:marker>
            <c:symbol val="none"/>
          </c:marker>
          <c:cat>
            <c:numRef>
              <c:f>CBA!$E$49:$I$49</c:f>
              <c:numCache>
                <c:formatCode>0%</c:formatCode>
                <c:ptCount val="5"/>
                <c:pt idx="0">
                  <c:v>0.7</c:v>
                </c:pt>
                <c:pt idx="1">
                  <c:v>0.75</c:v>
                </c:pt>
                <c:pt idx="2">
                  <c:v>0.8</c:v>
                </c:pt>
                <c:pt idx="3">
                  <c:v>0.85000000000000009</c:v>
                </c:pt>
                <c:pt idx="4">
                  <c:v>0.90000000000000013</c:v>
                </c:pt>
              </c:numCache>
            </c:numRef>
          </c:cat>
          <c:val>
            <c:numRef>
              <c:f>CBA!$E$52:$I$52</c:f>
              <c:numCache>
                <c:formatCode>_ * #,##0_ ;_ * \-#,##0_ ;_ * "-"??_ ;_ @_ </c:formatCode>
                <c:ptCount val="5"/>
                <c:pt idx="0">
                  <c:v>311976951.85879469</c:v>
                </c:pt>
                <c:pt idx="1">
                  <c:v>592756208.53171015</c:v>
                </c:pt>
                <c:pt idx="2">
                  <c:v>845457539.53733444</c:v>
                </c:pt>
                <c:pt idx="3">
                  <c:v>1072888737.4423954</c:v>
                </c:pt>
                <c:pt idx="4">
                  <c:v>1277576815.5569508</c:v>
                </c:pt>
              </c:numCache>
            </c:numRef>
          </c:val>
          <c:smooth val="0"/>
        </c:ser>
        <c:ser>
          <c:idx val="3"/>
          <c:order val="2"/>
          <c:tx>
            <c:strRef>
              <c:f>CBA!$D$53</c:f>
              <c:strCache>
                <c:ptCount val="1"/>
                <c:pt idx="0">
                  <c:v>15% - Treatment savings</c:v>
                </c:pt>
              </c:strCache>
            </c:strRef>
          </c:tx>
          <c:spPr>
            <a:ln w="50800">
              <a:solidFill>
                <a:schemeClr val="bg1">
                  <a:lumMod val="85000"/>
                </a:schemeClr>
              </a:solidFill>
            </a:ln>
          </c:spPr>
          <c:marker>
            <c:symbol val="none"/>
          </c:marker>
          <c:cat>
            <c:numRef>
              <c:f>CBA!$E$49:$I$49</c:f>
              <c:numCache>
                <c:formatCode>0%</c:formatCode>
                <c:ptCount val="5"/>
                <c:pt idx="0">
                  <c:v>0.7</c:v>
                </c:pt>
                <c:pt idx="1">
                  <c:v>0.75</c:v>
                </c:pt>
                <c:pt idx="2">
                  <c:v>0.8</c:v>
                </c:pt>
                <c:pt idx="3">
                  <c:v>0.85000000000000009</c:v>
                </c:pt>
                <c:pt idx="4">
                  <c:v>0.90000000000000013</c:v>
                </c:pt>
              </c:numCache>
            </c:numRef>
          </c:cat>
          <c:val>
            <c:numRef>
              <c:f>CBA!$E$53:$I$53</c:f>
              <c:numCache>
                <c:formatCode>_ * #,##0_ ;_ * \-#,##0_ ;_ * "-"??_ ;_ @_ </c:formatCode>
                <c:ptCount val="5"/>
                <c:pt idx="0">
                  <c:v>467965427.78819275</c:v>
                </c:pt>
                <c:pt idx="1">
                  <c:v>865736041.40815639</c:v>
                </c:pt>
                <c:pt idx="2">
                  <c:v>1203841062.9851251</c:v>
                </c:pt>
                <c:pt idx="3">
                  <c:v>1491230331.3255486</c:v>
                </c:pt>
                <c:pt idx="4">
                  <c:v>1735511209.4149086</c:v>
                </c:pt>
              </c:numCache>
            </c:numRef>
          </c:val>
          <c:smooth val="0"/>
        </c:ser>
        <c:dLbls>
          <c:showLegendKey val="0"/>
          <c:showVal val="0"/>
          <c:showCatName val="0"/>
          <c:showSerName val="0"/>
          <c:showPercent val="0"/>
          <c:showBubbleSize val="0"/>
        </c:dLbls>
        <c:marker val="1"/>
        <c:smooth val="0"/>
        <c:axId val="139774592"/>
        <c:axId val="139776384"/>
      </c:lineChart>
      <c:catAx>
        <c:axId val="139774592"/>
        <c:scaling>
          <c:orientation val="minMax"/>
        </c:scaling>
        <c:delete val="0"/>
        <c:axPos val="b"/>
        <c:numFmt formatCode="0%" sourceLinked="1"/>
        <c:majorTickMark val="out"/>
        <c:minorTickMark val="none"/>
        <c:tickLblPos val="nextTo"/>
        <c:crossAx val="139776384"/>
        <c:crosses val="autoZero"/>
        <c:auto val="1"/>
        <c:lblAlgn val="ctr"/>
        <c:lblOffset val="100"/>
        <c:noMultiLvlLbl val="0"/>
      </c:catAx>
      <c:valAx>
        <c:axId val="139776384"/>
        <c:scaling>
          <c:orientation val="minMax"/>
        </c:scaling>
        <c:delete val="0"/>
        <c:axPos val="l"/>
        <c:numFmt formatCode="_ * #,##0_ ;_ * \-#,##0_ ;_ * &quot;-&quot;??_ ;_ @_ " sourceLinked="1"/>
        <c:majorTickMark val="out"/>
        <c:minorTickMark val="none"/>
        <c:tickLblPos val="nextTo"/>
        <c:crossAx val="139774592"/>
        <c:crosses val="autoZero"/>
        <c:crossBetween val="between"/>
        <c:dispUnits>
          <c:builtInUnit val="millions"/>
          <c:dispUnitsLbl>
            <c:tx>
              <c:rich>
                <a:bodyPr/>
                <a:lstStyle/>
                <a:p>
                  <a:pPr>
                    <a:defRPr/>
                  </a:pPr>
                  <a:r>
                    <a:rPr lang="en-GB"/>
                    <a:t>Savings on Treatment  (R millions)</a:t>
                  </a:r>
                </a:p>
              </c:rich>
            </c:tx>
          </c:dispUnitsLbl>
        </c:dispUnits>
      </c:valAx>
      <c:valAx>
        <c:axId val="139778304"/>
        <c:scaling>
          <c:orientation val="minMax"/>
          <c:max val="3000000000"/>
          <c:min val="0"/>
        </c:scaling>
        <c:delete val="0"/>
        <c:axPos val="r"/>
        <c:numFmt formatCode="_ * #,##0_ ;_ * \-#,##0_ ;_ * &quot;-&quot;??_ ;_ @_ " sourceLinked="1"/>
        <c:majorTickMark val="out"/>
        <c:minorTickMark val="none"/>
        <c:tickLblPos val="nextTo"/>
        <c:crossAx val="139784576"/>
        <c:crosses val="max"/>
        <c:crossBetween val="between"/>
        <c:dispUnits>
          <c:builtInUnit val="millions"/>
        </c:dispUnits>
      </c:valAx>
      <c:catAx>
        <c:axId val="139784576"/>
        <c:scaling>
          <c:orientation val="minMax"/>
        </c:scaling>
        <c:delete val="1"/>
        <c:axPos val="b"/>
        <c:numFmt formatCode="0%" sourceLinked="1"/>
        <c:majorTickMark val="out"/>
        <c:minorTickMark val="none"/>
        <c:tickLblPos val="nextTo"/>
        <c:crossAx val="139778304"/>
        <c:crosses val="autoZero"/>
        <c:auto val="1"/>
        <c:lblAlgn val="ctr"/>
        <c:lblOffset val="100"/>
        <c:noMultiLvlLbl val="0"/>
      </c:catAx>
    </c:plotArea>
    <c:legend>
      <c:legendPos val="b"/>
      <c:layout>
        <c:manualLayout>
          <c:xMode val="edge"/>
          <c:yMode val="edge"/>
          <c:x val="8.8675443725343903E-2"/>
          <c:y val="0.85201790123456789"/>
          <c:w val="0.87727360094625573"/>
          <c:h val="0.12446358024691358"/>
        </c:manualLayout>
      </c:layout>
      <c:overlay val="0"/>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Expenditures</a:t>
            </a:r>
          </a:p>
        </c:rich>
      </c:tx>
      <c:overlay val="1"/>
    </c:title>
    <c:autoTitleDeleted val="0"/>
    <c:plotArea>
      <c:layout/>
      <c:lineChart>
        <c:grouping val="standard"/>
        <c:varyColors val="0"/>
        <c:ser>
          <c:idx val="1"/>
          <c:order val="0"/>
          <c:tx>
            <c:strRef>
              <c:f>'CBA final'!$C$75</c:f>
              <c:strCache>
                <c:ptCount val="1"/>
                <c:pt idx="0">
                  <c:v>Treat Baseline</c:v>
                </c:pt>
              </c:strCache>
            </c:strRef>
          </c:tx>
          <c:spPr>
            <a:ln w="50800">
              <a:solidFill>
                <a:schemeClr val="tx1"/>
              </a:solidFill>
            </a:ln>
          </c:spPr>
          <c:marker>
            <c:symbol val="none"/>
          </c:marker>
          <c:cat>
            <c:numRef>
              <c:f>'CBA final'!$E$73:$I$73</c:f>
              <c:numCache>
                <c:formatCode>0%</c:formatCode>
                <c:ptCount val="5"/>
                <c:pt idx="0">
                  <c:v>0.7</c:v>
                </c:pt>
                <c:pt idx="1">
                  <c:v>0.75</c:v>
                </c:pt>
                <c:pt idx="2">
                  <c:v>0.8</c:v>
                </c:pt>
                <c:pt idx="3">
                  <c:v>0.85000000000000009</c:v>
                </c:pt>
                <c:pt idx="4">
                  <c:v>0.90000000000000013</c:v>
                </c:pt>
              </c:numCache>
            </c:numRef>
          </c:cat>
          <c:val>
            <c:numRef>
              <c:f>'CBA final'!$E$75:$I$75</c:f>
              <c:numCache>
                <c:formatCode>_ * #,##0_ ;_ * \-#,##0_ ;_ * "-"??_ ;_ @_ </c:formatCode>
                <c:ptCount val="5"/>
                <c:pt idx="0">
                  <c:v>3119769518.5879488</c:v>
                </c:pt>
                <c:pt idx="1">
                  <c:v>3119769518.5879488</c:v>
                </c:pt>
                <c:pt idx="2">
                  <c:v>3119769518.5879488</c:v>
                </c:pt>
                <c:pt idx="3">
                  <c:v>3119769518.5879488</c:v>
                </c:pt>
                <c:pt idx="4">
                  <c:v>3119769518.5879488</c:v>
                </c:pt>
              </c:numCache>
            </c:numRef>
          </c:val>
          <c:smooth val="0"/>
        </c:ser>
        <c:ser>
          <c:idx val="2"/>
          <c:order val="1"/>
          <c:tx>
            <c:strRef>
              <c:f>'CBA final'!$C$76</c:f>
              <c:strCache>
                <c:ptCount val="1"/>
                <c:pt idx="0">
                  <c:v>5% - Treatment savings</c:v>
                </c:pt>
              </c:strCache>
            </c:strRef>
          </c:tx>
          <c:spPr>
            <a:ln w="50800">
              <a:solidFill>
                <a:schemeClr val="bg1">
                  <a:lumMod val="50000"/>
                </a:schemeClr>
              </a:solidFill>
              <a:prstDash val="solid"/>
            </a:ln>
          </c:spPr>
          <c:marker>
            <c:symbol val="none"/>
          </c:marker>
          <c:cat>
            <c:numRef>
              <c:f>'CBA final'!$E$73:$I$73</c:f>
              <c:numCache>
                <c:formatCode>0%</c:formatCode>
                <c:ptCount val="5"/>
                <c:pt idx="0">
                  <c:v>0.7</c:v>
                </c:pt>
                <c:pt idx="1">
                  <c:v>0.75</c:v>
                </c:pt>
                <c:pt idx="2">
                  <c:v>0.8</c:v>
                </c:pt>
                <c:pt idx="3">
                  <c:v>0.85000000000000009</c:v>
                </c:pt>
                <c:pt idx="4">
                  <c:v>0.90000000000000013</c:v>
                </c:pt>
              </c:numCache>
            </c:numRef>
          </c:cat>
          <c:val>
            <c:numRef>
              <c:f>'CBA final'!$E$76:$I$76</c:f>
              <c:numCache>
                <c:formatCode>_ * #,##0_ ;_ * \-#,##0_ ;_ * "-"??_ ;_ @_ </c:formatCode>
                <c:ptCount val="5"/>
                <c:pt idx="0">
                  <c:v>3191764199.7861314</c:v>
                </c:pt>
                <c:pt idx="1">
                  <c:v>3419747356.9137125</c:v>
                </c:pt>
                <c:pt idx="2">
                  <c:v>3647730514.0412941</c:v>
                </c:pt>
                <c:pt idx="3">
                  <c:v>3875713671.1688747</c:v>
                </c:pt>
                <c:pt idx="4">
                  <c:v>4103696828.2964554</c:v>
                </c:pt>
              </c:numCache>
            </c:numRef>
          </c:val>
          <c:smooth val="0"/>
        </c:ser>
        <c:ser>
          <c:idx val="3"/>
          <c:order val="2"/>
          <c:tx>
            <c:strRef>
              <c:f>'CBA final'!$C$77</c:f>
              <c:strCache>
                <c:ptCount val="1"/>
                <c:pt idx="0">
                  <c:v>10% - Treatment savings</c:v>
                </c:pt>
              </c:strCache>
            </c:strRef>
          </c:tx>
          <c:spPr>
            <a:ln w="50800">
              <a:solidFill>
                <a:schemeClr val="bg1">
                  <a:lumMod val="75000"/>
                </a:schemeClr>
              </a:solidFill>
            </a:ln>
          </c:spPr>
          <c:marker>
            <c:symbol val="none"/>
          </c:marker>
          <c:cat>
            <c:numRef>
              <c:f>'CBA final'!$E$73:$I$73</c:f>
              <c:numCache>
                <c:formatCode>0%</c:formatCode>
                <c:ptCount val="5"/>
                <c:pt idx="0">
                  <c:v>0.7</c:v>
                </c:pt>
                <c:pt idx="1">
                  <c:v>0.75</c:v>
                </c:pt>
                <c:pt idx="2">
                  <c:v>0.8</c:v>
                </c:pt>
                <c:pt idx="3">
                  <c:v>0.85000000000000009</c:v>
                </c:pt>
                <c:pt idx="4">
                  <c:v>0.90000000000000013</c:v>
                </c:pt>
              </c:numCache>
            </c:numRef>
          </c:cat>
          <c:val>
            <c:numRef>
              <c:f>'CBA final'!$E$77:$I$77</c:f>
              <c:numCache>
                <c:formatCode>_ * #,##0_ ;_ * \-#,##0_ ;_ * "-"??_ ;_ @_ </c:formatCode>
                <c:ptCount val="5"/>
                <c:pt idx="0">
                  <c:v>3023776610.3237042</c:v>
                </c:pt>
                <c:pt idx="1">
                  <c:v>3239760653.9182539</c:v>
                </c:pt>
                <c:pt idx="2">
                  <c:v>3455744697.512805</c:v>
                </c:pt>
                <c:pt idx="3">
                  <c:v>3671728741.1073546</c:v>
                </c:pt>
                <c:pt idx="4">
                  <c:v>3887712784.7019062</c:v>
                </c:pt>
              </c:numCache>
            </c:numRef>
          </c:val>
          <c:smooth val="0"/>
        </c:ser>
        <c:ser>
          <c:idx val="4"/>
          <c:order val="3"/>
          <c:tx>
            <c:strRef>
              <c:f>'CBA final'!$C$78</c:f>
              <c:strCache>
                <c:ptCount val="1"/>
                <c:pt idx="0">
                  <c:v>15% - Treatment savings</c:v>
                </c:pt>
              </c:strCache>
            </c:strRef>
          </c:tx>
          <c:spPr>
            <a:ln w="50800">
              <a:solidFill>
                <a:schemeClr val="bg1">
                  <a:lumMod val="85000"/>
                </a:schemeClr>
              </a:solidFill>
            </a:ln>
          </c:spPr>
          <c:marker>
            <c:symbol val="none"/>
          </c:marker>
          <c:cat>
            <c:numRef>
              <c:f>'CBA final'!$E$73:$I$73</c:f>
              <c:numCache>
                <c:formatCode>0%</c:formatCode>
                <c:ptCount val="5"/>
                <c:pt idx="0">
                  <c:v>0.7</c:v>
                </c:pt>
                <c:pt idx="1">
                  <c:v>0.75</c:v>
                </c:pt>
                <c:pt idx="2">
                  <c:v>0.8</c:v>
                </c:pt>
                <c:pt idx="3">
                  <c:v>0.85000000000000009</c:v>
                </c:pt>
                <c:pt idx="4">
                  <c:v>0.90000000000000013</c:v>
                </c:pt>
              </c:numCache>
            </c:numRef>
          </c:cat>
          <c:val>
            <c:numRef>
              <c:f>'CBA final'!$E$78:$I$78</c:f>
              <c:numCache>
                <c:formatCode>_ * #,##0_ ;_ * \-#,##0_ ;_ * "-"??_ ;_ @_ </c:formatCode>
                <c:ptCount val="5"/>
                <c:pt idx="0">
                  <c:v>2855789020.8612757</c:v>
                </c:pt>
                <c:pt idx="1">
                  <c:v>3059773950.9227953</c:v>
                </c:pt>
                <c:pt idx="2">
                  <c:v>3263758880.9843159</c:v>
                </c:pt>
                <c:pt idx="3">
                  <c:v>3467743811.0458355</c:v>
                </c:pt>
                <c:pt idx="4">
                  <c:v>3671728741.1073546</c:v>
                </c:pt>
              </c:numCache>
            </c:numRef>
          </c:val>
          <c:smooth val="0"/>
        </c:ser>
        <c:ser>
          <c:idx val="0"/>
          <c:order val="4"/>
          <c:tx>
            <c:strRef>
              <c:f>'CBA final'!$C$79</c:f>
              <c:strCache>
                <c:ptCount val="1"/>
                <c:pt idx="0">
                  <c:v>Prev Baseline</c:v>
                </c:pt>
              </c:strCache>
            </c:strRef>
          </c:tx>
          <c:spPr>
            <a:ln w="50800">
              <a:solidFill>
                <a:schemeClr val="accent1"/>
              </a:solidFill>
            </a:ln>
          </c:spPr>
          <c:marker>
            <c:symbol val="none"/>
          </c:marker>
          <c:cat>
            <c:numRef>
              <c:f>'CBA final'!$E$73:$I$73</c:f>
              <c:numCache>
                <c:formatCode>0%</c:formatCode>
                <c:ptCount val="5"/>
                <c:pt idx="0">
                  <c:v>0.7</c:v>
                </c:pt>
                <c:pt idx="1">
                  <c:v>0.75</c:v>
                </c:pt>
                <c:pt idx="2">
                  <c:v>0.8</c:v>
                </c:pt>
                <c:pt idx="3">
                  <c:v>0.85000000000000009</c:v>
                </c:pt>
                <c:pt idx="4">
                  <c:v>0.90000000000000013</c:v>
                </c:pt>
              </c:numCache>
            </c:numRef>
          </c:cat>
          <c:val>
            <c:numRef>
              <c:f>'CBA final'!$E$79:$I$79</c:f>
              <c:numCache>
                <c:formatCode>_ * #,##0_ ;_ * \-#,##0_ ;_ * "-"??_ ;_ @_ </c:formatCode>
                <c:ptCount val="5"/>
                <c:pt idx="0">
                  <c:v>1076023733.9423931</c:v>
                </c:pt>
                <c:pt idx="1">
                  <c:v>1076023733.9423931</c:v>
                </c:pt>
                <c:pt idx="2">
                  <c:v>1076023733.9423931</c:v>
                </c:pt>
                <c:pt idx="3">
                  <c:v>1076023733.9423931</c:v>
                </c:pt>
                <c:pt idx="4">
                  <c:v>1076023733.9423931</c:v>
                </c:pt>
              </c:numCache>
            </c:numRef>
          </c:val>
          <c:smooth val="0"/>
        </c:ser>
        <c:ser>
          <c:idx val="5"/>
          <c:order val="5"/>
          <c:tx>
            <c:strRef>
              <c:f>'CBA final'!$C$80</c:f>
              <c:strCache>
                <c:ptCount val="1"/>
                <c:pt idx="0">
                  <c:v>Prev Exp</c:v>
                </c:pt>
              </c:strCache>
            </c:strRef>
          </c:tx>
          <c:spPr>
            <a:ln w="50800">
              <a:solidFill>
                <a:schemeClr val="accent1">
                  <a:lumMod val="60000"/>
                  <a:lumOff val="40000"/>
                </a:schemeClr>
              </a:solidFill>
            </a:ln>
          </c:spPr>
          <c:marker>
            <c:symbol val="none"/>
          </c:marker>
          <c:cat>
            <c:numRef>
              <c:f>'CBA final'!$E$73:$I$73</c:f>
              <c:numCache>
                <c:formatCode>0%</c:formatCode>
                <c:ptCount val="5"/>
                <c:pt idx="0">
                  <c:v>0.7</c:v>
                </c:pt>
                <c:pt idx="1">
                  <c:v>0.75</c:v>
                </c:pt>
                <c:pt idx="2">
                  <c:v>0.8</c:v>
                </c:pt>
                <c:pt idx="3">
                  <c:v>0.85000000000000009</c:v>
                </c:pt>
                <c:pt idx="4">
                  <c:v>0.90000000000000013</c:v>
                </c:pt>
              </c:numCache>
            </c:numRef>
          </c:cat>
          <c:val>
            <c:numRef>
              <c:f>'CBA final'!$E$80:$I$80</c:f>
              <c:numCache>
                <c:formatCode>_ * #,##0_ ;_ * \-#,##0_ ;_ * "-"??_ ;_ @_ </c:formatCode>
                <c:ptCount val="5"/>
                <c:pt idx="0">
                  <c:v>1158794790.3995001</c:v>
                </c:pt>
                <c:pt idx="1">
                  <c:v>1241565846.8566074</c:v>
                </c:pt>
                <c:pt idx="2">
                  <c:v>1324336903.3137147</c:v>
                </c:pt>
                <c:pt idx="3">
                  <c:v>1407107959.7708216</c:v>
                </c:pt>
                <c:pt idx="4">
                  <c:v>1489879016.2279291</c:v>
                </c:pt>
              </c:numCache>
            </c:numRef>
          </c:val>
          <c:smooth val="0"/>
        </c:ser>
        <c:dLbls>
          <c:showLegendKey val="0"/>
          <c:showVal val="0"/>
          <c:showCatName val="0"/>
          <c:showSerName val="0"/>
          <c:showPercent val="0"/>
          <c:showBubbleSize val="0"/>
        </c:dLbls>
        <c:marker val="1"/>
        <c:smooth val="0"/>
        <c:axId val="141199232"/>
        <c:axId val="141200768"/>
      </c:lineChart>
      <c:catAx>
        <c:axId val="141199232"/>
        <c:scaling>
          <c:orientation val="minMax"/>
        </c:scaling>
        <c:delete val="0"/>
        <c:axPos val="b"/>
        <c:numFmt formatCode="0%" sourceLinked="1"/>
        <c:majorTickMark val="out"/>
        <c:minorTickMark val="none"/>
        <c:tickLblPos val="nextTo"/>
        <c:crossAx val="141200768"/>
        <c:crosses val="autoZero"/>
        <c:auto val="1"/>
        <c:lblAlgn val="ctr"/>
        <c:lblOffset val="100"/>
        <c:noMultiLvlLbl val="0"/>
      </c:catAx>
      <c:valAx>
        <c:axId val="141200768"/>
        <c:scaling>
          <c:orientation val="minMax"/>
        </c:scaling>
        <c:delete val="0"/>
        <c:axPos val="l"/>
        <c:majorGridlines>
          <c:spPr>
            <a:ln>
              <a:noFill/>
            </a:ln>
          </c:spPr>
        </c:majorGridlines>
        <c:numFmt formatCode="_ * #,##0_ ;_ * \-#,##0_ ;_ * &quot;-&quot;??_ ;_ @_ " sourceLinked="1"/>
        <c:majorTickMark val="out"/>
        <c:minorTickMark val="none"/>
        <c:tickLblPos val="nextTo"/>
        <c:crossAx val="141199232"/>
        <c:crosses val="autoZero"/>
        <c:crossBetween val="between"/>
        <c:dispUnits>
          <c:builtInUnit val="millions"/>
          <c:dispUnitsLbl/>
        </c:dispUnits>
      </c:valAx>
    </c:plotArea>
    <c:legend>
      <c:legendPos val="b"/>
      <c:layout>
        <c:manualLayout>
          <c:xMode val="edge"/>
          <c:yMode val="edge"/>
          <c:x val="3.9301620370370376E-2"/>
          <c:y val="0.86010524691358026"/>
          <c:w val="0.94197546296296297"/>
          <c:h val="0.11637623456790122"/>
        </c:manualLayout>
      </c:layout>
      <c:overlay val="0"/>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3"/>
          <c:tx>
            <c:strRef>
              <c:f>'CBA final'!$C$68</c:f>
              <c:strCache>
                <c:ptCount val="1"/>
                <c:pt idx="0">
                  <c:v>Added Preventative Spend</c:v>
                </c:pt>
              </c:strCache>
            </c:strRef>
          </c:tx>
          <c:spPr>
            <a:solidFill>
              <a:schemeClr val="tx2">
                <a:lumMod val="40000"/>
                <a:lumOff val="60000"/>
              </a:schemeClr>
            </a:solidFill>
          </c:spPr>
          <c:invertIfNegative val="0"/>
          <c:cat>
            <c:numRef>
              <c:f>'CBA final'!$D$67:$I$67</c:f>
              <c:numCache>
                <c:formatCode>0%</c:formatCode>
                <c:ptCount val="6"/>
                <c:pt idx="0">
                  <c:v>0.65</c:v>
                </c:pt>
                <c:pt idx="1">
                  <c:v>0.7</c:v>
                </c:pt>
                <c:pt idx="2">
                  <c:v>0.75</c:v>
                </c:pt>
                <c:pt idx="3">
                  <c:v>0.8</c:v>
                </c:pt>
                <c:pt idx="4">
                  <c:v>0.85000000000000009</c:v>
                </c:pt>
                <c:pt idx="5">
                  <c:v>0.90000000000000013</c:v>
                </c:pt>
              </c:numCache>
            </c:numRef>
          </c:cat>
          <c:val>
            <c:numRef>
              <c:f>'CBA final'!$D$68:$I$68</c:f>
              <c:numCache>
                <c:formatCode>_ * #,##0_ ;_ * \-#,##0_ ;_ * "-"??_ ;_ @_ </c:formatCode>
                <c:ptCount val="6"/>
                <c:pt idx="0">
                  <c:v>82771056.457107306</c:v>
                </c:pt>
                <c:pt idx="1">
                  <c:v>165542112.91421437</c:v>
                </c:pt>
                <c:pt idx="2">
                  <c:v>248313169.37132168</c:v>
                </c:pt>
                <c:pt idx="3">
                  <c:v>331084225.82842898</c:v>
                </c:pt>
                <c:pt idx="4">
                  <c:v>413855282.28553581</c:v>
                </c:pt>
                <c:pt idx="5">
                  <c:v>496626338.74264336</c:v>
                </c:pt>
              </c:numCache>
            </c:numRef>
          </c:val>
        </c:ser>
        <c:dLbls>
          <c:showLegendKey val="0"/>
          <c:showVal val="0"/>
          <c:showCatName val="0"/>
          <c:showSerName val="0"/>
          <c:showPercent val="0"/>
          <c:showBubbleSize val="0"/>
        </c:dLbls>
        <c:gapWidth val="150"/>
        <c:axId val="141268096"/>
        <c:axId val="141253632"/>
      </c:barChart>
      <c:lineChart>
        <c:grouping val="standard"/>
        <c:varyColors val="0"/>
        <c:ser>
          <c:idx val="1"/>
          <c:order val="0"/>
          <c:tx>
            <c:strRef>
              <c:f>'CBA final'!$C$69</c:f>
              <c:strCache>
                <c:ptCount val="1"/>
                <c:pt idx="0">
                  <c:v>5% - Treatment savings</c:v>
                </c:pt>
              </c:strCache>
            </c:strRef>
          </c:tx>
          <c:spPr>
            <a:ln w="50800">
              <a:solidFill>
                <a:schemeClr val="bg1">
                  <a:lumMod val="50000"/>
                </a:schemeClr>
              </a:solidFill>
            </a:ln>
          </c:spPr>
          <c:marker>
            <c:symbol val="none"/>
          </c:marker>
          <c:cat>
            <c:numRef>
              <c:f>'CBA final'!$D$67:$I$67</c:f>
              <c:numCache>
                <c:formatCode>0%</c:formatCode>
                <c:ptCount val="6"/>
                <c:pt idx="0">
                  <c:v>0.65</c:v>
                </c:pt>
                <c:pt idx="1">
                  <c:v>0.7</c:v>
                </c:pt>
                <c:pt idx="2">
                  <c:v>0.75</c:v>
                </c:pt>
                <c:pt idx="3">
                  <c:v>0.8</c:v>
                </c:pt>
                <c:pt idx="4">
                  <c:v>0.85000000000000009</c:v>
                </c:pt>
                <c:pt idx="5">
                  <c:v>0.90000000000000013</c:v>
                </c:pt>
              </c:numCache>
            </c:numRef>
          </c:cat>
          <c:val>
            <c:numRef>
              <c:f>'CBA final'!$D$69:$I$69</c:f>
              <c:numCache>
                <c:formatCode>_ * #,##0_ ;_ * \-#,##0_ ;_ * "-"??_ ;_ @_ </c:formatCode>
                <c:ptCount val="6"/>
                <c:pt idx="0">
                  <c:v>155988475.92939758</c:v>
                </c:pt>
                <c:pt idx="1">
                  <c:v>167987589.46242857</c:v>
                </c:pt>
                <c:pt idx="2">
                  <c:v>179986702.9954586</c:v>
                </c:pt>
                <c:pt idx="3">
                  <c:v>191985816.52848911</c:v>
                </c:pt>
                <c:pt idx="4">
                  <c:v>203984930.06151962</c:v>
                </c:pt>
                <c:pt idx="5">
                  <c:v>215984043.59455013</c:v>
                </c:pt>
              </c:numCache>
            </c:numRef>
          </c:val>
          <c:smooth val="0"/>
        </c:ser>
        <c:ser>
          <c:idx val="2"/>
          <c:order val="1"/>
          <c:tx>
            <c:strRef>
              <c:f>'CBA final'!$C$70</c:f>
              <c:strCache>
                <c:ptCount val="1"/>
                <c:pt idx="0">
                  <c:v>10% - Treatment savings</c:v>
                </c:pt>
              </c:strCache>
            </c:strRef>
          </c:tx>
          <c:spPr>
            <a:ln w="50800">
              <a:solidFill>
                <a:schemeClr val="bg1">
                  <a:lumMod val="65000"/>
                </a:schemeClr>
              </a:solidFill>
            </a:ln>
          </c:spPr>
          <c:marker>
            <c:symbol val="none"/>
          </c:marker>
          <c:cat>
            <c:numRef>
              <c:f>'CBA final'!$D$67:$I$67</c:f>
              <c:numCache>
                <c:formatCode>0%</c:formatCode>
                <c:ptCount val="6"/>
                <c:pt idx="0">
                  <c:v>0.65</c:v>
                </c:pt>
                <c:pt idx="1">
                  <c:v>0.7</c:v>
                </c:pt>
                <c:pt idx="2">
                  <c:v>0.75</c:v>
                </c:pt>
                <c:pt idx="3">
                  <c:v>0.8</c:v>
                </c:pt>
                <c:pt idx="4">
                  <c:v>0.85000000000000009</c:v>
                </c:pt>
                <c:pt idx="5">
                  <c:v>0.90000000000000013</c:v>
                </c:pt>
              </c:numCache>
            </c:numRef>
          </c:cat>
          <c:val>
            <c:numRef>
              <c:f>'CBA final'!$D$70:$I$70</c:f>
              <c:numCache>
                <c:formatCode>_ * #,##0_ ;_ * \-#,##0_ ;_ * "-"??_ ;_ @_ </c:formatCode>
                <c:ptCount val="6"/>
                <c:pt idx="0">
                  <c:v>311976951.85879469</c:v>
                </c:pt>
                <c:pt idx="1">
                  <c:v>335975178.92485571</c:v>
                </c:pt>
                <c:pt idx="2">
                  <c:v>359973405.99091721</c:v>
                </c:pt>
                <c:pt idx="3">
                  <c:v>383971633.05697823</c:v>
                </c:pt>
                <c:pt idx="4">
                  <c:v>407969860.12303972</c:v>
                </c:pt>
                <c:pt idx="5">
                  <c:v>431968087.18909931</c:v>
                </c:pt>
              </c:numCache>
            </c:numRef>
          </c:val>
          <c:smooth val="0"/>
        </c:ser>
        <c:ser>
          <c:idx val="3"/>
          <c:order val="2"/>
          <c:tx>
            <c:strRef>
              <c:f>'CBA final'!$C$71</c:f>
              <c:strCache>
                <c:ptCount val="1"/>
                <c:pt idx="0">
                  <c:v>15% - Treatment savings</c:v>
                </c:pt>
              </c:strCache>
            </c:strRef>
          </c:tx>
          <c:spPr>
            <a:ln w="50800">
              <a:solidFill>
                <a:schemeClr val="bg1">
                  <a:lumMod val="85000"/>
                </a:schemeClr>
              </a:solidFill>
            </a:ln>
          </c:spPr>
          <c:marker>
            <c:symbol val="none"/>
          </c:marker>
          <c:cat>
            <c:numRef>
              <c:f>'CBA final'!$D$67:$I$67</c:f>
              <c:numCache>
                <c:formatCode>0%</c:formatCode>
                <c:ptCount val="6"/>
                <c:pt idx="0">
                  <c:v>0.65</c:v>
                </c:pt>
                <c:pt idx="1">
                  <c:v>0.7</c:v>
                </c:pt>
                <c:pt idx="2">
                  <c:v>0.75</c:v>
                </c:pt>
                <c:pt idx="3">
                  <c:v>0.8</c:v>
                </c:pt>
                <c:pt idx="4">
                  <c:v>0.85000000000000009</c:v>
                </c:pt>
                <c:pt idx="5">
                  <c:v>0.90000000000000013</c:v>
                </c:pt>
              </c:numCache>
            </c:numRef>
          </c:cat>
          <c:val>
            <c:numRef>
              <c:f>'CBA final'!$D$71:$I$71</c:f>
              <c:numCache>
                <c:formatCode>_ * #,##0_ ;_ * \-#,##0_ ;_ * "-"??_ ;_ @_ </c:formatCode>
                <c:ptCount val="6"/>
                <c:pt idx="0">
                  <c:v>467965427.78819275</c:v>
                </c:pt>
                <c:pt idx="1">
                  <c:v>503962768.38728428</c:v>
                </c:pt>
                <c:pt idx="2">
                  <c:v>539960108.98637581</c:v>
                </c:pt>
                <c:pt idx="3">
                  <c:v>575957449.58546734</c:v>
                </c:pt>
                <c:pt idx="4">
                  <c:v>611954790.18455887</c:v>
                </c:pt>
                <c:pt idx="5">
                  <c:v>647952130.78365088</c:v>
                </c:pt>
              </c:numCache>
            </c:numRef>
          </c:val>
          <c:smooth val="0"/>
        </c:ser>
        <c:dLbls>
          <c:showLegendKey val="0"/>
          <c:showVal val="0"/>
          <c:showCatName val="0"/>
          <c:showSerName val="0"/>
          <c:showPercent val="0"/>
          <c:showBubbleSize val="0"/>
        </c:dLbls>
        <c:marker val="1"/>
        <c:smooth val="0"/>
        <c:axId val="141249920"/>
        <c:axId val="141251712"/>
      </c:lineChart>
      <c:catAx>
        <c:axId val="141249920"/>
        <c:scaling>
          <c:orientation val="minMax"/>
        </c:scaling>
        <c:delete val="0"/>
        <c:axPos val="b"/>
        <c:numFmt formatCode="0%" sourceLinked="1"/>
        <c:majorTickMark val="out"/>
        <c:minorTickMark val="none"/>
        <c:tickLblPos val="nextTo"/>
        <c:crossAx val="141251712"/>
        <c:crosses val="autoZero"/>
        <c:auto val="1"/>
        <c:lblAlgn val="ctr"/>
        <c:lblOffset val="100"/>
        <c:noMultiLvlLbl val="0"/>
      </c:catAx>
      <c:valAx>
        <c:axId val="141251712"/>
        <c:scaling>
          <c:orientation val="minMax"/>
        </c:scaling>
        <c:delete val="0"/>
        <c:axPos val="l"/>
        <c:numFmt formatCode="_ * #,##0_ ;_ * \-#,##0_ ;_ * &quot;-&quot;??_ ;_ @_ " sourceLinked="1"/>
        <c:majorTickMark val="out"/>
        <c:minorTickMark val="none"/>
        <c:tickLblPos val="nextTo"/>
        <c:crossAx val="141249920"/>
        <c:crosses val="autoZero"/>
        <c:crossBetween val="between"/>
        <c:dispUnits>
          <c:builtInUnit val="millions"/>
          <c:dispUnitsLbl/>
        </c:dispUnits>
      </c:valAx>
      <c:valAx>
        <c:axId val="141253632"/>
        <c:scaling>
          <c:orientation val="minMax"/>
          <c:max val="700000000"/>
          <c:min val="0"/>
        </c:scaling>
        <c:delete val="0"/>
        <c:axPos val="r"/>
        <c:numFmt formatCode="_ * #,##0_ ;_ * \-#,##0_ ;_ * &quot;-&quot;??_ ;_ @_ " sourceLinked="1"/>
        <c:majorTickMark val="out"/>
        <c:minorTickMark val="none"/>
        <c:tickLblPos val="nextTo"/>
        <c:crossAx val="141268096"/>
        <c:crosses val="max"/>
        <c:crossBetween val="between"/>
        <c:dispUnits>
          <c:builtInUnit val="millions"/>
        </c:dispUnits>
      </c:valAx>
      <c:catAx>
        <c:axId val="141268096"/>
        <c:scaling>
          <c:orientation val="minMax"/>
        </c:scaling>
        <c:delete val="1"/>
        <c:axPos val="b"/>
        <c:numFmt formatCode="0%" sourceLinked="1"/>
        <c:majorTickMark val="out"/>
        <c:minorTickMark val="none"/>
        <c:tickLblPos val="nextTo"/>
        <c:crossAx val="141253632"/>
        <c:crosses val="autoZero"/>
        <c:auto val="1"/>
        <c:lblAlgn val="ctr"/>
        <c:lblOffset val="100"/>
        <c:noMultiLvlLbl val="0"/>
      </c:catAx>
    </c:plotArea>
    <c:legend>
      <c:legendPos val="b"/>
      <c:overlay val="0"/>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Expenditure</a:t>
            </a:r>
          </a:p>
        </c:rich>
      </c:tx>
      <c:layout>
        <c:manualLayout>
          <c:xMode val="edge"/>
          <c:yMode val="edge"/>
          <c:x val="0.44358862144420136"/>
          <c:y val="3.2407407407407406E-2"/>
        </c:manualLayout>
      </c:layout>
      <c:overlay val="1"/>
    </c:title>
    <c:autoTitleDeleted val="0"/>
    <c:plotArea>
      <c:layout>
        <c:manualLayout>
          <c:layoutTarget val="inner"/>
          <c:xMode val="edge"/>
          <c:yMode val="edge"/>
          <c:x val="0.18684416250288668"/>
          <c:y val="1.9855991199407223E-2"/>
          <c:w val="0.78106238908320269"/>
          <c:h val="0.76914519692018823"/>
        </c:manualLayout>
      </c:layout>
      <c:lineChart>
        <c:grouping val="standard"/>
        <c:varyColors val="0"/>
        <c:ser>
          <c:idx val="0"/>
          <c:order val="0"/>
          <c:tx>
            <c:strRef>
              <c:f>'CBA final'!$C$129</c:f>
              <c:strCache>
                <c:ptCount val="1"/>
                <c:pt idx="0">
                  <c:v>Preventative Expenditure</c:v>
                </c:pt>
              </c:strCache>
            </c:strRef>
          </c:tx>
          <c:spPr>
            <a:ln w="50800">
              <a:solidFill>
                <a:schemeClr val="accent1"/>
              </a:solidFill>
            </a:ln>
          </c:spPr>
          <c:marker>
            <c:symbol val="none"/>
          </c:marker>
          <c:cat>
            <c:numRef>
              <c:f>'CBA final'!$D$128:$J$128</c:f>
              <c:numCache>
                <c:formatCode>0%</c:formatCode>
                <c:ptCount val="7"/>
                <c:pt idx="0" formatCode="General">
                  <c:v>0</c:v>
                </c:pt>
                <c:pt idx="1">
                  <c:v>0.05</c:v>
                </c:pt>
                <c:pt idx="2">
                  <c:v>0.1</c:v>
                </c:pt>
                <c:pt idx="3">
                  <c:v>0.15000000000000002</c:v>
                </c:pt>
                <c:pt idx="4">
                  <c:v>0.2</c:v>
                </c:pt>
                <c:pt idx="5">
                  <c:v>0.25</c:v>
                </c:pt>
                <c:pt idx="6">
                  <c:v>0.3</c:v>
                </c:pt>
              </c:numCache>
            </c:numRef>
          </c:cat>
          <c:val>
            <c:numRef>
              <c:f>'CBA final'!$D$129:$J$129</c:f>
              <c:numCache>
                <c:formatCode>_ * #,##0_ ;_ * \-#,##0_ ;_ * "-"??_ ;_ @_ </c:formatCode>
                <c:ptCount val="7"/>
                <c:pt idx="0">
                  <c:v>1158794790.3995001</c:v>
                </c:pt>
                <c:pt idx="1">
                  <c:v>1216734529.9194751</c:v>
                </c:pt>
                <c:pt idx="2">
                  <c:v>1274674269.4394503</c:v>
                </c:pt>
                <c:pt idx="3">
                  <c:v>1332614008.959425</c:v>
                </c:pt>
                <c:pt idx="4">
                  <c:v>1390553748.4794002</c:v>
                </c:pt>
                <c:pt idx="5">
                  <c:v>1448493487.9993751</c:v>
                </c:pt>
                <c:pt idx="6">
                  <c:v>1506433227.5193503</c:v>
                </c:pt>
              </c:numCache>
            </c:numRef>
          </c:val>
          <c:smooth val="0"/>
        </c:ser>
        <c:ser>
          <c:idx val="1"/>
          <c:order val="1"/>
          <c:tx>
            <c:strRef>
              <c:f>'CBA final'!$C$130</c:f>
              <c:strCache>
                <c:ptCount val="1"/>
                <c:pt idx="0">
                  <c:v>5% savings</c:v>
                </c:pt>
              </c:strCache>
            </c:strRef>
          </c:tx>
          <c:spPr>
            <a:ln w="50800">
              <a:solidFill>
                <a:schemeClr val="tx1"/>
              </a:solidFill>
              <a:prstDash val="sysDot"/>
            </a:ln>
          </c:spPr>
          <c:marker>
            <c:symbol val="none"/>
          </c:marker>
          <c:cat>
            <c:numRef>
              <c:f>'CBA final'!$D$128:$J$128</c:f>
              <c:numCache>
                <c:formatCode>0%</c:formatCode>
                <c:ptCount val="7"/>
                <c:pt idx="0" formatCode="General">
                  <c:v>0</c:v>
                </c:pt>
                <c:pt idx="1">
                  <c:v>0.05</c:v>
                </c:pt>
                <c:pt idx="2">
                  <c:v>0.1</c:v>
                </c:pt>
                <c:pt idx="3">
                  <c:v>0.15000000000000002</c:v>
                </c:pt>
                <c:pt idx="4">
                  <c:v>0.2</c:v>
                </c:pt>
                <c:pt idx="5">
                  <c:v>0.25</c:v>
                </c:pt>
                <c:pt idx="6">
                  <c:v>0.3</c:v>
                </c:pt>
              </c:numCache>
            </c:numRef>
          </c:cat>
          <c:val>
            <c:numRef>
              <c:f>'CBA final'!$D$130:$J$130</c:f>
              <c:numCache>
                <c:formatCode>_ * #,##0_ ;_ * \-#,##0_ ;_ * "-"??_ ;_ @_ </c:formatCode>
                <c:ptCount val="7"/>
                <c:pt idx="0">
                  <c:v>3359751789.24856</c:v>
                </c:pt>
                <c:pt idx="1">
                  <c:v>3191764199.7861314</c:v>
                </c:pt>
                <c:pt idx="2">
                  <c:v>3023776610.3237042</c:v>
                </c:pt>
                <c:pt idx="3">
                  <c:v>2855789020.8612757</c:v>
                </c:pt>
                <c:pt idx="4">
                  <c:v>2687801431.3988476</c:v>
                </c:pt>
                <c:pt idx="5">
                  <c:v>2519813841.93642</c:v>
                </c:pt>
                <c:pt idx="6">
                  <c:v>2351826252.4739914</c:v>
                </c:pt>
              </c:numCache>
            </c:numRef>
          </c:val>
          <c:smooth val="0"/>
        </c:ser>
        <c:ser>
          <c:idx val="2"/>
          <c:order val="2"/>
          <c:tx>
            <c:strRef>
              <c:f>'CBA final'!$C$131</c:f>
              <c:strCache>
                <c:ptCount val="1"/>
                <c:pt idx="0">
                  <c:v>10% savings</c:v>
                </c:pt>
              </c:strCache>
            </c:strRef>
          </c:tx>
          <c:spPr>
            <a:ln w="50800">
              <a:solidFill>
                <a:schemeClr val="bg1">
                  <a:lumMod val="65000"/>
                </a:schemeClr>
              </a:solidFill>
              <a:prstDash val="sysDot"/>
            </a:ln>
          </c:spPr>
          <c:marker>
            <c:symbol val="none"/>
          </c:marker>
          <c:cat>
            <c:numRef>
              <c:f>'CBA final'!$D$128:$J$128</c:f>
              <c:numCache>
                <c:formatCode>0%</c:formatCode>
                <c:ptCount val="7"/>
                <c:pt idx="0" formatCode="General">
                  <c:v>0</c:v>
                </c:pt>
                <c:pt idx="1">
                  <c:v>0.05</c:v>
                </c:pt>
                <c:pt idx="2">
                  <c:v>0.1</c:v>
                </c:pt>
                <c:pt idx="3">
                  <c:v>0.15000000000000002</c:v>
                </c:pt>
                <c:pt idx="4">
                  <c:v>0.2</c:v>
                </c:pt>
                <c:pt idx="5">
                  <c:v>0.25</c:v>
                </c:pt>
                <c:pt idx="6">
                  <c:v>0.3</c:v>
                </c:pt>
              </c:numCache>
            </c:numRef>
          </c:cat>
          <c:val>
            <c:numRef>
              <c:f>'CBA final'!$D$131:$J$131</c:f>
              <c:numCache>
                <c:formatCode>_ * #,##0_ ;_ * \-#,##0_ ;_ * "-"??_ ;_ @_ </c:formatCode>
                <c:ptCount val="7"/>
                <c:pt idx="0">
                  <c:v>3359751789.24856</c:v>
                </c:pt>
                <c:pt idx="1">
                  <c:v>3023776610.3237042</c:v>
                </c:pt>
                <c:pt idx="2">
                  <c:v>2687801431.3988476</c:v>
                </c:pt>
                <c:pt idx="3">
                  <c:v>2351826252.4739914</c:v>
                </c:pt>
                <c:pt idx="4">
                  <c:v>2015851073.5491362</c:v>
                </c:pt>
                <c:pt idx="5">
                  <c:v>1679875894.62428</c:v>
                </c:pt>
                <c:pt idx="6">
                  <c:v>1343900715.6994238</c:v>
                </c:pt>
              </c:numCache>
            </c:numRef>
          </c:val>
          <c:smooth val="0"/>
        </c:ser>
        <c:ser>
          <c:idx val="3"/>
          <c:order val="3"/>
          <c:tx>
            <c:strRef>
              <c:f>'CBA final'!$C$132</c:f>
              <c:strCache>
                <c:ptCount val="1"/>
                <c:pt idx="0">
                  <c:v>15% savings</c:v>
                </c:pt>
              </c:strCache>
            </c:strRef>
          </c:tx>
          <c:spPr>
            <a:ln w="50800">
              <a:solidFill>
                <a:schemeClr val="bg1">
                  <a:lumMod val="75000"/>
                </a:schemeClr>
              </a:solidFill>
              <a:prstDash val="sysDot"/>
            </a:ln>
          </c:spPr>
          <c:marker>
            <c:symbol val="none"/>
          </c:marker>
          <c:cat>
            <c:numRef>
              <c:f>'CBA final'!$D$128:$J$128</c:f>
              <c:numCache>
                <c:formatCode>0%</c:formatCode>
                <c:ptCount val="7"/>
                <c:pt idx="0" formatCode="General">
                  <c:v>0</c:v>
                </c:pt>
                <c:pt idx="1">
                  <c:v>0.05</c:v>
                </c:pt>
                <c:pt idx="2">
                  <c:v>0.1</c:v>
                </c:pt>
                <c:pt idx="3">
                  <c:v>0.15000000000000002</c:v>
                </c:pt>
                <c:pt idx="4">
                  <c:v>0.2</c:v>
                </c:pt>
                <c:pt idx="5">
                  <c:v>0.25</c:v>
                </c:pt>
                <c:pt idx="6">
                  <c:v>0.3</c:v>
                </c:pt>
              </c:numCache>
            </c:numRef>
          </c:cat>
          <c:val>
            <c:numRef>
              <c:f>'CBA final'!$D$132:$J$132</c:f>
              <c:numCache>
                <c:formatCode>_ * #,##0_ ;_ * \-#,##0_ ;_ * "-"??_ ;_ @_ </c:formatCode>
                <c:ptCount val="7"/>
                <c:pt idx="0">
                  <c:v>3359751789.24856</c:v>
                </c:pt>
                <c:pt idx="1">
                  <c:v>2855789020.8612757</c:v>
                </c:pt>
                <c:pt idx="2">
                  <c:v>2351826252.4739914</c:v>
                </c:pt>
                <c:pt idx="3">
                  <c:v>1847863484.0867081</c:v>
                </c:pt>
                <c:pt idx="4">
                  <c:v>1343900715.6994238</c:v>
                </c:pt>
                <c:pt idx="5">
                  <c:v>839937947.31213999</c:v>
                </c:pt>
                <c:pt idx="6">
                  <c:v>335975178.92485589</c:v>
                </c:pt>
              </c:numCache>
            </c:numRef>
          </c:val>
          <c:smooth val="0"/>
        </c:ser>
        <c:dLbls>
          <c:showLegendKey val="0"/>
          <c:showVal val="0"/>
          <c:showCatName val="0"/>
          <c:showSerName val="0"/>
          <c:showPercent val="0"/>
          <c:showBubbleSize val="0"/>
        </c:dLbls>
        <c:marker val="1"/>
        <c:smooth val="0"/>
        <c:axId val="141372416"/>
        <c:axId val="141374592"/>
      </c:lineChart>
      <c:catAx>
        <c:axId val="141372416"/>
        <c:scaling>
          <c:orientation val="minMax"/>
        </c:scaling>
        <c:delete val="0"/>
        <c:axPos val="b"/>
        <c:title>
          <c:tx>
            <c:rich>
              <a:bodyPr/>
              <a:lstStyle/>
              <a:p>
                <a:pPr>
                  <a:defRPr/>
                </a:pPr>
                <a:r>
                  <a:rPr lang="en-US"/>
                  <a:t>Increasing spending on preventative interventions</a:t>
                </a:r>
              </a:p>
            </c:rich>
          </c:tx>
          <c:layout>
            <c:manualLayout>
              <c:xMode val="edge"/>
              <c:yMode val="edge"/>
              <c:x val="0.29430240334237329"/>
              <c:y val="0.84220713247681889"/>
            </c:manualLayout>
          </c:layout>
          <c:overlay val="0"/>
        </c:title>
        <c:numFmt formatCode="General" sourceLinked="1"/>
        <c:majorTickMark val="out"/>
        <c:minorTickMark val="none"/>
        <c:tickLblPos val="nextTo"/>
        <c:crossAx val="141374592"/>
        <c:crosses val="autoZero"/>
        <c:auto val="1"/>
        <c:lblAlgn val="ctr"/>
        <c:lblOffset val="100"/>
        <c:noMultiLvlLbl val="0"/>
      </c:catAx>
      <c:valAx>
        <c:axId val="141374592"/>
        <c:scaling>
          <c:orientation val="minMax"/>
          <c:max val="3500000000"/>
        </c:scaling>
        <c:delete val="0"/>
        <c:axPos val="l"/>
        <c:numFmt formatCode="_ * #,##0_ ;_ * \-#,##0_ ;_ * &quot;-&quot;??_ ;_ @_ " sourceLinked="1"/>
        <c:majorTickMark val="out"/>
        <c:minorTickMark val="none"/>
        <c:tickLblPos val="nextTo"/>
        <c:crossAx val="141372416"/>
        <c:crosses val="autoZero"/>
        <c:crossBetween val="between"/>
        <c:dispUnits>
          <c:builtInUnit val="millions"/>
          <c:dispUnitsLbl>
            <c:tx>
              <c:rich>
                <a:bodyPr/>
                <a:lstStyle/>
                <a:p>
                  <a:pPr>
                    <a:defRPr/>
                  </a:pPr>
                  <a:r>
                    <a:rPr lang="en-GB"/>
                    <a:t>Rand millions</a:t>
                  </a:r>
                </a:p>
              </c:rich>
            </c:tx>
          </c:dispUnitsLbl>
        </c:dispUnits>
      </c:valAx>
    </c:plotArea>
    <c:legend>
      <c:legendPos val="b"/>
      <c:layout>
        <c:manualLayout>
          <c:xMode val="edge"/>
          <c:yMode val="edge"/>
          <c:x val="0.11249997949475438"/>
          <c:y val="0.91743929065006269"/>
          <c:w val="0.86759243445748857"/>
          <c:h val="5.9202931024760569E-2"/>
        </c:manualLayout>
      </c:layout>
      <c:overlay val="0"/>
    </c:legend>
    <c:plotVisOnly val="1"/>
    <c:dispBlanksAs val="gap"/>
    <c:showDLblsOverMax val="0"/>
  </c:chart>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2.0391045514698301E-2"/>
          <c:y val="0.129201183997988"/>
          <c:w val="0.41232119649284199"/>
          <c:h val="0.71120507052878101"/>
        </c:manualLayout>
      </c:layout>
      <c:pieChart>
        <c:varyColors val="1"/>
        <c:ser>
          <c:idx val="0"/>
          <c:order val="0"/>
          <c:dLbls>
            <c:spPr>
              <a:noFill/>
              <a:ln>
                <a:noFill/>
              </a:ln>
              <a:effectLst/>
            </c:spPr>
            <c:dLblPos val="ctr"/>
            <c:showLegendKey val="0"/>
            <c:showVal val="1"/>
            <c:showCatName val="0"/>
            <c:showSerName val="0"/>
            <c:showPercent val="0"/>
            <c:showBubbleSize val="0"/>
            <c:showLeaderLines val="1"/>
            <c:extLst>
              <c:ext xmlns:c15="http://schemas.microsoft.com/office/drawing/2012/chart" uri="{CE6537A1-D6FC-4f65-9D91-7224C49458BB}"/>
            </c:extLst>
          </c:dLbls>
          <c:cat>
            <c:strRef>
              <c:f>'Budget Choices Workings'!$B$97:$B$98</c:f>
              <c:strCache>
                <c:ptCount val="2"/>
                <c:pt idx="0">
                  <c:v>Savings achieved</c:v>
                </c:pt>
                <c:pt idx="1">
                  <c:v>Savings still required</c:v>
                </c:pt>
              </c:strCache>
            </c:strRef>
          </c:cat>
          <c:val>
            <c:numRef>
              <c:f>'Budget Choices Workings'!$C$97:$C$98</c:f>
              <c:numCache>
                <c:formatCode>0%</c:formatCode>
                <c:ptCount val="2"/>
                <c:pt idx="0">
                  <c:v>0</c:v>
                </c:pt>
                <c:pt idx="1">
                  <c:v>1</c:v>
                </c:pt>
              </c:numCache>
            </c:numRef>
          </c:val>
        </c:ser>
        <c:dLbls>
          <c:dLblPos val="ctr"/>
          <c:showLegendKey val="0"/>
          <c:showVal val="1"/>
          <c:showCatName val="0"/>
          <c:showSerName val="0"/>
          <c:showPercent val="0"/>
          <c:showBubbleSize val="0"/>
          <c:showLeaderLines val="1"/>
        </c:dLbls>
        <c:firstSliceAng val="0"/>
      </c:pieChart>
    </c:plotArea>
    <c:legend>
      <c:legendPos val="r"/>
      <c:layout>
        <c:manualLayout>
          <c:xMode val="edge"/>
          <c:yMode val="edge"/>
          <c:x val="0.49384802165369601"/>
          <c:y val="0.20893574105100299"/>
          <c:w val="0.46426614081320799"/>
          <c:h val="0.55435932405795896"/>
        </c:manualLayout>
      </c:layout>
      <c:overlay val="0"/>
    </c:legend>
    <c:plotVisOnly val="1"/>
    <c:dispBlanksAs val="gap"/>
    <c:showDLblsOverMax val="0"/>
  </c:chart>
  <c:spPr>
    <a:solidFill>
      <a:schemeClr val="accent2">
        <a:lumMod val="20000"/>
        <a:lumOff val="80000"/>
        <a:alpha val="0"/>
      </a:schemeClr>
    </a:solidFill>
    <a:ln>
      <a:noFill/>
    </a:ln>
  </c:spPr>
  <c:printSettings>
    <c:headerFooter/>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Costs</a:t>
            </a:r>
            <a:r>
              <a:rPr lang="en-US" baseline="0"/>
              <a:t> and savings </a:t>
            </a:r>
            <a:endParaRPr lang="en-US"/>
          </a:p>
        </c:rich>
      </c:tx>
      <c:overlay val="1"/>
    </c:title>
    <c:autoTitleDeleted val="0"/>
    <c:plotArea>
      <c:layout/>
      <c:barChart>
        <c:barDir val="col"/>
        <c:grouping val="clustered"/>
        <c:varyColors val="0"/>
        <c:ser>
          <c:idx val="0"/>
          <c:order val="0"/>
          <c:tx>
            <c:strRef>
              <c:f>'CBA final'!$C$134</c:f>
              <c:strCache>
                <c:ptCount val="1"/>
                <c:pt idx="0">
                  <c:v>Preventative Expenditure</c:v>
                </c:pt>
              </c:strCache>
            </c:strRef>
          </c:tx>
          <c:spPr>
            <a:ln w="50800" cap="sq">
              <a:solidFill>
                <a:schemeClr val="accent1"/>
              </a:solidFill>
              <a:miter lim="800000"/>
            </a:ln>
          </c:spPr>
          <c:invertIfNegative val="0"/>
          <c:cat>
            <c:numRef>
              <c:f>'CBA final'!$D$128:$J$128</c:f>
              <c:numCache>
                <c:formatCode>0%</c:formatCode>
                <c:ptCount val="7"/>
                <c:pt idx="0" formatCode="General">
                  <c:v>0</c:v>
                </c:pt>
                <c:pt idx="1">
                  <c:v>0.05</c:v>
                </c:pt>
                <c:pt idx="2">
                  <c:v>0.1</c:v>
                </c:pt>
                <c:pt idx="3">
                  <c:v>0.15000000000000002</c:v>
                </c:pt>
                <c:pt idx="4">
                  <c:v>0.2</c:v>
                </c:pt>
                <c:pt idx="5">
                  <c:v>0.25</c:v>
                </c:pt>
                <c:pt idx="6">
                  <c:v>0.3</c:v>
                </c:pt>
              </c:numCache>
            </c:numRef>
          </c:cat>
          <c:val>
            <c:numRef>
              <c:f>'CBA final'!$D$134:$J$134</c:f>
              <c:numCache>
                <c:formatCode>_ * #,##0_ ;_ * \-#,##0_ ;_ * "-"??_ ;_ @_ </c:formatCode>
                <c:ptCount val="7"/>
                <c:pt idx="1">
                  <c:v>57939739.519974947</c:v>
                </c:pt>
                <c:pt idx="2">
                  <c:v>115879479.03995013</c:v>
                </c:pt>
                <c:pt idx="3">
                  <c:v>173819218.55992484</c:v>
                </c:pt>
                <c:pt idx="4">
                  <c:v>231758958.07990003</c:v>
                </c:pt>
                <c:pt idx="5">
                  <c:v>289698697.59987497</c:v>
                </c:pt>
                <c:pt idx="6">
                  <c:v>347638437.11985016</c:v>
                </c:pt>
              </c:numCache>
            </c:numRef>
          </c:val>
        </c:ser>
        <c:dLbls>
          <c:showLegendKey val="0"/>
          <c:showVal val="0"/>
          <c:showCatName val="0"/>
          <c:showSerName val="0"/>
          <c:showPercent val="0"/>
          <c:showBubbleSize val="0"/>
        </c:dLbls>
        <c:gapWidth val="150"/>
        <c:axId val="141646848"/>
        <c:axId val="141644928"/>
      </c:barChart>
      <c:lineChart>
        <c:grouping val="standard"/>
        <c:varyColors val="0"/>
        <c:ser>
          <c:idx val="1"/>
          <c:order val="1"/>
          <c:tx>
            <c:strRef>
              <c:f>'CBA final'!$C$135</c:f>
              <c:strCache>
                <c:ptCount val="1"/>
                <c:pt idx="0">
                  <c:v>5% savings</c:v>
                </c:pt>
              </c:strCache>
            </c:strRef>
          </c:tx>
          <c:spPr>
            <a:ln w="50800">
              <a:solidFill>
                <a:schemeClr val="tx1"/>
              </a:solidFill>
              <a:prstDash val="sysDot"/>
            </a:ln>
          </c:spPr>
          <c:marker>
            <c:symbol val="none"/>
          </c:marker>
          <c:cat>
            <c:numRef>
              <c:f>'CBA final'!$D$128:$J$128</c:f>
              <c:numCache>
                <c:formatCode>0%</c:formatCode>
                <c:ptCount val="7"/>
                <c:pt idx="0" formatCode="General">
                  <c:v>0</c:v>
                </c:pt>
                <c:pt idx="1">
                  <c:v>0.05</c:v>
                </c:pt>
                <c:pt idx="2">
                  <c:v>0.1</c:v>
                </c:pt>
                <c:pt idx="3">
                  <c:v>0.15000000000000002</c:v>
                </c:pt>
                <c:pt idx="4">
                  <c:v>0.2</c:v>
                </c:pt>
                <c:pt idx="5">
                  <c:v>0.25</c:v>
                </c:pt>
                <c:pt idx="6">
                  <c:v>0.3</c:v>
                </c:pt>
              </c:numCache>
            </c:numRef>
          </c:cat>
          <c:val>
            <c:numRef>
              <c:f>'CBA final'!$D$135:$J$135</c:f>
              <c:numCache>
                <c:formatCode>_ * #,##0_ ;_ * \-#,##0_ ;_ * "-"??_ ;_ @_ </c:formatCode>
                <c:ptCount val="7"/>
                <c:pt idx="0">
                  <c:v>0</c:v>
                </c:pt>
                <c:pt idx="1">
                  <c:v>167987589.46242857</c:v>
                </c:pt>
                <c:pt idx="2">
                  <c:v>335975178.92485571</c:v>
                </c:pt>
                <c:pt idx="3">
                  <c:v>503962768.38728428</c:v>
                </c:pt>
                <c:pt idx="4">
                  <c:v>671950357.84971237</c:v>
                </c:pt>
                <c:pt idx="5">
                  <c:v>839937947.31213999</c:v>
                </c:pt>
                <c:pt idx="6">
                  <c:v>1007925536.7745686</c:v>
                </c:pt>
              </c:numCache>
            </c:numRef>
          </c:val>
          <c:smooth val="0"/>
        </c:ser>
        <c:ser>
          <c:idx val="2"/>
          <c:order val="2"/>
          <c:tx>
            <c:strRef>
              <c:f>'CBA final'!$C$136</c:f>
              <c:strCache>
                <c:ptCount val="1"/>
                <c:pt idx="0">
                  <c:v>10% savings</c:v>
                </c:pt>
              </c:strCache>
            </c:strRef>
          </c:tx>
          <c:spPr>
            <a:ln w="50800">
              <a:solidFill>
                <a:schemeClr val="bg1">
                  <a:lumMod val="65000"/>
                </a:schemeClr>
              </a:solidFill>
              <a:prstDash val="sysDot"/>
            </a:ln>
          </c:spPr>
          <c:marker>
            <c:symbol val="none"/>
          </c:marker>
          <c:cat>
            <c:numRef>
              <c:f>'CBA final'!$D$128:$J$128</c:f>
              <c:numCache>
                <c:formatCode>0%</c:formatCode>
                <c:ptCount val="7"/>
                <c:pt idx="0" formatCode="General">
                  <c:v>0</c:v>
                </c:pt>
                <c:pt idx="1">
                  <c:v>0.05</c:v>
                </c:pt>
                <c:pt idx="2">
                  <c:v>0.1</c:v>
                </c:pt>
                <c:pt idx="3">
                  <c:v>0.15000000000000002</c:v>
                </c:pt>
                <c:pt idx="4">
                  <c:v>0.2</c:v>
                </c:pt>
                <c:pt idx="5">
                  <c:v>0.25</c:v>
                </c:pt>
                <c:pt idx="6">
                  <c:v>0.3</c:v>
                </c:pt>
              </c:numCache>
            </c:numRef>
          </c:cat>
          <c:val>
            <c:numRef>
              <c:f>'CBA final'!$D$136:$J$136</c:f>
              <c:numCache>
                <c:formatCode>_ * #,##0_ ;_ * \-#,##0_ ;_ * "-"??_ ;_ @_ </c:formatCode>
                <c:ptCount val="7"/>
                <c:pt idx="0">
                  <c:v>0</c:v>
                </c:pt>
                <c:pt idx="1">
                  <c:v>335975178.92485571</c:v>
                </c:pt>
                <c:pt idx="2">
                  <c:v>671950357.84971237</c:v>
                </c:pt>
                <c:pt idx="3">
                  <c:v>1007925536.7745686</c:v>
                </c:pt>
                <c:pt idx="4">
                  <c:v>1343900715.6994238</c:v>
                </c:pt>
                <c:pt idx="5">
                  <c:v>1679875894.62428</c:v>
                </c:pt>
                <c:pt idx="6">
                  <c:v>2015851073.5491362</c:v>
                </c:pt>
              </c:numCache>
            </c:numRef>
          </c:val>
          <c:smooth val="0"/>
        </c:ser>
        <c:ser>
          <c:idx val="3"/>
          <c:order val="3"/>
          <c:tx>
            <c:strRef>
              <c:f>'CBA final'!$C$137</c:f>
              <c:strCache>
                <c:ptCount val="1"/>
                <c:pt idx="0">
                  <c:v>15% savings</c:v>
                </c:pt>
              </c:strCache>
            </c:strRef>
          </c:tx>
          <c:spPr>
            <a:ln w="50800">
              <a:solidFill>
                <a:schemeClr val="bg1">
                  <a:lumMod val="75000"/>
                </a:schemeClr>
              </a:solidFill>
              <a:prstDash val="sysDot"/>
            </a:ln>
          </c:spPr>
          <c:marker>
            <c:symbol val="none"/>
          </c:marker>
          <c:cat>
            <c:numRef>
              <c:f>'CBA final'!$D$128:$J$128</c:f>
              <c:numCache>
                <c:formatCode>0%</c:formatCode>
                <c:ptCount val="7"/>
                <c:pt idx="0" formatCode="General">
                  <c:v>0</c:v>
                </c:pt>
                <c:pt idx="1">
                  <c:v>0.05</c:v>
                </c:pt>
                <c:pt idx="2">
                  <c:v>0.1</c:v>
                </c:pt>
                <c:pt idx="3">
                  <c:v>0.15000000000000002</c:v>
                </c:pt>
                <c:pt idx="4">
                  <c:v>0.2</c:v>
                </c:pt>
                <c:pt idx="5">
                  <c:v>0.25</c:v>
                </c:pt>
                <c:pt idx="6">
                  <c:v>0.3</c:v>
                </c:pt>
              </c:numCache>
            </c:numRef>
          </c:cat>
          <c:val>
            <c:numRef>
              <c:f>'CBA final'!$D$137:$J$137</c:f>
              <c:numCache>
                <c:formatCode>_ * #,##0_ ;_ * \-#,##0_ ;_ * "-"??_ ;_ @_ </c:formatCode>
                <c:ptCount val="7"/>
                <c:pt idx="0">
                  <c:v>0</c:v>
                </c:pt>
                <c:pt idx="1">
                  <c:v>503962768.38728428</c:v>
                </c:pt>
                <c:pt idx="2">
                  <c:v>1007925536.7745686</c:v>
                </c:pt>
                <c:pt idx="3">
                  <c:v>1511888305.1618519</c:v>
                </c:pt>
                <c:pt idx="4">
                  <c:v>2015851073.5491362</c:v>
                </c:pt>
                <c:pt idx="5">
                  <c:v>2519813841.93642</c:v>
                </c:pt>
                <c:pt idx="6">
                  <c:v>3023776610.3237042</c:v>
                </c:pt>
              </c:numCache>
            </c:numRef>
          </c:val>
          <c:smooth val="0"/>
        </c:ser>
        <c:dLbls>
          <c:showLegendKey val="0"/>
          <c:showVal val="0"/>
          <c:showCatName val="0"/>
          <c:showSerName val="0"/>
          <c:showPercent val="0"/>
          <c:showBubbleSize val="0"/>
        </c:dLbls>
        <c:marker val="1"/>
        <c:smooth val="0"/>
        <c:axId val="141637120"/>
        <c:axId val="141638656"/>
      </c:lineChart>
      <c:catAx>
        <c:axId val="141637120"/>
        <c:scaling>
          <c:orientation val="minMax"/>
        </c:scaling>
        <c:delete val="0"/>
        <c:axPos val="b"/>
        <c:numFmt formatCode="General" sourceLinked="1"/>
        <c:majorTickMark val="out"/>
        <c:minorTickMark val="none"/>
        <c:tickLblPos val="nextTo"/>
        <c:crossAx val="141638656"/>
        <c:crosses val="autoZero"/>
        <c:auto val="1"/>
        <c:lblAlgn val="ctr"/>
        <c:lblOffset val="100"/>
        <c:noMultiLvlLbl val="0"/>
      </c:catAx>
      <c:valAx>
        <c:axId val="141638656"/>
        <c:scaling>
          <c:orientation val="minMax"/>
          <c:max val="3500000000"/>
        </c:scaling>
        <c:delete val="0"/>
        <c:axPos val="l"/>
        <c:numFmt formatCode="_ * #,##0_ ;_ * \-#,##0_ ;_ * &quot;-&quot;??_ ;_ @_ " sourceLinked="1"/>
        <c:majorTickMark val="out"/>
        <c:minorTickMark val="none"/>
        <c:tickLblPos val="nextTo"/>
        <c:crossAx val="141637120"/>
        <c:crosses val="autoZero"/>
        <c:crossBetween val="between"/>
        <c:dispUnits>
          <c:builtInUnit val="millions"/>
          <c:dispUnitsLbl>
            <c:tx>
              <c:rich>
                <a:bodyPr/>
                <a:lstStyle/>
                <a:p>
                  <a:pPr>
                    <a:defRPr/>
                  </a:pPr>
                  <a:r>
                    <a:rPr lang="en-GB"/>
                    <a:t>Rand millions</a:t>
                  </a:r>
                </a:p>
              </c:rich>
            </c:tx>
          </c:dispUnitsLbl>
        </c:dispUnits>
      </c:valAx>
      <c:valAx>
        <c:axId val="141644928"/>
        <c:scaling>
          <c:orientation val="minMax"/>
          <c:max val="3500000000"/>
        </c:scaling>
        <c:delete val="1"/>
        <c:axPos val="r"/>
        <c:numFmt formatCode="General" sourceLinked="1"/>
        <c:majorTickMark val="out"/>
        <c:minorTickMark val="none"/>
        <c:tickLblPos val="nextTo"/>
        <c:crossAx val="141646848"/>
        <c:crosses val="max"/>
        <c:crossBetween val="between"/>
        <c:dispUnits>
          <c:builtInUnit val="millions"/>
          <c:dispUnitsLbl/>
        </c:dispUnits>
      </c:valAx>
      <c:catAx>
        <c:axId val="141646848"/>
        <c:scaling>
          <c:orientation val="minMax"/>
        </c:scaling>
        <c:delete val="1"/>
        <c:axPos val="b"/>
        <c:numFmt formatCode="General" sourceLinked="1"/>
        <c:majorTickMark val="out"/>
        <c:minorTickMark val="none"/>
        <c:tickLblPos val="nextTo"/>
        <c:crossAx val="141644928"/>
        <c:crosses val="autoZero"/>
        <c:auto val="1"/>
        <c:lblAlgn val="ctr"/>
        <c:lblOffset val="100"/>
        <c:noMultiLvlLbl val="0"/>
      </c:catAx>
    </c:plotArea>
    <c:legend>
      <c:legendPos val="b"/>
      <c:layout>
        <c:manualLayout>
          <c:xMode val="edge"/>
          <c:yMode val="edge"/>
          <c:x val="5.0000057182394683E-2"/>
          <c:y val="0.88288891961010485"/>
          <c:w val="0.89999988563521061"/>
          <c:h val="9.3753419736242349E-2"/>
        </c:manualLayout>
      </c:layout>
      <c:overlay val="0"/>
    </c:legend>
    <c:plotVisOnly val="1"/>
    <c:dispBlanksAs val="gap"/>
    <c:showDLblsOverMax val="0"/>
  </c:chart>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manualLayout>
          <c:layoutTarget val="inner"/>
          <c:xMode val="edge"/>
          <c:yMode val="edge"/>
          <c:x val="0.27103362529628"/>
          <c:y val="0.23611111111111099"/>
          <c:w val="0.69285519471904"/>
          <c:h val="0.64654345290172099"/>
        </c:manualLayout>
      </c:layout>
      <c:barChart>
        <c:barDir val="col"/>
        <c:grouping val="clustered"/>
        <c:varyColors val="0"/>
        <c:ser>
          <c:idx val="0"/>
          <c:order val="0"/>
          <c:tx>
            <c:strRef>
              <c:f>'Budget Choices Workings'!$AA$111</c:f>
              <c:strCache>
                <c:ptCount val="1"/>
                <c:pt idx="0">
                  <c:v>Fewer children in ECD centres</c:v>
                </c:pt>
              </c:strCache>
            </c:strRef>
          </c:tx>
          <c:invertIfNegative val="0"/>
          <c:val>
            <c:numRef>
              <c:f>'Budget Choices Workings'!$AA$112</c:f>
              <c:numCache>
                <c:formatCode>0</c:formatCode>
                <c:ptCount val="1"/>
                <c:pt idx="0">
                  <c:v>204635.2276685359</c:v>
                </c:pt>
              </c:numCache>
            </c:numRef>
          </c:val>
        </c:ser>
        <c:dLbls>
          <c:showLegendKey val="0"/>
          <c:showVal val="0"/>
          <c:showCatName val="0"/>
          <c:showSerName val="0"/>
          <c:showPercent val="0"/>
          <c:showBubbleSize val="0"/>
        </c:dLbls>
        <c:gapWidth val="150"/>
        <c:axId val="94477312"/>
        <c:axId val="94483200"/>
      </c:barChart>
      <c:catAx>
        <c:axId val="94477312"/>
        <c:scaling>
          <c:orientation val="minMax"/>
        </c:scaling>
        <c:delete val="0"/>
        <c:axPos val="b"/>
        <c:majorTickMark val="none"/>
        <c:minorTickMark val="none"/>
        <c:tickLblPos val="none"/>
        <c:crossAx val="94483200"/>
        <c:crosses val="autoZero"/>
        <c:auto val="1"/>
        <c:lblAlgn val="ctr"/>
        <c:lblOffset val="100"/>
        <c:noMultiLvlLbl val="0"/>
      </c:catAx>
      <c:valAx>
        <c:axId val="94483200"/>
        <c:scaling>
          <c:orientation val="minMax"/>
        </c:scaling>
        <c:delete val="0"/>
        <c:axPos val="l"/>
        <c:title>
          <c:tx>
            <c:rich>
              <a:bodyPr rot="-5400000" vert="horz"/>
              <a:lstStyle/>
              <a:p>
                <a:pPr>
                  <a:defRPr/>
                </a:pPr>
                <a:r>
                  <a:rPr lang="en-US"/>
                  <a:t>Number</a:t>
                </a:r>
                <a:r>
                  <a:rPr lang="en-US" baseline="0"/>
                  <a:t> of children</a:t>
                </a:r>
                <a:endParaRPr lang="en-US"/>
              </a:p>
            </c:rich>
          </c:tx>
          <c:layout>
            <c:manualLayout>
              <c:xMode val="edge"/>
              <c:yMode val="edge"/>
              <c:x val="2.78269155408724E-2"/>
              <c:y val="0.389537584975791"/>
            </c:manualLayout>
          </c:layout>
          <c:overlay val="0"/>
        </c:title>
        <c:numFmt formatCode="0" sourceLinked="1"/>
        <c:majorTickMark val="none"/>
        <c:minorTickMark val="none"/>
        <c:tickLblPos val="nextTo"/>
        <c:crossAx val="94477312"/>
        <c:crosses val="autoZero"/>
        <c:crossBetween val="between"/>
        <c:majorUnit val="10000"/>
      </c:valAx>
      <c:spPr>
        <a:solidFill>
          <a:schemeClr val="accent1">
            <a:lumMod val="20000"/>
            <a:lumOff val="80000"/>
            <a:alpha val="0"/>
          </a:schemeClr>
        </a:solidFill>
      </c:spPr>
    </c:plotArea>
    <c:plotVisOnly val="1"/>
    <c:dispBlanksAs val="gap"/>
    <c:showDLblsOverMax val="0"/>
  </c:chart>
  <c:spPr>
    <a:solidFill>
      <a:schemeClr val="accent1">
        <a:lumMod val="20000"/>
        <a:lumOff val="80000"/>
        <a:alpha val="0"/>
      </a:schemeClr>
    </a:solidFill>
    <a:ln>
      <a:noFill/>
    </a:ln>
  </c:spPr>
  <c:printSettings>
    <c:headerFooter/>
    <c:pageMargins b="1" l="0.75" r="0.75" t="1" header="0.5" footer="0.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manualLayout>
          <c:layoutTarget val="inner"/>
          <c:xMode val="edge"/>
          <c:yMode val="edge"/>
          <c:x val="0.214999562554681"/>
          <c:y val="0.23611111111111099"/>
          <c:w val="0.74888932633420802"/>
          <c:h val="0.64654345290172099"/>
        </c:manualLayout>
      </c:layout>
      <c:barChart>
        <c:barDir val="col"/>
        <c:grouping val="clustered"/>
        <c:varyColors val="0"/>
        <c:ser>
          <c:idx val="0"/>
          <c:order val="0"/>
          <c:tx>
            <c:strRef>
              <c:f>'Budget Choices Workings'!$AA$117</c:f>
              <c:strCache>
                <c:ptCount val="1"/>
                <c:pt idx="0">
                  <c:v>Fewer SROD beneficiaries</c:v>
                </c:pt>
              </c:strCache>
            </c:strRef>
          </c:tx>
          <c:invertIfNegative val="0"/>
          <c:val>
            <c:numRef>
              <c:f>'Budget Choices Workings'!$AA$118</c:f>
              <c:numCache>
                <c:formatCode>#,##0</c:formatCode>
                <c:ptCount val="1"/>
                <c:pt idx="0">
                  <c:v>0</c:v>
                </c:pt>
              </c:numCache>
            </c:numRef>
          </c:val>
        </c:ser>
        <c:dLbls>
          <c:showLegendKey val="0"/>
          <c:showVal val="0"/>
          <c:showCatName val="0"/>
          <c:showSerName val="0"/>
          <c:showPercent val="0"/>
          <c:showBubbleSize val="0"/>
        </c:dLbls>
        <c:gapWidth val="150"/>
        <c:axId val="94511872"/>
        <c:axId val="94513408"/>
      </c:barChart>
      <c:catAx>
        <c:axId val="94511872"/>
        <c:scaling>
          <c:orientation val="minMax"/>
        </c:scaling>
        <c:delete val="0"/>
        <c:axPos val="b"/>
        <c:majorTickMark val="none"/>
        <c:minorTickMark val="none"/>
        <c:tickLblPos val="none"/>
        <c:crossAx val="94513408"/>
        <c:crosses val="autoZero"/>
        <c:auto val="1"/>
        <c:lblAlgn val="ctr"/>
        <c:lblOffset val="100"/>
        <c:noMultiLvlLbl val="0"/>
      </c:catAx>
      <c:valAx>
        <c:axId val="94513408"/>
        <c:scaling>
          <c:orientation val="minMax"/>
        </c:scaling>
        <c:delete val="0"/>
        <c:axPos val="l"/>
        <c:title>
          <c:tx>
            <c:rich>
              <a:bodyPr rot="-5400000" vert="horz"/>
              <a:lstStyle/>
              <a:p>
                <a:pPr>
                  <a:defRPr/>
                </a:pPr>
                <a:r>
                  <a:rPr lang="en-US"/>
                  <a:t>Number of beneficiaries</a:t>
                </a:r>
              </a:p>
            </c:rich>
          </c:tx>
          <c:layout>
            <c:manualLayout>
              <c:xMode val="edge"/>
              <c:yMode val="edge"/>
              <c:x val="2.7777777777777801E-3"/>
              <c:y val="0.29304352580927401"/>
            </c:manualLayout>
          </c:layout>
          <c:overlay val="0"/>
        </c:title>
        <c:numFmt formatCode="#,##0" sourceLinked="1"/>
        <c:majorTickMark val="none"/>
        <c:minorTickMark val="none"/>
        <c:tickLblPos val="nextTo"/>
        <c:crossAx val="94511872"/>
        <c:crosses val="autoZero"/>
        <c:crossBetween val="between"/>
      </c:valAx>
      <c:spPr>
        <a:solidFill>
          <a:schemeClr val="accent2">
            <a:lumMod val="20000"/>
            <a:lumOff val="80000"/>
            <a:alpha val="0"/>
          </a:schemeClr>
        </a:solidFill>
      </c:spPr>
    </c:plotArea>
    <c:plotVisOnly val="1"/>
    <c:dispBlanksAs val="gap"/>
    <c:showDLblsOverMax val="0"/>
  </c:chart>
  <c:spPr>
    <a:solidFill>
      <a:schemeClr val="accent2">
        <a:lumMod val="20000"/>
        <a:lumOff val="80000"/>
        <a:alpha val="0"/>
      </a:schemeClr>
    </a:solidFill>
    <a:ln>
      <a:noFill/>
    </a:ln>
  </c:spPr>
  <c:printSettings>
    <c:headerFooter/>
    <c:pageMargins b="1" l="0.75" r="0.75" t="1" header="0.5" footer="0.5"/>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Children in ECD Centres</a:t>
            </a:r>
          </a:p>
        </c:rich>
      </c:tx>
      <c:layout>
        <c:manualLayout>
          <c:xMode val="edge"/>
          <c:yMode val="edge"/>
          <c:x val="0.23382991307354375"/>
          <c:y val="0.13192276098562922"/>
        </c:manualLayout>
      </c:layout>
      <c:overlay val="0"/>
    </c:title>
    <c:autoTitleDeleted val="0"/>
    <c:plotArea>
      <c:layout/>
      <c:barChart>
        <c:barDir val="bar"/>
        <c:grouping val="percentStacked"/>
        <c:varyColors val="0"/>
        <c:ser>
          <c:idx val="0"/>
          <c:order val="0"/>
          <c:tx>
            <c:strRef>
              <c:f>'Budget Choices Workings'!$AN$84</c:f>
              <c:strCache>
                <c:ptCount val="1"/>
                <c:pt idx="0">
                  <c:v>Children covered</c:v>
                </c:pt>
              </c:strCache>
            </c:strRef>
          </c:tx>
          <c:invertIfNegative val="0"/>
          <c:dLbls>
            <c:dLbl>
              <c:idx val="0"/>
              <c:layout>
                <c:manualLayout>
                  <c:x val="-1.2427860464029499E-2"/>
                  <c:y val="0.22539696823611299"/>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0"/>
                  <c:y val="0.11111111111111099"/>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2.6881720430107499E-3"/>
                  <c:y val="0.11111111111111099"/>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8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'Budget Choices Workings'!$AM$102</c:f>
              <c:strCache>
                <c:ptCount val="1"/>
                <c:pt idx="0">
                  <c:v>Children in ECD centres</c:v>
                </c:pt>
              </c:strCache>
            </c:strRef>
          </c:cat>
          <c:val>
            <c:numRef>
              <c:f>'Budget Choices Workings'!$AN$102</c:f>
              <c:numCache>
                <c:formatCode>_ * #,##0_ ;_ * \-#,##0_ ;_ * "-"??_ ;_ @_ </c:formatCode>
                <c:ptCount val="1"/>
                <c:pt idx="0">
                  <c:v>1120375.7461139867</c:v>
                </c:pt>
              </c:numCache>
            </c:numRef>
          </c:val>
        </c:ser>
        <c:ser>
          <c:idx val="1"/>
          <c:order val="1"/>
          <c:tx>
            <c:strRef>
              <c:f>'Budget Choices Workings'!$AO$84</c:f>
              <c:strCache>
                <c:ptCount val="1"/>
                <c:pt idx="0">
                  <c:v> Children excluded </c:v>
                </c:pt>
              </c:strCache>
            </c:strRef>
          </c:tx>
          <c:invertIfNegative val="0"/>
          <c:dLbls>
            <c:dLbl>
              <c:idx val="0"/>
              <c:layout>
                <c:manualLayout>
                  <c:x val="-4.1537421384514762E-3"/>
                  <c:y val="-0.24011068290844598"/>
                </c:manualLayout>
              </c:layout>
              <c:spPr/>
              <c:txPr>
                <a:bodyPr/>
                <a:lstStyle/>
                <a:p>
                  <a:pPr>
                    <a:defRPr sz="800">
                      <a:solidFill>
                        <a:srgbClr val="C00000"/>
                      </a:solidFill>
                    </a:defRPr>
                  </a:pPr>
                  <a:endParaRPr lang="en-US"/>
                </a:p>
              </c:txPr>
              <c:showLegendKey val="0"/>
              <c:showVal val="1"/>
              <c:showCatName val="0"/>
              <c:showSerName val="0"/>
              <c:showPercent val="0"/>
              <c:showBubbleSize val="0"/>
              <c:extLst>
                <c:ext xmlns:c15="http://schemas.microsoft.com/office/drawing/2012/chart" uri="{CE6537A1-D6FC-4f65-9D91-7224C49458BB}"/>
              </c:extLst>
            </c:dLbl>
            <c:dLbl>
              <c:idx val="1"/>
              <c:layout>
                <c:manualLayout>
                  <c:x val="0"/>
                  <c:y val="-0.11111111111111099"/>
                </c:manualLayout>
              </c:layout>
              <c:spPr/>
              <c:txPr>
                <a:bodyPr/>
                <a:lstStyle/>
                <a:p>
                  <a:pPr>
                    <a:defRPr sz="800">
                      <a:solidFill>
                        <a:srgbClr val="C00000"/>
                      </a:solidFill>
                    </a:defRPr>
                  </a:pPr>
                  <a:endParaRPr lang="en-US"/>
                </a:p>
              </c:txPr>
              <c:showLegendKey val="0"/>
              <c:showVal val="1"/>
              <c:showCatName val="0"/>
              <c:showSerName val="0"/>
              <c:showPercent val="0"/>
              <c:showBubbleSize val="0"/>
              <c:extLst>
                <c:ext xmlns:c15="http://schemas.microsoft.com/office/drawing/2012/chart" uri="{CE6537A1-D6FC-4f65-9D91-7224C49458BB}"/>
              </c:extLst>
            </c:dLbl>
            <c:dLbl>
              <c:idx val="2"/>
              <c:layout>
                <c:manualLayout>
                  <c:x val="0"/>
                  <c:y val="-0.11111111111111099"/>
                </c:manualLayout>
              </c:layout>
              <c:spPr/>
              <c:txPr>
                <a:bodyPr/>
                <a:lstStyle/>
                <a:p>
                  <a:pPr>
                    <a:defRPr sz="800">
                      <a:solidFill>
                        <a:srgbClr val="C00000"/>
                      </a:solidFill>
                    </a:defRPr>
                  </a:pPr>
                  <a:endParaRPr lang="en-US"/>
                </a:p>
              </c:txPr>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'Budget Choices Workings'!$AM$102</c:f>
              <c:strCache>
                <c:ptCount val="1"/>
                <c:pt idx="0">
                  <c:v>Children in ECD centres</c:v>
                </c:pt>
              </c:strCache>
            </c:strRef>
          </c:cat>
          <c:val>
            <c:numRef>
              <c:f>'Budget Choices Workings'!$AO$102</c:f>
              <c:numCache>
                <c:formatCode>_ * #,##0_ ;_ * \-#,##0_ ;_ * "-"??_ ;_ @_ </c:formatCode>
                <c:ptCount val="1"/>
                <c:pt idx="0">
                  <c:v>204635.2276685359</c:v>
                </c:pt>
              </c:numCache>
            </c:numRef>
          </c:val>
        </c:ser>
        <c:ser>
          <c:idx val="2"/>
          <c:order val="2"/>
          <c:tx>
            <c:strRef>
              <c:f>'Budget Choices Workings'!$AP$84</c:f>
              <c:strCache>
                <c:ptCount val="1"/>
                <c:pt idx="0">
                  <c:v>Children added</c:v>
                </c:pt>
              </c:strCache>
            </c:strRef>
          </c:tx>
          <c:invertIfNegative val="0"/>
          <c:dLbls>
            <c:dLbl>
              <c:idx val="0"/>
              <c:layout>
                <c:manualLayout>
                  <c:x val="2.0768398015529998E-3"/>
                  <c:y val="0.24091060046065699"/>
                </c:manualLayout>
              </c:layout>
              <c:spPr/>
              <c:txPr>
                <a:bodyPr/>
                <a:lstStyle/>
                <a:p>
                  <a:pPr>
                    <a:defRPr sz="800">
                      <a:solidFill>
                        <a:srgbClr val="92D050"/>
                      </a:solidFill>
                    </a:defRPr>
                  </a:pPr>
                  <a:endParaRPr lang="en-US"/>
                </a:p>
              </c:txPr>
              <c:showLegendKey val="0"/>
              <c:showVal val="1"/>
              <c:showCatName val="0"/>
              <c:showSerName val="0"/>
              <c:showPercent val="0"/>
              <c:showBubbleSize val="0"/>
              <c:extLst>
                <c:ext xmlns:c15="http://schemas.microsoft.com/office/drawing/2012/chart" uri="{CE6537A1-D6FC-4f65-9D91-7224C49458BB}"/>
              </c:extLst>
            </c:dLbl>
            <c:dLbl>
              <c:idx val="1"/>
              <c:layout>
                <c:manualLayout>
                  <c:x val="0"/>
                  <c:y val="0.115740740740741"/>
                </c:manualLayout>
              </c:layout>
              <c:spPr/>
              <c:txPr>
                <a:bodyPr/>
                <a:lstStyle/>
                <a:p>
                  <a:pPr>
                    <a:defRPr sz="800">
                      <a:solidFill>
                        <a:srgbClr val="92D050"/>
                      </a:solidFill>
                    </a:defRPr>
                  </a:pPr>
                  <a:endParaRPr lang="en-US"/>
                </a:p>
              </c:txPr>
              <c:showLegendKey val="0"/>
              <c:showVal val="1"/>
              <c:showCatName val="0"/>
              <c:showSerName val="0"/>
              <c:showPercent val="0"/>
              <c:showBubbleSize val="0"/>
              <c:extLst>
                <c:ext xmlns:c15="http://schemas.microsoft.com/office/drawing/2012/chart" uri="{CE6537A1-D6FC-4f65-9D91-7224C49458BB}"/>
              </c:extLst>
            </c:dLbl>
            <c:dLbl>
              <c:idx val="2"/>
              <c:layout>
                <c:manualLayout>
                  <c:x val="2.6881720430107499E-3"/>
                  <c:y val="0.115740740740741"/>
                </c:manualLayout>
              </c:layout>
              <c:spPr/>
              <c:txPr>
                <a:bodyPr/>
                <a:lstStyle/>
                <a:p>
                  <a:pPr>
                    <a:defRPr sz="800">
                      <a:solidFill>
                        <a:srgbClr val="92D050"/>
                      </a:solidFill>
                    </a:defRPr>
                  </a:pPr>
                  <a:endParaRPr lang="en-US"/>
                </a:p>
              </c:txP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a:solidFill>
                      <a:srgbClr val="92D05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'Budget Choices Workings'!$AM$102</c:f>
              <c:strCache>
                <c:ptCount val="1"/>
                <c:pt idx="0">
                  <c:v>Children in ECD centres</c:v>
                </c:pt>
              </c:strCache>
            </c:strRef>
          </c:cat>
          <c:val>
            <c:numRef>
              <c:f>'Budget Choices Workings'!$AP$102</c:f>
              <c:numCache>
                <c:formatCode>_ * #,##0_ ;_ * \-#,##0_ ;_ * "-"??_ ;_ @_ </c:formatCode>
                <c:ptCount val="1"/>
                <c:pt idx="0">
                  <c:v>0</c:v>
                </c:pt>
              </c:numCache>
            </c:numRef>
          </c:val>
        </c:ser>
        <c:ser>
          <c:idx val="3"/>
          <c:order val="3"/>
          <c:tx>
            <c:strRef>
              <c:f>'Budget Choices Workings'!$AQ$84</c:f>
              <c:strCache>
                <c:ptCount val="1"/>
                <c:pt idx="0">
                  <c:v>Children uncovered</c:v>
                </c:pt>
              </c:strCache>
            </c:strRef>
          </c:tx>
          <c:invertIfNegative val="0"/>
          <c:dLbls>
            <c:dLbl>
              <c:idx val="0"/>
              <c:layout>
                <c:manualLayout>
                  <c:x val="0"/>
                  <c:y val="0.23002624671916"/>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0"/>
                  <c:y val="0.115740740740741"/>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0"/>
                  <c:y val="0.115740740740741"/>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8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'Budget Choices Workings'!$AM$102</c:f>
              <c:strCache>
                <c:ptCount val="1"/>
                <c:pt idx="0">
                  <c:v>Children in ECD centres</c:v>
                </c:pt>
              </c:strCache>
            </c:strRef>
          </c:cat>
          <c:val>
            <c:numRef>
              <c:f>'Budget Choices Workings'!$AQ$102</c:f>
              <c:numCache>
                <c:formatCode>_ * #,##0_ ;_ * \-#,##0_ ;_ * "-"??_ ;_ @_ </c:formatCode>
                <c:ptCount val="1"/>
                <c:pt idx="0">
                  <c:v>183315.42750552646</c:v>
                </c:pt>
              </c:numCache>
            </c:numRef>
          </c:val>
        </c:ser>
        <c:dLbls>
          <c:showLegendKey val="0"/>
          <c:showVal val="0"/>
          <c:showCatName val="0"/>
          <c:showSerName val="0"/>
          <c:showPercent val="0"/>
          <c:showBubbleSize val="0"/>
        </c:dLbls>
        <c:gapWidth val="98"/>
        <c:overlap val="100"/>
        <c:axId val="94552832"/>
        <c:axId val="94554368"/>
      </c:barChart>
      <c:catAx>
        <c:axId val="94552832"/>
        <c:scaling>
          <c:orientation val="minMax"/>
        </c:scaling>
        <c:delete val="1"/>
        <c:axPos val="l"/>
        <c:numFmt formatCode="General" sourceLinked="1"/>
        <c:majorTickMark val="out"/>
        <c:minorTickMark val="none"/>
        <c:tickLblPos val="nextTo"/>
        <c:crossAx val="94554368"/>
        <c:crosses val="autoZero"/>
        <c:auto val="1"/>
        <c:lblAlgn val="ctr"/>
        <c:lblOffset val="100"/>
        <c:noMultiLvlLbl val="0"/>
      </c:catAx>
      <c:valAx>
        <c:axId val="94554368"/>
        <c:scaling>
          <c:orientation val="minMax"/>
          <c:max val="1"/>
          <c:min val="0"/>
        </c:scaling>
        <c:delete val="1"/>
        <c:axPos val="b"/>
        <c:majorGridlines>
          <c:spPr>
            <a:ln>
              <a:noFill/>
            </a:ln>
          </c:spPr>
        </c:majorGridlines>
        <c:numFmt formatCode="0%" sourceLinked="1"/>
        <c:majorTickMark val="out"/>
        <c:minorTickMark val="none"/>
        <c:tickLblPos val="nextTo"/>
        <c:crossAx val="94552832"/>
        <c:crosses val="autoZero"/>
        <c:crossBetween val="between"/>
      </c:valAx>
      <c:spPr>
        <a:noFill/>
      </c:spPr>
    </c:plotArea>
    <c:legend>
      <c:legendPos val="r"/>
      <c:overlay val="0"/>
    </c:legend>
    <c:plotVisOnly val="1"/>
    <c:dispBlanksAs val="gap"/>
    <c:showDLblsOverMax val="0"/>
  </c:chart>
  <c:spPr>
    <a:noFill/>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panose="020B0604020202020204" pitchFamily="34" charset="0"/>
                <a:cs typeface="Arial" panose="020B0604020202020204" pitchFamily="34" charset="0"/>
              </a:defRPr>
            </a:pPr>
            <a:r>
              <a:rPr lang="en-ZA" sz="1400">
                <a:latin typeface="Arial" panose="020B0604020202020204" pitchFamily="34" charset="0"/>
                <a:cs typeface="Arial" panose="020B0604020202020204" pitchFamily="34" charset="0"/>
              </a:rPr>
              <a:t>SROD Benificiaries</a:t>
            </a:r>
          </a:p>
        </c:rich>
      </c:tx>
      <c:layout>
        <c:manualLayout>
          <c:xMode val="edge"/>
          <c:yMode val="edge"/>
          <c:x val="0.3281008522685197"/>
          <c:y val="0.13695347716596673"/>
        </c:manualLayout>
      </c:layout>
      <c:overlay val="0"/>
    </c:title>
    <c:autoTitleDeleted val="0"/>
    <c:plotArea>
      <c:layout>
        <c:manualLayout>
          <c:layoutTarget val="inner"/>
          <c:xMode val="edge"/>
          <c:yMode val="edge"/>
          <c:x val="0.14310019617591899"/>
          <c:y val="6.5185185185185193E-2"/>
          <c:w val="0.64787879488632205"/>
          <c:h val="0.86962962962962997"/>
        </c:manualLayout>
      </c:layout>
      <c:barChart>
        <c:barDir val="bar"/>
        <c:grouping val="percentStacked"/>
        <c:varyColors val="0"/>
        <c:ser>
          <c:idx val="0"/>
          <c:order val="0"/>
          <c:tx>
            <c:strRef>
              <c:f>'Budget Choices Workings'!$AN$84</c:f>
              <c:strCache>
                <c:ptCount val="1"/>
                <c:pt idx="0">
                  <c:v>Children covered</c:v>
                </c:pt>
              </c:strCache>
            </c:strRef>
          </c:tx>
          <c:invertIfNegative val="0"/>
          <c:dLbls>
            <c:dLbl>
              <c:idx val="0"/>
              <c:layout>
                <c:manualLayout>
                  <c:x val="3.5063849837844601E-3"/>
                  <c:y val="0.27111111111111103"/>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0"/>
                  <c:y val="0.11111111111111099"/>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2.6881720430107499E-3"/>
                  <c:y val="0.11111111111111099"/>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8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'Budget Choices Workings'!$AM$105</c:f>
              <c:strCache>
                <c:ptCount val="1"/>
                <c:pt idx="0">
                  <c:v>SROD beneficiaries</c:v>
                </c:pt>
              </c:strCache>
            </c:strRef>
          </c:cat>
          <c:val>
            <c:numRef>
              <c:f>'Budget Choices Workings'!$AN$105</c:f>
              <c:numCache>
                <c:formatCode>_ * #,##0_ ;_ * \-#,##0_ ;_ * "-"??_ ;_ @_ </c:formatCode>
                <c:ptCount val="1"/>
                <c:pt idx="0">
                  <c:v>116742.18023856706</c:v>
                </c:pt>
              </c:numCache>
            </c:numRef>
          </c:val>
        </c:ser>
        <c:ser>
          <c:idx val="1"/>
          <c:order val="1"/>
          <c:tx>
            <c:strRef>
              <c:f>'Budget Choices Workings'!$AO$84</c:f>
              <c:strCache>
                <c:ptCount val="1"/>
                <c:pt idx="0">
                  <c:v> Children excluded </c:v>
                </c:pt>
              </c:strCache>
            </c:strRef>
          </c:tx>
          <c:invertIfNegative val="0"/>
          <c:dLbls>
            <c:dLbl>
              <c:idx val="0"/>
              <c:layout>
                <c:manualLayout>
                  <c:x val="-4.1536863966770499E-3"/>
                  <c:y val="-0.29070351920295701"/>
                </c:manualLayout>
              </c:layout>
              <c:spPr/>
              <c:txPr>
                <a:bodyPr/>
                <a:lstStyle/>
                <a:p>
                  <a:pPr>
                    <a:defRPr sz="800">
                      <a:solidFill>
                        <a:srgbClr val="C00000"/>
                      </a:solidFill>
                    </a:defRPr>
                  </a:pPr>
                  <a:endParaRPr lang="en-US"/>
                </a:p>
              </c:txPr>
              <c:showLegendKey val="0"/>
              <c:showVal val="1"/>
              <c:showCatName val="0"/>
              <c:showSerName val="0"/>
              <c:showPercent val="0"/>
              <c:showBubbleSize val="0"/>
              <c:extLst>
                <c:ext xmlns:c15="http://schemas.microsoft.com/office/drawing/2012/chart" uri="{CE6537A1-D6FC-4f65-9D91-7224C49458BB}"/>
              </c:extLst>
            </c:dLbl>
            <c:dLbl>
              <c:idx val="1"/>
              <c:layout>
                <c:manualLayout>
                  <c:x val="0"/>
                  <c:y val="-0.11111111111111099"/>
                </c:manualLayout>
              </c:layout>
              <c:spPr/>
              <c:txPr>
                <a:bodyPr/>
                <a:lstStyle/>
                <a:p>
                  <a:pPr>
                    <a:defRPr sz="800">
                      <a:solidFill>
                        <a:srgbClr val="C00000"/>
                      </a:solidFill>
                    </a:defRPr>
                  </a:pPr>
                  <a:endParaRPr lang="en-US"/>
                </a:p>
              </c:txPr>
              <c:showLegendKey val="0"/>
              <c:showVal val="1"/>
              <c:showCatName val="0"/>
              <c:showSerName val="0"/>
              <c:showPercent val="0"/>
              <c:showBubbleSize val="0"/>
              <c:extLst>
                <c:ext xmlns:c15="http://schemas.microsoft.com/office/drawing/2012/chart" uri="{CE6537A1-D6FC-4f65-9D91-7224C49458BB}"/>
              </c:extLst>
            </c:dLbl>
            <c:dLbl>
              <c:idx val="2"/>
              <c:layout>
                <c:manualLayout>
                  <c:x val="0"/>
                  <c:y val="-0.11111111111111099"/>
                </c:manualLayout>
              </c:layout>
              <c:spPr/>
              <c:txPr>
                <a:bodyPr/>
                <a:lstStyle/>
                <a:p>
                  <a:pPr>
                    <a:defRPr sz="800">
                      <a:solidFill>
                        <a:srgbClr val="C00000"/>
                      </a:solidFill>
                    </a:defRPr>
                  </a:pPr>
                  <a:endParaRPr lang="en-US"/>
                </a:p>
              </c:txPr>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'Budget Choices Workings'!$AM$105</c:f>
              <c:strCache>
                <c:ptCount val="1"/>
                <c:pt idx="0">
                  <c:v>SROD beneficiaries</c:v>
                </c:pt>
              </c:strCache>
            </c:strRef>
          </c:cat>
          <c:val>
            <c:numRef>
              <c:f>'Budget Choices Workings'!$AO$105</c:f>
              <c:numCache>
                <c:formatCode>_ * #,##0_ ;_ * \-#,##0_ ;_ * "-"??_ ;_ @_ </c:formatCode>
                <c:ptCount val="1"/>
                <c:pt idx="0">
                  <c:v>0</c:v>
                </c:pt>
              </c:numCache>
            </c:numRef>
          </c:val>
        </c:ser>
        <c:ser>
          <c:idx val="2"/>
          <c:order val="2"/>
          <c:tx>
            <c:strRef>
              <c:f>'Budget Choices Workings'!$AP$84</c:f>
              <c:strCache>
                <c:ptCount val="1"/>
                <c:pt idx="0">
                  <c:v>Children added</c:v>
                </c:pt>
              </c:strCache>
            </c:strRef>
          </c:tx>
          <c:invertIfNegative val="0"/>
          <c:dLbls>
            <c:dLbl>
              <c:idx val="0"/>
              <c:layout>
                <c:manualLayout>
                  <c:x val="2.0768431983385202E-3"/>
                  <c:y val="0.27356366168514701"/>
                </c:manualLayout>
              </c:layout>
              <c:spPr/>
              <c:txPr>
                <a:bodyPr/>
                <a:lstStyle/>
                <a:p>
                  <a:pPr>
                    <a:defRPr sz="800">
                      <a:solidFill>
                        <a:srgbClr val="92D050"/>
                      </a:solidFill>
                    </a:defRPr>
                  </a:pPr>
                  <a:endParaRPr lang="en-US"/>
                </a:p>
              </c:txPr>
              <c:showLegendKey val="0"/>
              <c:showVal val="1"/>
              <c:showCatName val="0"/>
              <c:showSerName val="0"/>
              <c:showPercent val="0"/>
              <c:showBubbleSize val="0"/>
              <c:extLst>
                <c:ext xmlns:c15="http://schemas.microsoft.com/office/drawing/2012/chart" uri="{CE6537A1-D6FC-4f65-9D91-7224C49458BB}"/>
              </c:extLst>
            </c:dLbl>
            <c:dLbl>
              <c:idx val="1"/>
              <c:layout>
                <c:manualLayout>
                  <c:x val="0"/>
                  <c:y val="0.115740740740741"/>
                </c:manualLayout>
              </c:layout>
              <c:spPr/>
              <c:txPr>
                <a:bodyPr/>
                <a:lstStyle/>
                <a:p>
                  <a:pPr>
                    <a:defRPr sz="800">
                      <a:solidFill>
                        <a:srgbClr val="92D050"/>
                      </a:solidFill>
                    </a:defRPr>
                  </a:pPr>
                  <a:endParaRPr lang="en-US"/>
                </a:p>
              </c:txPr>
              <c:showLegendKey val="0"/>
              <c:showVal val="1"/>
              <c:showCatName val="0"/>
              <c:showSerName val="0"/>
              <c:showPercent val="0"/>
              <c:showBubbleSize val="0"/>
              <c:extLst>
                <c:ext xmlns:c15="http://schemas.microsoft.com/office/drawing/2012/chart" uri="{CE6537A1-D6FC-4f65-9D91-7224C49458BB}"/>
              </c:extLst>
            </c:dLbl>
            <c:dLbl>
              <c:idx val="2"/>
              <c:layout>
                <c:manualLayout>
                  <c:x val="2.6881720430107499E-3"/>
                  <c:y val="0.115740740740741"/>
                </c:manualLayout>
              </c:layout>
              <c:spPr/>
              <c:txPr>
                <a:bodyPr/>
                <a:lstStyle/>
                <a:p>
                  <a:pPr>
                    <a:defRPr sz="800">
                      <a:solidFill>
                        <a:srgbClr val="92D050"/>
                      </a:solidFill>
                    </a:defRPr>
                  </a:pPr>
                  <a:endParaRPr lang="en-US"/>
                </a:p>
              </c:txP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a:solidFill>
                      <a:srgbClr val="92D05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'Budget Choices Workings'!$AM$105</c:f>
              <c:strCache>
                <c:ptCount val="1"/>
                <c:pt idx="0">
                  <c:v>SROD beneficiaries</c:v>
                </c:pt>
              </c:strCache>
            </c:strRef>
          </c:cat>
          <c:val>
            <c:numRef>
              <c:f>'Budget Choices Workings'!$AP$105</c:f>
              <c:numCache>
                <c:formatCode>_ * #,##0_ ;_ * \-#,##0_ ;_ * "-"??_ ;_ @_ </c:formatCode>
                <c:ptCount val="1"/>
                <c:pt idx="0">
                  <c:v>0</c:v>
                </c:pt>
              </c:numCache>
            </c:numRef>
          </c:val>
        </c:ser>
        <c:ser>
          <c:idx val="3"/>
          <c:order val="3"/>
          <c:tx>
            <c:strRef>
              <c:f>'Budget Choices Workings'!$AQ$84</c:f>
              <c:strCache>
                <c:ptCount val="1"/>
                <c:pt idx="0">
                  <c:v>Children uncovered</c:v>
                </c:pt>
              </c:strCache>
            </c:strRef>
          </c:tx>
          <c:invertIfNegative val="0"/>
          <c:dLbls>
            <c:dLbl>
              <c:idx val="0"/>
              <c:layout>
                <c:manualLayout>
                  <c:x val="1.8700327255727E-3"/>
                  <c:y val="-0.26944391951006103"/>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0"/>
                  <c:y val="0.115740740740741"/>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0"/>
                  <c:y val="0.115740740740741"/>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8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'Budget Choices Workings'!$AM$105</c:f>
              <c:strCache>
                <c:ptCount val="1"/>
                <c:pt idx="0">
                  <c:v>SROD beneficiaries</c:v>
                </c:pt>
              </c:strCache>
            </c:strRef>
          </c:cat>
          <c:val>
            <c:numRef>
              <c:f>'Budget Choices Workings'!$AQ$105</c:f>
              <c:numCache>
                <c:formatCode>_ * #,##0_ ;_ * \-#,##0_ ;_ * "-"??_ ;_ @_ </c:formatCode>
                <c:ptCount val="1"/>
                <c:pt idx="0">
                  <c:v>0</c:v>
                </c:pt>
              </c:numCache>
            </c:numRef>
          </c:val>
        </c:ser>
        <c:dLbls>
          <c:showLegendKey val="0"/>
          <c:showVal val="0"/>
          <c:showCatName val="0"/>
          <c:showSerName val="0"/>
          <c:showPercent val="0"/>
          <c:showBubbleSize val="0"/>
        </c:dLbls>
        <c:gapWidth val="98"/>
        <c:overlap val="100"/>
        <c:axId val="95752576"/>
        <c:axId val="95754112"/>
      </c:barChart>
      <c:catAx>
        <c:axId val="95752576"/>
        <c:scaling>
          <c:orientation val="minMax"/>
        </c:scaling>
        <c:delete val="1"/>
        <c:axPos val="l"/>
        <c:numFmt formatCode="General" sourceLinked="1"/>
        <c:majorTickMark val="out"/>
        <c:minorTickMark val="none"/>
        <c:tickLblPos val="nextTo"/>
        <c:crossAx val="95754112"/>
        <c:crosses val="autoZero"/>
        <c:auto val="1"/>
        <c:lblAlgn val="ctr"/>
        <c:lblOffset val="100"/>
        <c:noMultiLvlLbl val="0"/>
      </c:catAx>
      <c:valAx>
        <c:axId val="95754112"/>
        <c:scaling>
          <c:orientation val="minMax"/>
          <c:max val="1"/>
          <c:min val="0"/>
        </c:scaling>
        <c:delete val="1"/>
        <c:axPos val="b"/>
        <c:majorGridlines>
          <c:spPr>
            <a:ln>
              <a:noFill/>
            </a:ln>
          </c:spPr>
        </c:majorGridlines>
        <c:numFmt formatCode="0%" sourceLinked="1"/>
        <c:majorTickMark val="out"/>
        <c:minorTickMark val="none"/>
        <c:tickLblPos val="nextTo"/>
        <c:crossAx val="95752576"/>
        <c:crosses val="autoZero"/>
        <c:crossBetween val="between"/>
      </c:valAx>
      <c:spPr>
        <a:noFill/>
      </c:spPr>
    </c:plotArea>
    <c:legend>
      <c:legendPos val="r"/>
      <c:layout>
        <c:manualLayout>
          <c:xMode val="edge"/>
          <c:yMode val="edge"/>
          <c:x val="0.78539975630675896"/>
          <c:y val="0.28917631962671331"/>
          <c:w val="0.19215985098636865"/>
          <c:h val="0.40446170895304756"/>
        </c:manualLayout>
      </c:layout>
      <c:overlay val="0"/>
    </c:legend>
    <c:plotVisOnly val="1"/>
    <c:dispBlanksAs val="gap"/>
    <c:showDLblsOverMax val="0"/>
  </c:chart>
  <c:spPr>
    <a:noFill/>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'Budget Choices Workings'!$AN$84</c:f>
              <c:strCache>
                <c:ptCount val="1"/>
                <c:pt idx="0">
                  <c:v>Children covered</c:v>
                </c:pt>
              </c:strCache>
            </c:strRef>
          </c:tx>
          <c:invertIfNegative val="0"/>
          <c:dLbls>
            <c:dLbl>
              <c:idx val="0"/>
              <c:layout>
                <c:manualLayout>
                  <c:x val="-0.15833333333333333"/>
                  <c:y val="0.10185185185185185"/>
                </c:manualLayout>
              </c:layout>
              <c:spPr/>
              <c:txPr>
                <a:bodyPr/>
                <a:lstStyle/>
                <a:p>
                  <a:pPr>
                    <a:defRPr sz="800"/>
                  </a:pPr>
                  <a:endParaRPr lang="en-US"/>
                </a:p>
              </c:txP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0.16111111111111112"/>
                  <c:y val="0.10185185185185185"/>
                </c:manualLayout>
              </c:layout>
              <c:spPr/>
              <c:txPr>
                <a:bodyPr/>
                <a:lstStyle/>
                <a:p>
                  <a:pPr>
                    <a:defRPr sz="800"/>
                  </a:pPr>
                  <a:endParaRPr lang="en-US"/>
                </a:p>
              </c:txP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0.1388888888888889"/>
                  <c:y val="8.7962962962962965E-2"/>
                </c:manualLayout>
              </c:layout>
              <c:spPr/>
              <c:txPr>
                <a:bodyPr/>
                <a:lstStyle/>
                <a:p>
                  <a:pPr>
                    <a:defRPr sz="800"/>
                  </a:pPr>
                  <a:endParaRPr lang="en-US"/>
                </a:p>
              </c:txP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'Budget Choices Workings'!$AM$85:$AM$87</c:f>
              <c:strCache>
                <c:ptCount val="3"/>
                <c:pt idx="0">
                  <c:v>Vitamin A</c:v>
                </c:pt>
                <c:pt idx="1">
                  <c:v>Deworming</c:v>
                </c:pt>
                <c:pt idx="2">
                  <c:v>Surveillance</c:v>
                </c:pt>
              </c:strCache>
            </c:strRef>
          </c:cat>
          <c:val>
            <c:numRef>
              <c:f>'Budget Choices Workings'!$AN$85:$AN$87</c:f>
              <c:numCache>
                <c:formatCode>_ * #,##0_ ;_ * \-#,##0_ ;_ * "-"??_ ;_ @_ </c:formatCode>
                <c:ptCount val="3"/>
                <c:pt idx="0">
                  <c:v>4746494.0952466419</c:v>
                </c:pt>
                <c:pt idx="1">
                  <c:v>4746494.0952466419</c:v>
                </c:pt>
                <c:pt idx="2">
                  <c:v>4746494.0952466419</c:v>
                </c:pt>
              </c:numCache>
            </c:numRef>
          </c:val>
        </c:ser>
        <c:ser>
          <c:idx val="1"/>
          <c:order val="1"/>
          <c:tx>
            <c:strRef>
              <c:f>'Budget Choices Workings'!$AO$84</c:f>
              <c:strCache>
                <c:ptCount val="1"/>
                <c:pt idx="0">
                  <c:v> Children excluded </c:v>
                </c:pt>
              </c:strCache>
            </c:strRef>
          </c:tx>
          <c:invertIfNegative val="0"/>
          <c:dLbls>
            <c:dLbl>
              <c:idx val="0"/>
              <c:layout>
                <c:manualLayout>
                  <c:x val="-2.7777777777777779E-3"/>
                  <c:y val="-9.2592592592592587E-2"/>
                </c:manualLayout>
              </c:layout>
              <c:spPr/>
              <c:txPr>
                <a:bodyPr/>
                <a:lstStyle/>
                <a:p>
                  <a:pPr>
                    <a:defRPr sz="800">
                      <a:solidFill>
                        <a:srgbClr val="C00000"/>
                      </a:solidFill>
                    </a:defRPr>
                  </a:pPr>
                  <a:endParaRPr lang="en-US"/>
                </a:p>
              </c:txP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0"/>
                  <c:y val="-8.7962962962962965E-2"/>
                </c:manualLayout>
              </c:layout>
              <c:spPr/>
              <c:txPr>
                <a:bodyPr/>
                <a:lstStyle/>
                <a:p>
                  <a:pPr>
                    <a:defRPr sz="800">
                      <a:solidFill>
                        <a:srgbClr val="C00000"/>
                      </a:solidFill>
                    </a:defRPr>
                  </a:pPr>
                  <a:endParaRPr lang="en-US"/>
                </a:p>
              </c:txP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0"/>
                  <c:y val="-9.2592592592592587E-2"/>
                </c:manualLayout>
              </c:layout>
              <c:spPr/>
              <c:txPr>
                <a:bodyPr/>
                <a:lstStyle/>
                <a:p>
                  <a:pPr>
                    <a:defRPr sz="800">
                      <a:solidFill>
                        <a:srgbClr val="C00000"/>
                      </a:solidFill>
                    </a:defRPr>
                  </a:pPr>
                  <a:endParaRPr lang="en-US"/>
                </a:p>
              </c:txP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'Budget Choices Workings'!$AM$85:$AM$87</c:f>
              <c:strCache>
                <c:ptCount val="3"/>
                <c:pt idx="0">
                  <c:v>Vitamin A</c:v>
                </c:pt>
                <c:pt idx="1">
                  <c:v>Deworming</c:v>
                </c:pt>
                <c:pt idx="2">
                  <c:v>Surveillance</c:v>
                </c:pt>
              </c:strCache>
            </c:strRef>
          </c:cat>
          <c:val>
            <c:numRef>
              <c:f>'Budget Choices Workings'!$AO$85:$AO$87</c:f>
              <c:numCache>
                <c:formatCode>_ * #,##0_ ;_ * \-#,##0_ ;_ * "-"??_ ;_ @_ </c:formatCode>
                <c:ptCount val="3"/>
                <c:pt idx="0">
                  <c:v>0</c:v>
                </c:pt>
                <c:pt idx="1">
                  <c:v>0</c:v>
                </c:pt>
                <c:pt idx="2">
                  <c:v>0</c:v>
                </c:pt>
              </c:numCache>
            </c:numRef>
          </c:val>
        </c:ser>
        <c:ser>
          <c:idx val="2"/>
          <c:order val="2"/>
          <c:tx>
            <c:strRef>
              <c:f>'Budget Choices Workings'!$AP$84</c:f>
              <c:strCache>
                <c:ptCount val="1"/>
                <c:pt idx="0">
                  <c:v>Children added</c:v>
                </c:pt>
              </c:strCache>
            </c:strRef>
          </c:tx>
          <c:invertIfNegative val="0"/>
          <c:dLbls>
            <c:dLbl>
              <c:idx val="0"/>
              <c:layout>
                <c:manualLayout>
                  <c:x val="1.3888888888888888E-2"/>
                  <c:y val="-9.2592592592592587E-2"/>
                </c:manualLayout>
              </c:layout>
              <c:spPr/>
              <c:txPr>
                <a:bodyPr/>
                <a:lstStyle/>
                <a:p>
                  <a:pPr>
                    <a:defRPr sz="800">
                      <a:solidFill>
                        <a:srgbClr val="00B050"/>
                      </a:solidFill>
                    </a:defRPr>
                  </a:pPr>
                  <a:endParaRPr lang="en-US"/>
                </a:p>
              </c:txP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1.1111111111111112E-2"/>
                  <c:y val="-8.3333333333333329E-2"/>
                </c:manualLayout>
              </c:layout>
              <c:spPr/>
              <c:txPr>
                <a:bodyPr/>
                <a:lstStyle/>
                <a:p>
                  <a:pPr>
                    <a:defRPr sz="800">
                      <a:solidFill>
                        <a:srgbClr val="00B050"/>
                      </a:solidFill>
                    </a:defRPr>
                  </a:pPr>
                  <a:endParaRPr lang="en-US"/>
                </a:p>
              </c:txP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1.1111111111111112E-2"/>
                  <c:y val="-9.2592592592592601E-2"/>
                </c:manualLayout>
              </c:layout>
              <c:spPr/>
              <c:txPr>
                <a:bodyPr/>
                <a:lstStyle/>
                <a:p>
                  <a:pPr>
                    <a:defRPr sz="800">
                      <a:solidFill>
                        <a:srgbClr val="00B050"/>
                      </a:solidFill>
                    </a:defRPr>
                  </a:pPr>
                  <a:endParaRPr lang="en-US"/>
                </a:p>
              </c:txP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'Budget Choices Workings'!$AM$85:$AM$87</c:f>
              <c:strCache>
                <c:ptCount val="3"/>
                <c:pt idx="0">
                  <c:v>Vitamin A</c:v>
                </c:pt>
                <c:pt idx="1">
                  <c:v>Deworming</c:v>
                </c:pt>
                <c:pt idx="2">
                  <c:v>Surveillance</c:v>
                </c:pt>
              </c:strCache>
            </c:strRef>
          </c:cat>
          <c:val>
            <c:numRef>
              <c:f>'Budget Choices Workings'!$AP$85:$AP$87</c:f>
              <c:numCache>
                <c:formatCode>_ * #,##0_ ;_ * \-#,##0_ ;_ * "-"??_ ;_ @_ </c:formatCode>
                <c:ptCount val="3"/>
                <c:pt idx="0">
                  <c:v>0</c:v>
                </c:pt>
                <c:pt idx="1">
                  <c:v>0</c:v>
                </c:pt>
                <c:pt idx="2">
                  <c:v>0</c:v>
                </c:pt>
              </c:numCache>
            </c:numRef>
          </c:val>
        </c:ser>
        <c:ser>
          <c:idx val="3"/>
          <c:order val="3"/>
          <c:tx>
            <c:strRef>
              <c:f>'Budget Choices Workings'!$AQ$84</c:f>
              <c:strCache>
                <c:ptCount val="1"/>
                <c:pt idx="0">
                  <c:v>Children uncovered</c:v>
                </c:pt>
              </c:strCache>
            </c:strRef>
          </c:tx>
          <c:invertIfNegative val="0"/>
          <c:dLbls>
            <c:dLbl>
              <c:idx val="0"/>
              <c:layout>
                <c:manualLayout>
                  <c:x val="-8.3333333333333332E-3"/>
                  <c:y val="8.7962962962962965E-2"/>
                </c:manualLayout>
              </c:layout>
              <c:spPr/>
              <c:txPr>
                <a:bodyPr/>
                <a:lstStyle/>
                <a:p>
                  <a:pPr>
                    <a:defRPr sz="800"/>
                  </a:pPr>
                  <a:endParaRPr lang="en-US"/>
                </a:p>
              </c:txP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8.3333333333333332E-3"/>
                  <c:y val="9.2592592592592587E-2"/>
                </c:manualLayout>
              </c:layout>
              <c:spPr/>
              <c:txPr>
                <a:bodyPr/>
                <a:lstStyle/>
                <a:p>
                  <a:pPr>
                    <a:defRPr sz="800"/>
                  </a:pPr>
                  <a:endParaRPr lang="en-US"/>
                </a:p>
              </c:txP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0"/>
                  <c:y val="9.7222222222222224E-2"/>
                </c:manualLayout>
              </c:layout>
              <c:spPr/>
              <c:txPr>
                <a:bodyPr/>
                <a:lstStyle/>
                <a:p>
                  <a:pPr>
                    <a:defRPr sz="800"/>
                  </a:pPr>
                  <a:endParaRPr lang="en-US"/>
                </a:p>
              </c:txP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'Budget Choices Workings'!$AM$85:$AM$87</c:f>
              <c:strCache>
                <c:ptCount val="3"/>
                <c:pt idx="0">
                  <c:v>Vitamin A</c:v>
                </c:pt>
                <c:pt idx="1">
                  <c:v>Deworming</c:v>
                </c:pt>
                <c:pt idx="2">
                  <c:v>Surveillance</c:v>
                </c:pt>
              </c:strCache>
            </c:strRef>
          </c:cat>
          <c:val>
            <c:numRef>
              <c:f>'Budget Choices Workings'!$AQ$85:$AQ$87</c:f>
              <c:numCache>
                <c:formatCode>_ * #,##0_ ;_ * \-#,##0_ ;_ * "-"??_ ;_ @_ </c:formatCode>
                <c:ptCount val="3"/>
                <c:pt idx="0">
                  <c:v>0</c:v>
                </c:pt>
                <c:pt idx="1">
                  <c:v>0</c:v>
                </c:pt>
                <c:pt idx="2">
                  <c:v>0</c:v>
                </c:pt>
              </c:numCache>
            </c:numRef>
          </c:val>
        </c:ser>
        <c:dLbls>
          <c:showLegendKey val="0"/>
          <c:showVal val="0"/>
          <c:showCatName val="0"/>
          <c:showSerName val="0"/>
          <c:showPercent val="0"/>
          <c:showBubbleSize val="0"/>
        </c:dLbls>
        <c:gapWidth val="102"/>
        <c:overlap val="100"/>
        <c:axId val="95996544"/>
        <c:axId val="95998336"/>
      </c:barChart>
      <c:catAx>
        <c:axId val="95996544"/>
        <c:scaling>
          <c:orientation val="minMax"/>
        </c:scaling>
        <c:delete val="0"/>
        <c:axPos val="l"/>
        <c:numFmt formatCode="General" sourceLinked="0"/>
        <c:majorTickMark val="out"/>
        <c:minorTickMark val="none"/>
        <c:tickLblPos val="nextTo"/>
        <c:spPr>
          <a:ln>
            <a:noFill/>
          </a:ln>
        </c:spPr>
        <c:crossAx val="95998336"/>
        <c:crosses val="autoZero"/>
        <c:auto val="1"/>
        <c:lblAlgn val="ctr"/>
        <c:lblOffset val="100"/>
        <c:noMultiLvlLbl val="0"/>
      </c:catAx>
      <c:valAx>
        <c:axId val="95998336"/>
        <c:scaling>
          <c:orientation val="minMax"/>
          <c:max val="1"/>
          <c:min val="0"/>
        </c:scaling>
        <c:delete val="1"/>
        <c:axPos val="b"/>
        <c:numFmt formatCode="0%" sourceLinked="1"/>
        <c:majorTickMark val="out"/>
        <c:minorTickMark val="none"/>
        <c:tickLblPos val="nextTo"/>
        <c:crossAx val="95996544"/>
        <c:crosses val="autoZero"/>
        <c:crossBetween val="between"/>
      </c:valAx>
      <c:spPr>
        <a:noFill/>
      </c:spPr>
    </c:plotArea>
    <c:legend>
      <c:legendPos val="r"/>
      <c:overlay val="0"/>
    </c:legend>
    <c:plotVisOnly val="1"/>
    <c:dispBlanksAs val="gap"/>
    <c:showDLblsOverMax val="0"/>
  </c:chart>
  <c:spPr>
    <a:noFill/>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'Budget Choices Workings'!$AN$89</c:f>
              <c:strCache>
                <c:ptCount val="1"/>
                <c:pt idx="0">
                  <c:v>Staff covered</c:v>
                </c:pt>
              </c:strCache>
            </c:strRef>
          </c:tx>
          <c:invertIfNegative val="0"/>
          <c:dLbls>
            <c:dLbl>
              <c:idx val="0"/>
              <c:layout>
                <c:manualLayout>
                  <c:x val="-0.17938591886540498"/>
                  <c:y val="0.10708043847460244"/>
                </c:manualLayout>
              </c:layout>
              <c:spPr/>
              <c:txPr>
                <a:bodyPr/>
                <a:lstStyle/>
                <a:p>
                  <a:pPr>
                    <a:defRPr sz="800"/>
                  </a:pPr>
                  <a:endParaRPr lang="en-US"/>
                </a:p>
              </c:txPr>
              <c:showLegendKey val="0"/>
              <c:showVal val="1"/>
              <c:showCatName val="0"/>
              <c:showSerName val="0"/>
              <c:showPercent val="0"/>
              <c:showBubbleSize val="0"/>
              <c:extLst>
                <c:ext xmlns:c15="http://schemas.microsoft.com/office/drawing/2012/chart" uri="{CE6537A1-D6FC-4f65-9D91-7224C49458BB}"/>
              </c:extLst>
            </c:dLbl>
            <c:dLbl>
              <c:idx val="1"/>
              <c:layout>
                <c:manualLayout>
                  <c:x val="-0.1728069254501082"/>
                  <c:y val="0.1018516803046678"/>
                </c:manualLayout>
              </c:layout>
              <c:spPr/>
              <c:txPr>
                <a:bodyPr/>
                <a:lstStyle/>
                <a:p>
                  <a:pPr>
                    <a:defRPr sz="800"/>
                  </a:pPr>
                  <a:endParaRPr lang="en-US"/>
                </a:p>
              </c:txPr>
              <c:showLegendKey val="0"/>
              <c:showVal val="1"/>
              <c:showCatName val="0"/>
              <c:showSerName val="0"/>
              <c:showPercent val="0"/>
              <c:showBubbleSize val="0"/>
              <c:extLst>
                <c:ext xmlns:c15="http://schemas.microsoft.com/office/drawing/2012/chart" uri="{CE6537A1-D6FC-4f65-9D91-7224C49458BB}"/>
              </c:extLst>
            </c:dLbl>
            <c:dLbl>
              <c:idx val="2"/>
              <c:layout>
                <c:manualLayout>
                  <c:x val="-0.17631569737993277"/>
                  <c:y val="0.10364922031804848"/>
                </c:manualLayout>
              </c:layout>
              <c:spPr/>
              <c:txPr>
                <a:bodyPr/>
                <a:lstStyle/>
                <a:p>
                  <a:pPr>
                    <a:defRPr sz="800"/>
                  </a:pPr>
                  <a:endParaRPr lang="en-US"/>
                </a:p>
              </c:txPr>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'Budget Choices Workings'!$AM$90:$AM$92</c:f>
              <c:strCache>
                <c:ptCount val="3"/>
                <c:pt idx="0">
                  <c:v>Districit specialist teams</c:v>
                </c:pt>
                <c:pt idx="1">
                  <c:v>Ward based teams</c:v>
                </c:pt>
                <c:pt idx="2">
                  <c:v>Health facilities</c:v>
                </c:pt>
              </c:strCache>
            </c:strRef>
          </c:cat>
          <c:val>
            <c:numRef>
              <c:f>'Budget Choices Workings'!$AN$90:$AN$92</c:f>
              <c:numCache>
                <c:formatCode>_ * #,##0_ ;_ * \-#,##0_ ;_ * "-"??_ ;_ @_ </c:formatCode>
                <c:ptCount val="3"/>
                <c:pt idx="0">
                  <c:v>249.60000000000002</c:v>
                </c:pt>
                <c:pt idx="1">
                  <c:v>21385</c:v>
                </c:pt>
                <c:pt idx="2">
                  <c:v>17905</c:v>
                </c:pt>
              </c:numCache>
            </c:numRef>
          </c:val>
        </c:ser>
        <c:ser>
          <c:idx val="1"/>
          <c:order val="1"/>
          <c:tx>
            <c:strRef>
              <c:f>'Budget Choices Workings'!$AO$89</c:f>
              <c:strCache>
                <c:ptCount val="1"/>
                <c:pt idx="0">
                  <c:v>Staff excluded</c:v>
                </c:pt>
              </c:strCache>
            </c:strRef>
          </c:tx>
          <c:invertIfNegative val="0"/>
          <c:dLbls>
            <c:dLbl>
              <c:idx val="0"/>
              <c:layout>
                <c:manualLayout>
                  <c:x val="-2.7777777777777779E-3"/>
                  <c:y val="-9.2592592592592587E-2"/>
                </c:manualLayout>
              </c:layout>
              <c:spPr/>
              <c:txPr>
                <a:bodyPr/>
                <a:lstStyle/>
                <a:p>
                  <a:pPr>
                    <a:defRPr sz="800">
                      <a:solidFill>
                        <a:srgbClr val="C00000"/>
                      </a:solidFill>
                    </a:defRPr>
                  </a:pPr>
                  <a:endParaRPr lang="en-US"/>
                </a:p>
              </c:txPr>
              <c:showLegendKey val="0"/>
              <c:showVal val="1"/>
              <c:showCatName val="0"/>
              <c:showSerName val="0"/>
              <c:showPercent val="0"/>
              <c:showBubbleSize val="0"/>
              <c:extLst>
                <c:ext xmlns:c15="http://schemas.microsoft.com/office/drawing/2012/chart" uri="{CE6537A1-D6FC-4f65-9D91-7224C49458BB}"/>
              </c:extLst>
            </c:dLbl>
            <c:dLbl>
              <c:idx val="1"/>
              <c:layout>
                <c:manualLayout>
                  <c:x val="0"/>
                  <c:y val="-8.7962962962962965E-2"/>
                </c:manualLayout>
              </c:layout>
              <c:spPr/>
              <c:txPr>
                <a:bodyPr/>
                <a:lstStyle/>
                <a:p>
                  <a:pPr>
                    <a:defRPr sz="800">
                      <a:solidFill>
                        <a:srgbClr val="C00000"/>
                      </a:solidFill>
                    </a:defRPr>
                  </a:pPr>
                  <a:endParaRPr lang="en-US"/>
                </a:p>
              </c:txPr>
              <c:showLegendKey val="0"/>
              <c:showVal val="1"/>
              <c:showCatName val="0"/>
              <c:showSerName val="0"/>
              <c:showPercent val="0"/>
              <c:showBubbleSize val="0"/>
              <c:extLst>
                <c:ext xmlns:c15="http://schemas.microsoft.com/office/drawing/2012/chart" uri="{CE6537A1-D6FC-4f65-9D91-7224C49458BB}"/>
              </c:extLst>
            </c:dLbl>
            <c:dLbl>
              <c:idx val="2"/>
              <c:layout>
                <c:manualLayout>
                  <c:x val="0"/>
                  <c:y val="-9.2592592592592587E-2"/>
                </c:manualLayout>
              </c:layout>
              <c:spPr/>
              <c:txPr>
                <a:bodyPr/>
                <a:lstStyle/>
                <a:p>
                  <a:pPr>
                    <a:defRPr sz="800">
                      <a:solidFill>
                        <a:srgbClr val="C00000"/>
                      </a:solidFill>
                    </a:defRPr>
                  </a:pPr>
                  <a:endParaRPr lang="en-US"/>
                </a:p>
              </c:txPr>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'Budget Choices Workings'!$AM$90:$AM$92</c:f>
              <c:strCache>
                <c:ptCount val="3"/>
                <c:pt idx="0">
                  <c:v>Districit specialist teams</c:v>
                </c:pt>
                <c:pt idx="1">
                  <c:v>Ward based teams</c:v>
                </c:pt>
                <c:pt idx="2">
                  <c:v>Health facilities</c:v>
                </c:pt>
              </c:strCache>
            </c:strRef>
          </c:cat>
          <c:val>
            <c:numRef>
              <c:f>'Budget Choices Workings'!$AO$90:$AO$92</c:f>
              <c:numCache>
                <c:formatCode>_ * #,##0_ ;_ * \-#,##0_ ;_ * "-"??_ ;_ @_ </c:formatCode>
                <c:ptCount val="3"/>
                <c:pt idx="0">
                  <c:v>0</c:v>
                </c:pt>
                <c:pt idx="1">
                  <c:v>0</c:v>
                </c:pt>
                <c:pt idx="2">
                  <c:v>0</c:v>
                </c:pt>
              </c:numCache>
            </c:numRef>
          </c:val>
        </c:ser>
        <c:ser>
          <c:idx val="2"/>
          <c:order val="2"/>
          <c:tx>
            <c:strRef>
              <c:f>'Budget Choices Workings'!$AP$89</c:f>
              <c:strCache>
                <c:ptCount val="1"/>
                <c:pt idx="0">
                  <c:v>Staff added</c:v>
                </c:pt>
              </c:strCache>
            </c:strRef>
          </c:tx>
          <c:invertIfNegative val="0"/>
          <c:dLbls>
            <c:dLbl>
              <c:idx val="0"/>
              <c:layout>
                <c:manualLayout>
                  <c:x val="1.3888888888888888E-2"/>
                  <c:y val="-9.2592592592592587E-2"/>
                </c:manualLayout>
              </c:layout>
              <c:spPr/>
              <c:txPr>
                <a:bodyPr/>
                <a:lstStyle/>
                <a:p>
                  <a:pPr>
                    <a:defRPr sz="800">
                      <a:solidFill>
                        <a:srgbClr val="00B050"/>
                      </a:solidFill>
                    </a:defRPr>
                  </a:pPr>
                  <a:endParaRPr lang="en-US"/>
                </a:p>
              </c:txPr>
              <c:showLegendKey val="0"/>
              <c:showVal val="1"/>
              <c:showCatName val="0"/>
              <c:showSerName val="0"/>
              <c:showPercent val="0"/>
              <c:showBubbleSize val="0"/>
              <c:extLst>
                <c:ext xmlns:c15="http://schemas.microsoft.com/office/drawing/2012/chart" uri="{CE6537A1-D6FC-4f65-9D91-7224C49458BB}"/>
              </c:extLst>
            </c:dLbl>
            <c:dLbl>
              <c:idx val="1"/>
              <c:layout>
                <c:manualLayout>
                  <c:x val="1.1111111111111112E-2"/>
                  <c:y val="-8.3333333333333329E-2"/>
                </c:manualLayout>
              </c:layout>
              <c:spPr/>
              <c:txPr>
                <a:bodyPr/>
                <a:lstStyle/>
                <a:p>
                  <a:pPr>
                    <a:defRPr sz="800">
                      <a:solidFill>
                        <a:srgbClr val="00B050"/>
                      </a:solidFill>
                    </a:defRPr>
                  </a:pPr>
                  <a:endParaRPr lang="en-US"/>
                </a:p>
              </c:txPr>
              <c:showLegendKey val="0"/>
              <c:showVal val="1"/>
              <c:showCatName val="0"/>
              <c:showSerName val="0"/>
              <c:showPercent val="0"/>
              <c:showBubbleSize val="0"/>
              <c:extLst>
                <c:ext xmlns:c15="http://schemas.microsoft.com/office/drawing/2012/chart" uri="{CE6537A1-D6FC-4f65-9D91-7224C49458BB}"/>
              </c:extLst>
            </c:dLbl>
            <c:dLbl>
              <c:idx val="2"/>
              <c:layout>
                <c:manualLayout>
                  <c:x val="1.1111111111111112E-2"/>
                  <c:y val="-9.2592592592592601E-2"/>
                </c:manualLayout>
              </c:layout>
              <c:spPr/>
              <c:txPr>
                <a:bodyPr/>
                <a:lstStyle/>
                <a:p>
                  <a:pPr>
                    <a:defRPr sz="800">
                      <a:solidFill>
                        <a:srgbClr val="00B050"/>
                      </a:solidFill>
                    </a:defRPr>
                  </a:pPr>
                  <a:endParaRPr lang="en-US"/>
                </a:p>
              </c:txPr>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'Budget Choices Workings'!$AM$90:$AM$92</c:f>
              <c:strCache>
                <c:ptCount val="3"/>
                <c:pt idx="0">
                  <c:v>Districit specialist teams</c:v>
                </c:pt>
                <c:pt idx="1">
                  <c:v>Ward based teams</c:v>
                </c:pt>
                <c:pt idx="2">
                  <c:v>Health facilities</c:v>
                </c:pt>
              </c:strCache>
            </c:strRef>
          </c:cat>
          <c:val>
            <c:numRef>
              <c:f>'Budget Choices Workings'!$AP$90:$AP$92</c:f>
              <c:numCache>
                <c:formatCode>_ * #,##0_ ;_ * \-#,##0_ ;_ * "-"??_ ;_ @_ </c:formatCode>
                <c:ptCount val="3"/>
                <c:pt idx="0">
                  <c:v>0</c:v>
                </c:pt>
                <c:pt idx="1">
                  <c:v>0</c:v>
                </c:pt>
                <c:pt idx="2">
                  <c:v>0</c:v>
                </c:pt>
              </c:numCache>
            </c:numRef>
          </c:val>
        </c:ser>
        <c:ser>
          <c:idx val="3"/>
          <c:order val="3"/>
          <c:tx>
            <c:strRef>
              <c:f>'Budget Choices Workings'!$AQ$89</c:f>
              <c:strCache>
                <c:ptCount val="1"/>
                <c:pt idx="0">
                  <c:v>Staff uncovered</c:v>
                </c:pt>
              </c:strCache>
            </c:strRef>
          </c:tx>
          <c:invertIfNegative val="0"/>
          <c:dLbls>
            <c:dLbl>
              <c:idx val="0"/>
              <c:layout>
                <c:manualLayout>
                  <c:x val="-8.3333333333333332E-3"/>
                  <c:y val="8.7962962962962965E-2"/>
                </c:manualLayout>
              </c:layout>
              <c:spPr/>
              <c:txPr>
                <a:bodyPr/>
                <a:lstStyle/>
                <a:p>
                  <a:pPr>
                    <a:defRPr sz="800"/>
                  </a:pPr>
                  <a:endParaRPr lang="en-US"/>
                </a:p>
              </c:txPr>
              <c:showLegendKey val="0"/>
              <c:showVal val="1"/>
              <c:showCatName val="0"/>
              <c:showSerName val="0"/>
              <c:showPercent val="0"/>
              <c:showBubbleSize val="0"/>
              <c:extLst>
                <c:ext xmlns:c15="http://schemas.microsoft.com/office/drawing/2012/chart" uri="{CE6537A1-D6FC-4f65-9D91-7224C49458BB}"/>
              </c:extLst>
            </c:dLbl>
            <c:dLbl>
              <c:idx val="1"/>
              <c:layout>
                <c:manualLayout>
                  <c:x val="-8.3333333333333332E-3"/>
                  <c:y val="9.2592592592592587E-2"/>
                </c:manualLayout>
              </c:layout>
              <c:spPr/>
              <c:txPr>
                <a:bodyPr/>
                <a:lstStyle/>
                <a:p>
                  <a:pPr>
                    <a:defRPr sz="800"/>
                  </a:pPr>
                  <a:endParaRPr lang="en-US"/>
                </a:p>
              </c:txPr>
              <c:showLegendKey val="0"/>
              <c:showVal val="1"/>
              <c:showCatName val="0"/>
              <c:showSerName val="0"/>
              <c:showPercent val="0"/>
              <c:showBubbleSize val="0"/>
              <c:extLst>
                <c:ext xmlns:c15="http://schemas.microsoft.com/office/drawing/2012/chart" uri="{CE6537A1-D6FC-4f65-9D91-7224C49458BB}"/>
              </c:extLst>
            </c:dLbl>
            <c:dLbl>
              <c:idx val="2"/>
              <c:layout>
                <c:manualLayout>
                  <c:x val="0"/>
                  <c:y val="9.7222222222222224E-2"/>
                </c:manualLayout>
              </c:layout>
              <c:spPr/>
              <c:txPr>
                <a:bodyPr/>
                <a:lstStyle/>
                <a:p>
                  <a:pPr>
                    <a:defRPr sz="800"/>
                  </a:pPr>
                  <a:endParaRPr lang="en-US"/>
                </a:p>
              </c:txPr>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'Budget Choices Workings'!$AM$90:$AM$92</c:f>
              <c:strCache>
                <c:ptCount val="3"/>
                <c:pt idx="0">
                  <c:v>Districit specialist teams</c:v>
                </c:pt>
                <c:pt idx="1">
                  <c:v>Ward based teams</c:v>
                </c:pt>
                <c:pt idx="2">
                  <c:v>Health facilities</c:v>
                </c:pt>
              </c:strCache>
            </c:strRef>
          </c:cat>
          <c:val>
            <c:numRef>
              <c:f>'Budget Choices Workings'!$AQ$90:$AQ$92</c:f>
              <c:numCache>
                <c:formatCode>_ * #,##0_ ;_ * \-#,##0_ ;_ * "-"??_ ;_ @_ </c:formatCode>
                <c:ptCount val="3"/>
                <c:pt idx="0">
                  <c:v>0</c:v>
                </c:pt>
                <c:pt idx="1">
                  <c:v>0</c:v>
                </c:pt>
                <c:pt idx="2">
                  <c:v>0</c:v>
                </c:pt>
              </c:numCache>
            </c:numRef>
          </c:val>
        </c:ser>
        <c:dLbls>
          <c:showLegendKey val="0"/>
          <c:showVal val="0"/>
          <c:showCatName val="0"/>
          <c:showSerName val="0"/>
          <c:showPercent val="0"/>
          <c:showBubbleSize val="0"/>
        </c:dLbls>
        <c:gapWidth val="102"/>
        <c:overlap val="100"/>
        <c:axId val="96051968"/>
        <c:axId val="96053504"/>
      </c:barChart>
      <c:catAx>
        <c:axId val="96051968"/>
        <c:scaling>
          <c:orientation val="minMax"/>
        </c:scaling>
        <c:delete val="0"/>
        <c:axPos val="l"/>
        <c:numFmt formatCode="General" sourceLinked="0"/>
        <c:majorTickMark val="out"/>
        <c:minorTickMark val="none"/>
        <c:tickLblPos val="nextTo"/>
        <c:spPr>
          <a:ln>
            <a:noFill/>
          </a:ln>
        </c:spPr>
        <c:txPr>
          <a:bodyPr/>
          <a:lstStyle/>
          <a:p>
            <a:pPr>
              <a:defRPr>
                <a:latin typeface="Arial" panose="020B0604020202020204" pitchFamily="34" charset="0"/>
                <a:cs typeface="Arial" panose="020B0604020202020204" pitchFamily="34" charset="0"/>
              </a:defRPr>
            </a:pPr>
            <a:endParaRPr lang="en-US"/>
          </a:p>
        </c:txPr>
        <c:crossAx val="96053504"/>
        <c:crosses val="autoZero"/>
        <c:auto val="1"/>
        <c:lblAlgn val="ctr"/>
        <c:lblOffset val="100"/>
        <c:noMultiLvlLbl val="0"/>
      </c:catAx>
      <c:valAx>
        <c:axId val="96053504"/>
        <c:scaling>
          <c:orientation val="minMax"/>
          <c:max val="1"/>
          <c:min val="0"/>
        </c:scaling>
        <c:delete val="1"/>
        <c:axPos val="b"/>
        <c:numFmt formatCode="0%" sourceLinked="1"/>
        <c:majorTickMark val="out"/>
        <c:minorTickMark val="none"/>
        <c:tickLblPos val="nextTo"/>
        <c:crossAx val="96051968"/>
        <c:crosses val="autoZero"/>
        <c:crossBetween val="between"/>
      </c:valAx>
      <c:spPr>
        <a:noFill/>
      </c:spPr>
    </c:plotArea>
    <c:legend>
      <c:legendPos val="r"/>
      <c:overlay val="0"/>
      <c:txPr>
        <a:bodyPr/>
        <a:lstStyle/>
        <a:p>
          <a:pPr>
            <a:defRPr>
              <a:latin typeface="Arial" panose="020B0604020202020204" pitchFamily="34" charset="0"/>
              <a:cs typeface="Arial" panose="020B0604020202020204" pitchFamily="34" charset="0"/>
            </a:defRPr>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trlProps/ctrlProp1.xml><?xml version="1.0" encoding="utf-8"?>
<formControlPr xmlns="http://schemas.microsoft.com/office/spreadsheetml/2009/9/main" objectType="Spin" dx="16" fmlaLink="$E$37" max="100" page="10" val="83"/>
</file>

<file path=xl/ctrlProps/ctrlProp10.xml><?xml version="1.0" encoding="utf-8"?>
<formControlPr xmlns="http://schemas.microsoft.com/office/spreadsheetml/2009/9/main" objectType="Spin" dx="0" fmlaLink="$E$73" max="100" page="0" val="65"/>
</file>

<file path=xl/ctrlProps/ctrlProp11.xml><?xml version="1.0" encoding="utf-8"?>
<formControlPr xmlns="http://schemas.microsoft.com/office/spreadsheetml/2009/9/main" objectType="Spin" dx="0" fmlaLink="$E$74" max="100" page="0" val="65"/>
</file>

<file path=xl/ctrlProps/ctrlProp12.xml><?xml version="1.0" encoding="utf-8"?>
<formControlPr xmlns="http://schemas.microsoft.com/office/spreadsheetml/2009/9/main" objectType="Spin" dx="0" fmlaLink="$E$75" max="100" page="0" val="35"/>
</file>

<file path=xl/ctrlProps/ctrlProp13.xml><?xml version="1.0" encoding="utf-8"?>
<formControlPr xmlns="http://schemas.microsoft.com/office/spreadsheetml/2009/9/main" objectType="Spin" dx="0" fmlaLink="$E$104" max="100" page="0" val="7"/>
</file>

<file path=xl/ctrlProps/ctrlProp14.xml><?xml version="1.0" encoding="utf-8"?>
<formControlPr xmlns="http://schemas.microsoft.com/office/spreadsheetml/2009/9/main" objectType="Spin" dx="0" fmlaLink="$E$105" max="100" page="0" val="3"/>
</file>

<file path=xl/ctrlProps/ctrlProp15.xml><?xml version="1.0" encoding="utf-8"?>
<formControlPr xmlns="http://schemas.microsoft.com/office/spreadsheetml/2009/9/main" objectType="Spin" dx="16" fmlaLink="$E$26" max="100" page="10" val="85"/>
</file>

<file path=xl/ctrlProps/ctrlProp16.xml><?xml version="1.0" encoding="utf-8"?>
<formControlPr xmlns="http://schemas.microsoft.com/office/spreadsheetml/2009/9/main" objectType="Spin" dx="0" fmlaLink="$E$111" max="100" page="0" val="95"/>
</file>

<file path=xl/ctrlProps/ctrlProp17.xml><?xml version="1.0" encoding="utf-8"?>
<formControlPr xmlns="http://schemas.microsoft.com/office/spreadsheetml/2009/9/main" objectType="Spin" dx="0" fmlaLink="$E$112" max="100" page="0" val="95"/>
</file>

<file path=xl/ctrlProps/ctrlProp2.xml><?xml version="1.0" encoding="utf-8"?>
<formControlPr xmlns="http://schemas.microsoft.com/office/spreadsheetml/2009/9/main" objectType="Spin" dx="0" fmlaLink="$E$38" max="100" page="0" val="83"/>
</file>

<file path=xl/ctrlProps/ctrlProp3.xml><?xml version="1.0" encoding="utf-8"?>
<formControlPr xmlns="http://schemas.microsoft.com/office/spreadsheetml/2009/9/main" objectType="Spin" dx="0" fmlaLink="$E$39" max="100" page="0" val="83"/>
</file>

<file path=xl/ctrlProps/ctrlProp4.xml><?xml version="1.0" encoding="utf-8"?>
<formControlPr xmlns="http://schemas.microsoft.com/office/spreadsheetml/2009/9/main" objectType="Spin" dx="0" fmlaLink="$E$46" max="100" page="0" val="100"/>
</file>

<file path=xl/ctrlProps/ctrlProp5.xml><?xml version="1.0" encoding="utf-8"?>
<formControlPr xmlns="http://schemas.microsoft.com/office/spreadsheetml/2009/9/main" objectType="Spin" dx="0" fmlaLink="$E$47" max="100" page="0" val="100"/>
</file>

<file path=xl/ctrlProps/ctrlProp6.xml><?xml version="1.0" encoding="utf-8"?>
<formControlPr xmlns="http://schemas.microsoft.com/office/spreadsheetml/2009/9/main" objectType="Spin" dx="0" fmlaLink="$E$48" max="100" page="0" val="100"/>
</file>

<file path=xl/ctrlProps/ctrlProp7.xml><?xml version="1.0" encoding="utf-8"?>
<formControlPr xmlns="http://schemas.microsoft.com/office/spreadsheetml/2009/9/main" objectType="Spin" dx="0" fmlaLink="$E$53" max="100" page="0" val="100"/>
</file>

<file path=xl/ctrlProps/ctrlProp8.xml><?xml version="1.0" encoding="utf-8"?>
<formControlPr xmlns="http://schemas.microsoft.com/office/spreadsheetml/2009/9/main" objectType="Spin" dx="0" fmlaLink="$E$54" max="100" page="0" val="100"/>
</file>

<file path=xl/ctrlProps/ctrlProp9.xml><?xml version="1.0" encoding="utf-8"?>
<formControlPr xmlns="http://schemas.microsoft.com/office/spreadsheetml/2009/9/main" objectType="Spin" dx="0" fmlaLink="$E$55" max="100" page="0" val="100"/>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11.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chart" Target="../charts/chart24.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29.xml"/><Relationship Id="rId2" Type="http://schemas.openxmlformats.org/officeDocument/2006/relationships/chart" Target="../charts/chart28.xml"/><Relationship Id="rId1" Type="http://schemas.openxmlformats.org/officeDocument/2006/relationships/chart" Target="../charts/chart27.xml"/><Relationship Id="rId4" Type="http://schemas.openxmlformats.org/officeDocument/2006/relationships/chart" Target="../charts/chart30.xml"/></Relationships>
</file>

<file path=xl/drawings/_rels/drawing2.xml.rels><?xml version="1.0" encoding="UTF-8" standalone="yes"?>
<Relationships xmlns="http://schemas.openxmlformats.org/package/2006/relationships"><Relationship Id="rId8" Type="http://schemas.openxmlformats.org/officeDocument/2006/relationships/hyperlink" Target="#'Budget Choices'!B85"/><Relationship Id="rId13" Type="http://schemas.openxmlformats.org/officeDocument/2006/relationships/hyperlink" Target="#'Budget Choices'!F110"/><Relationship Id="rId18" Type="http://schemas.openxmlformats.org/officeDocument/2006/relationships/chart" Target="../charts/chart12.xml"/><Relationship Id="rId3" Type="http://schemas.openxmlformats.org/officeDocument/2006/relationships/chart" Target="../charts/chart3.xml"/><Relationship Id="rId7" Type="http://schemas.openxmlformats.org/officeDocument/2006/relationships/hyperlink" Target="#'Budget Choices'!H62"/><Relationship Id="rId12" Type="http://schemas.openxmlformats.org/officeDocument/2006/relationships/chart" Target="../charts/chart7.xml"/><Relationship Id="rId17" Type="http://schemas.openxmlformats.org/officeDocument/2006/relationships/chart" Target="../charts/chart11.xml"/><Relationship Id="rId2" Type="http://schemas.openxmlformats.org/officeDocument/2006/relationships/chart" Target="../charts/chart2.xml"/><Relationship Id="rId16" Type="http://schemas.openxmlformats.org/officeDocument/2006/relationships/chart" Target="../charts/chart10.xml"/><Relationship Id="rId1" Type="http://schemas.openxmlformats.org/officeDocument/2006/relationships/chart" Target="../charts/chart1.xml"/><Relationship Id="rId6" Type="http://schemas.openxmlformats.org/officeDocument/2006/relationships/hyperlink" Target="#'Budget Choices'!B4"/><Relationship Id="rId11" Type="http://schemas.openxmlformats.org/officeDocument/2006/relationships/chart" Target="../charts/chart6.xml"/><Relationship Id="rId5" Type="http://schemas.openxmlformats.org/officeDocument/2006/relationships/chart" Target="../charts/chart5.xml"/><Relationship Id="rId15" Type="http://schemas.openxmlformats.org/officeDocument/2006/relationships/chart" Target="../charts/chart9.xml"/><Relationship Id="rId10" Type="http://schemas.openxmlformats.org/officeDocument/2006/relationships/hyperlink" Target="#'Budget Choices'!B43"/><Relationship Id="rId4" Type="http://schemas.openxmlformats.org/officeDocument/2006/relationships/chart" Target="../charts/chart4.xml"/><Relationship Id="rId9" Type="http://schemas.openxmlformats.org/officeDocument/2006/relationships/hyperlink" Target="#'Budget Choices'!B30"/><Relationship Id="rId14" Type="http://schemas.openxmlformats.org/officeDocument/2006/relationships/chart" Target="../charts/chart8.xml"/></Relationships>
</file>

<file path=xl/drawings/_rels/drawing5.xml.rels><?xml version="1.0" encoding="UTF-8" standalone="yes"?>
<Relationships xmlns="http://schemas.openxmlformats.org/package/2006/relationships"><Relationship Id="rId8" Type="http://schemas.openxmlformats.org/officeDocument/2006/relationships/chart" Target="../charts/chart20.xml"/><Relationship Id="rId3" Type="http://schemas.openxmlformats.org/officeDocument/2006/relationships/chart" Target="../charts/chart15.xml"/><Relationship Id="rId7" Type="http://schemas.openxmlformats.org/officeDocument/2006/relationships/chart" Target="../charts/chart19.xml"/><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8.xml"/><Relationship Id="rId5" Type="http://schemas.openxmlformats.org/officeDocument/2006/relationships/chart" Target="../charts/chart17.xml"/><Relationship Id="rId10" Type="http://schemas.openxmlformats.org/officeDocument/2006/relationships/chart" Target="../charts/chart22.xml"/><Relationship Id="rId4" Type="http://schemas.openxmlformats.org/officeDocument/2006/relationships/chart" Target="../charts/chart16.xml"/><Relationship Id="rId9" Type="http://schemas.openxmlformats.org/officeDocument/2006/relationships/chart" Target="../charts/chart21.xml"/></Relationships>
</file>

<file path=xl/drawings/drawing1.xml><?xml version="1.0" encoding="utf-8"?>
<xdr:wsDr xmlns:xdr="http://schemas.openxmlformats.org/drawingml/2006/spreadsheetDrawing" xmlns:a="http://schemas.openxmlformats.org/drawingml/2006/main">
  <xdr:twoCellAnchor>
    <xdr:from>
      <xdr:col>3</xdr:col>
      <xdr:colOff>592667</xdr:colOff>
      <xdr:row>11</xdr:row>
      <xdr:rowOff>1</xdr:rowOff>
    </xdr:from>
    <xdr:to>
      <xdr:col>7</xdr:col>
      <xdr:colOff>42475</xdr:colOff>
      <xdr:row>12</xdr:row>
      <xdr:rowOff>237598</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21467" y="2943226"/>
          <a:ext cx="1888208" cy="570972"/>
        </a:xfrm>
        <a:prstGeom prst="rect">
          <a:avLst/>
        </a:prstGeom>
        <a:noFill/>
        <a:ln>
          <a:noFill/>
        </a:ln>
        <a:extLst>
          <a:ext uri="{909E8E84-426E-40DD-AFC4-6F175D3DCCD1}">
            <a14:hiddenFill xmlns:a14="http://schemas.microsoft.com/office/drawing/2010/main">
              <a:solidFill>
                <a:srgbClr val="00CC99"/>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452438</xdr:colOff>
      <xdr:row>3</xdr:row>
      <xdr:rowOff>138112</xdr:rowOff>
    </xdr:from>
    <xdr:to>
      <xdr:col>3</xdr:col>
      <xdr:colOff>557213</xdr:colOff>
      <xdr:row>5</xdr:row>
      <xdr:rowOff>71437</xdr:rowOff>
    </xdr:to>
    <xdr:sp macro="" textlink="">
      <xdr:nvSpPr>
        <xdr:cNvPr id="2" name="Rounded Rectangle 1"/>
        <xdr:cNvSpPr/>
      </xdr:nvSpPr>
      <xdr:spPr>
        <a:xfrm>
          <a:off x="1666876" y="709612"/>
          <a:ext cx="711993" cy="3143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ZA" sz="1100"/>
            <a:t>NDOH</a:t>
          </a:r>
        </a:p>
      </xdr:txBody>
    </xdr:sp>
    <xdr:clientData/>
  </xdr:twoCellAnchor>
  <xdr:twoCellAnchor>
    <xdr:from>
      <xdr:col>5</xdr:col>
      <xdr:colOff>226219</xdr:colOff>
      <xdr:row>3</xdr:row>
      <xdr:rowOff>128588</xdr:rowOff>
    </xdr:from>
    <xdr:to>
      <xdr:col>8</xdr:col>
      <xdr:colOff>261937</xdr:colOff>
      <xdr:row>6</xdr:row>
      <xdr:rowOff>31749</xdr:rowOff>
    </xdr:to>
    <xdr:sp macro="" textlink="">
      <xdr:nvSpPr>
        <xdr:cNvPr id="4" name="Rounded Rectangle 3"/>
        <xdr:cNvSpPr/>
      </xdr:nvSpPr>
      <xdr:spPr>
        <a:xfrm>
          <a:off x="2381250" y="938213"/>
          <a:ext cx="1857375" cy="47466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ZA" sz="1100">
              <a:latin typeface="Arial" panose="020B0604020202020204" pitchFamily="34" charset="0"/>
              <a:cs typeface="Arial" panose="020B0604020202020204" pitchFamily="34" charset="0"/>
            </a:rPr>
            <a:t>Establish Nutrition Council</a:t>
          </a:r>
        </a:p>
      </xdr:txBody>
    </xdr:sp>
    <xdr:clientData/>
  </xdr:twoCellAnchor>
  <xdr:twoCellAnchor>
    <xdr:from>
      <xdr:col>5</xdr:col>
      <xdr:colOff>226219</xdr:colOff>
      <xdr:row>8</xdr:row>
      <xdr:rowOff>95251</xdr:rowOff>
    </xdr:from>
    <xdr:to>
      <xdr:col>8</xdr:col>
      <xdr:colOff>273844</xdr:colOff>
      <xdr:row>11</xdr:row>
      <xdr:rowOff>35719</xdr:rowOff>
    </xdr:to>
    <xdr:sp macro="" textlink="">
      <xdr:nvSpPr>
        <xdr:cNvPr id="5" name="Rounded Rectangle 4"/>
        <xdr:cNvSpPr/>
      </xdr:nvSpPr>
      <xdr:spPr>
        <a:xfrm>
          <a:off x="2381250" y="1857376"/>
          <a:ext cx="1869282" cy="51196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ZA" sz="1100">
              <a:latin typeface="Arial" panose="020B0604020202020204" pitchFamily="34" charset="0"/>
              <a:cs typeface="Arial" panose="020B0604020202020204" pitchFamily="34" charset="0"/>
            </a:rPr>
            <a:t>Policy</a:t>
          </a:r>
          <a:r>
            <a:rPr lang="en-ZA" sz="1100" baseline="0">
              <a:latin typeface="Arial" panose="020B0604020202020204" pitchFamily="34" charset="0"/>
              <a:cs typeface="Arial" panose="020B0604020202020204" pitchFamily="34" charset="0"/>
            </a:rPr>
            <a:t> Development and Oversight</a:t>
          </a:r>
          <a:endParaRPr lang="en-ZA" sz="1100">
            <a:latin typeface="Arial" panose="020B0604020202020204" pitchFamily="34" charset="0"/>
            <a:cs typeface="Arial" panose="020B0604020202020204" pitchFamily="34" charset="0"/>
          </a:endParaRPr>
        </a:p>
      </xdr:txBody>
    </xdr:sp>
    <xdr:clientData/>
  </xdr:twoCellAnchor>
  <xdr:twoCellAnchor>
    <xdr:from>
      <xdr:col>9</xdr:col>
      <xdr:colOff>95250</xdr:colOff>
      <xdr:row>29</xdr:row>
      <xdr:rowOff>33351</xdr:rowOff>
    </xdr:from>
    <xdr:to>
      <xdr:col>12</xdr:col>
      <xdr:colOff>476251</xdr:colOff>
      <xdr:row>30</xdr:row>
      <xdr:rowOff>138125</xdr:rowOff>
    </xdr:to>
    <xdr:sp macro="" textlink="">
      <xdr:nvSpPr>
        <xdr:cNvPr id="6" name="Rounded Rectangle 5"/>
        <xdr:cNvSpPr/>
      </xdr:nvSpPr>
      <xdr:spPr>
        <a:xfrm>
          <a:off x="4679156" y="5795976"/>
          <a:ext cx="2202658" cy="295274"/>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ZA" sz="1100">
              <a:latin typeface="Arial" panose="020B0604020202020204" pitchFamily="34" charset="0"/>
              <a:cs typeface="Arial" panose="020B0604020202020204" pitchFamily="34" charset="0"/>
            </a:rPr>
            <a:t>Staff time and travel costs</a:t>
          </a:r>
        </a:p>
      </xdr:txBody>
    </xdr:sp>
    <xdr:clientData/>
  </xdr:twoCellAnchor>
  <xdr:twoCellAnchor>
    <xdr:from>
      <xdr:col>9</xdr:col>
      <xdr:colOff>166705</xdr:colOff>
      <xdr:row>10</xdr:row>
      <xdr:rowOff>114301</xdr:rowOff>
    </xdr:from>
    <xdr:to>
      <xdr:col>12</xdr:col>
      <xdr:colOff>392923</xdr:colOff>
      <xdr:row>12</xdr:row>
      <xdr:rowOff>28575</xdr:rowOff>
    </xdr:to>
    <xdr:sp macro="" textlink="">
      <xdr:nvSpPr>
        <xdr:cNvPr id="7" name="Rounded Rectangle 6"/>
        <xdr:cNvSpPr/>
      </xdr:nvSpPr>
      <xdr:spPr>
        <a:xfrm>
          <a:off x="4750611" y="2257426"/>
          <a:ext cx="2047875" cy="29527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ZA" sz="1100">
              <a:latin typeface="Arial" panose="020B0604020202020204" pitchFamily="34" charset="0"/>
              <a:cs typeface="Arial" panose="020B0604020202020204" pitchFamily="34" charset="0"/>
            </a:rPr>
            <a:t>Capacity</a:t>
          </a:r>
          <a:r>
            <a:rPr lang="en-ZA" sz="1100" baseline="0">
              <a:latin typeface="Arial" panose="020B0604020202020204" pitchFamily="34" charset="0"/>
              <a:cs typeface="Arial" panose="020B0604020202020204" pitchFamily="34" charset="0"/>
            </a:rPr>
            <a:t> Building Workshops</a:t>
          </a:r>
          <a:endParaRPr lang="en-ZA" sz="1100">
            <a:latin typeface="Arial" panose="020B0604020202020204" pitchFamily="34" charset="0"/>
            <a:cs typeface="Arial" panose="020B0604020202020204" pitchFamily="34" charset="0"/>
          </a:endParaRPr>
        </a:p>
      </xdr:txBody>
    </xdr:sp>
    <xdr:clientData/>
  </xdr:twoCellAnchor>
  <xdr:twoCellAnchor>
    <xdr:from>
      <xdr:col>9</xdr:col>
      <xdr:colOff>176231</xdr:colOff>
      <xdr:row>6</xdr:row>
      <xdr:rowOff>66676</xdr:rowOff>
    </xdr:from>
    <xdr:to>
      <xdr:col>12</xdr:col>
      <xdr:colOff>392923</xdr:colOff>
      <xdr:row>7</xdr:row>
      <xdr:rowOff>171450</xdr:rowOff>
    </xdr:to>
    <xdr:sp macro="" textlink="">
      <xdr:nvSpPr>
        <xdr:cNvPr id="8" name="Rounded Rectangle 7"/>
        <xdr:cNvSpPr/>
      </xdr:nvSpPr>
      <xdr:spPr>
        <a:xfrm>
          <a:off x="4760137" y="1447801"/>
          <a:ext cx="2038349" cy="29527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ZA" sz="1100">
              <a:latin typeface="Arial" panose="020B0604020202020204" pitchFamily="34" charset="0"/>
              <a:cs typeface="Arial" panose="020B0604020202020204" pitchFamily="34" charset="0"/>
            </a:rPr>
            <a:t>Council Meeting</a:t>
          </a:r>
          <a:r>
            <a:rPr lang="en-ZA" sz="1100" baseline="0">
              <a:latin typeface="Arial" panose="020B0604020202020204" pitchFamily="34" charset="0"/>
              <a:cs typeface="Arial" panose="020B0604020202020204" pitchFamily="34" charset="0"/>
            </a:rPr>
            <a:t> costs</a:t>
          </a:r>
          <a:endParaRPr lang="en-ZA" sz="1100">
            <a:latin typeface="Arial" panose="020B0604020202020204" pitchFamily="34" charset="0"/>
            <a:cs typeface="Arial" panose="020B0604020202020204" pitchFamily="34" charset="0"/>
          </a:endParaRPr>
        </a:p>
      </xdr:txBody>
    </xdr:sp>
    <xdr:clientData/>
  </xdr:twoCellAnchor>
  <xdr:twoCellAnchor>
    <xdr:from>
      <xdr:col>9</xdr:col>
      <xdr:colOff>176230</xdr:colOff>
      <xdr:row>3</xdr:row>
      <xdr:rowOff>66675</xdr:rowOff>
    </xdr:from>
    <xdr:to>
      <xdr:col>12</xdr:col>
      <xdr:colOff>392923</xdr:colOff>
      <xdr:row>6</xdr:row>
      <xdr:rowOff>0</xdr:rowOff>
    </xdr:to>
    <xdr:sp macro="" textlink="">
      <xdr:nvSpPr>
        <xdr:cNvPr id="9" name="Rounded Rectangle 8"/>
        <xdr:cNvSpPr/>
      </xdr:nvSpPr>
      <xdr:spPr>
        <a:xfrm>
          <a:off x="4760136" y="876300"/>
          <a:ext cx="2038350" cy="5048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ZA" sz="1100">
              <a:latin typeface="Arial" panose="020B0604020202020204" pitchFamily="34" charset="0"/>
              <a:cs typeface="Arial" panose="020B0604020202020204" pitchFamily="34" charset="0"/>
            </a:rPr>
            <a:t>Secretariat</a:t>
          </a:r>
          <a:r>
            <a:rPr lang="en-ZA" sz="1100" baseline="0">
              <a:latin typeface="Arial" panose="020B0604020202020204" pitchFamily="34" charset="0"/>
              <a:cs typeface="Arial" panose="020B0604020202020204" pitchFamily="34" charset="0"/>
            </a:rPr>
            <a:t> Staff time and Travel</a:t>
          </a:r>
          <a:endParaRPr lang="en-ZA" sz="1100">
            <a:latin typeface="Arial" panose="020B0604020202020204" pitchFamily="34" charset="0"/>
            <a:cs typeface="Arial" panose="020B0604020202020204" pitchFamily="34" charset="0"/>
          </a:endParaRPr>
        </a:p>
      </xdr:txBody>
    </xdr:sp>
    <xdr:clientData/>
  </xdr:twoCellAnchor>
  <xdr:twoCellAnchor>
    <xdr:from>
      <xdr:col>9</xdr:col>
      <xdr:colOff>176230</xdr:colOff>
      <xdr:row>12</xdr:row>
      <xdr:rowOff>171450</xdr:rowOff>
    </xdr:from>
    <xdr:to>
      <xdr:col>12</xdr:col>
      <xdr:colOff>416736</xdr:colOff>
      <xdr:row>15</xdr:row>
      <xdr:rowOff>114300</xdr:rowOff>
    </xdr:to>
    <xdr:sp macro="" textlink="">
      <xdr:nvSpPr>
        <xdr:cNvPr id="10" name="Rounded Rectangle 9"/>
        <xdr:cNvSpPr/>
      </xdr:nvSpPr>
      <xdr:spPr>
        <a:xfrm>
          <a:off x="4760136" y="2695575"/>
          <a:ext cx="2062163" cy="5143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ZA" sz="1100">
              <a:latin typeface="Arial" panose="020B0604020202020204" pitchFamily="34" charset="0"/>
              <a:cs typeface="Arial" panose="020B0604020202020204" pitchFamily="34" charset="0"/>
            </a:rPr>
            <a:t>Cost of Food Fortification Tests</a:t>
          </a:r>
        </a:p>
      </xdr:txBody>
    </xdr:sp>
    <xdr:clientData/>
  </xdr:twoCellAnchor>
  <xdr:twoCellAnchor>
    <xdr:from>
      <xdr:col>2</xdr:col>
      <xdr:colOff>428625</xdr:colOff>
      <xdr:row>16</xdr:row>
      <xdr:rowOff>107153</xdr:rowOff>
    </xdr:from>
    <xdr:to>
      <xdr:col>3</xdr:col>
      <xdr:colOff>533400</xdr:colOff>
      <xdr:row>18</xdr:row>
      <xdr:rowOff>40478</xdr:rowOff>
    </xdr:to>
    <xdr:sp macro="" textlink="">
      <xdr:nvSpPr>
        <xdr:cNvPr id="11" name="Rounded Rectangle 10"/>
        <xdr:cNvSpPr/>
      </xdr:nvSpPr>
      <xdr:spPr>
        <a:xfrm>
          <a:off x="797719" y="3393278"/>
          <a:ext cx="676275" cy="314325"/>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ZA" sz="1100"/>
            <a:t>PDOH</a:t>
          </a:r>
        </a:p>
      </xdr:txBody>
    </xdr:sp>
    <xdr:clientData/>
  </xdr:twoCellAnchor>
  <xdr:twoCellAnchor>
    <xdr:from>
      <xdr:col>5</xdr:col>
      <xdr:colOff>226219</xdr:colOff>
      <xdr:row>24</xdr:row>
      <xdr:rowOff>16682</xdr:rowOff>
    </xdr:from>
    <xdr:to>
      <xdr:col>8</xdr:col>
      <xdr:colOff>238125</xdr:colOff>
      <xdr:row>26</xdr:row>
      <xdr:rowOff>119075</xdr:rowOff>
    </xdr:to>
    <xdr:sp macro="" textlink="">
      <xdr:nvSpPr>
        <xdr:cNvPr id="12" name="Rounded Rectangle 11"/>
        <xdr:cNvSpPr/>
      </xdr:nvSpPr>
      <xdr:spPr>
        <a:xfrm>
          <a:off x="2381250" y="4826807"/>
          <a:ext cx="1833563" cy="483393"/>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ZA" sz="1100">
              <a:latin typeface="Arial" panose="020B0604020202020204" pitchFamily="34" charset="0"/>
              <a:cs typeface="Arial" panose="020B0604020202020204" pitchFamily="34" charset="0"/>
            </a:rPr>
            <a:t>Establish Nutrition Council</a:t>
          </a:r>
        </a:p>
      </xdr:txBody>
    </xdr:sp>
    <xdr:clientData/>
  </xdr:twoCellAnchor>
  <xdr:twoCellAnchor>
    <xdr:from>
      <xdr:col>9</xdr:col>
      <xdr:colOff>107157</xdr:colOff>
      <xdr:row>27</xdr:row>
      <xdr:rowOff>14302</xdr:rowOff>
    </xdr:from>
    <xdr:to>
      <xdr:col>12</xdr:col>
      <xdr:colOff>481013</xdr:colOff>
      <xdr:row>28</xdr:row>
      <xdr:rowOff>119076</xdr:rowOff>
    </xdr:to>
    <xdr:sp macro="" textlink="">
      <xdr:nvSpPr>
        <xdr:cNvPr id="13" name="Rounded Rectangle 12"/>
        <xdr:cNvSpPr/>
      </xdr:nvSpPr>
      <xdr:spPr>
        <a:xfrm>
          <a:off x="4691063" y="5395927"/>
          <a:ext cx="2195513" cy="295274"/>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ZA" sz="1100">
              <a:latin typeface="Arial" panose="020B0604020202020204" pitchFamily="34" charset="0"/>
              <a:cs typeface="Arial" panose="020B0604020202020204" pitchFamily="34" charset="0"/>
            </a:rPr>
            <a:t>Council Meeting</a:t>
          </a:r>
          <a:r>
            <a:rPr lang="en-ZA" sz="1100" baseline="0">
              <a:latin typeface="Arial" panose="020B0604020202020204" pitchFamily="34" charset="0"/>
              <a:cs typeface="Arial" panose="020B0604020202020204" pitchFamily="34" charset="0"/>
            </a:rPr>
            <a:t> costs</a:t>
          </a:r>
          <a:endParaRPr lang="en-ZA" sz="1100">
            <a:latin typeface="Arial" panose="020B0604020202020204" pitchFamily="34" charset="0"/>
            <a:cs typeface="Arial" panose="020B0604020202020204" pitchFamily="34" charset="0"/>
          </a:endParaRPr>
        </a:p>
      </xdr:txBody>
    </xdr:sp>
    <xdr:clientData/>
  </xdr:twoCellAnchor>
  <xdr:twoCellAnchor>
    <xdr:from>
      <xdr:col>9</xdr:col>
      <xdr:colOff>107157</xdr:colOff>
      <xdr:row>24</xdr:row>
      <xdr:rowOff>2395</xdr:rowOff>
    </xdr:from>
    <xdr:to>
      <xdr:col>12</xdr:col>
      <xdr:colOff>481013</xdr:colOff>
      <xdr:row>26</xdr:row>
      <xdr:rowOff>126220</xdr:rowOff>
    </xdr:to>
    <xdr:sp macro="" textlink="">
      <xdr:nvSpPr>
        <xdr:cNvPr id="14" name="Rounded Rectangle 13"/>
        <xdr:cNvSpPr/>
      </xdr:nvSpPr>
      <xdr:spPr>
        <a:xfrm>
          <a:off x="4691063" y="4812520"/>
          <a:ext cx="2195513" cy="504825"/>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ZA" sz="1100">
              <a:latin typeface="Arial" panose="020B0604020202020204" pitchFamily="34" charset="0"/>
              <a:cs typeface="Arial" panose="020B0604020202020204" pitchFamily="34" charset="0"/>
            </a:rPr>
            <a:t>Secretariat</a:t>
          </a:r>
          <a:r>
            <a:rPr lang="en-ZA" sz="1100" baseline="0">
              <a:latin typeface="Arial" panose="020B0604020202020204" pitchFamily="34" charset="0"/>
              <a:cs typeface="Arial" panose="020B0604020202020204" pitchFamily="34" charset="0"/>
            </a:rPr>
            <a:t> Staff time and Travel</a:t>
          </a:r>
          <a:endParaRPr lang="en-ZA" sz="1100">
            <a:latin typeface="Arial" panose="020B0604020202020204" pitchFamily="34" charset="0"/>
            <a:cs typeface="Arial" panose="020B0604020202020204" pitchFamily="34" charset="0"/>
          </a:endParaRPr>
        </a:p>
      </xdr:txBody>
    </xdr:sp>
    <xdr:clientData/>
  </xdr:twoCellAnchor>
  <xdr:twoCellAnchor>
    <xdr:from>
      <xdr:col>5</xdr:col>
      <xdr:colOff>190500</xdr:colOff>
      <xdr:row>29</xdr:row>
      <xdr:rowOff>19062</xdr:rowOff>
    </xdr:from>
    <xdr:to>
      <xdr:col>8</xdr:col>
      <xdr:colOff>261937</xdr:colOff>
      <xdr:row>31</xdr:row>
      <xdr:rowOff>154781</xdr:rowOff>
    </xdr:to>
    <xdr:sp macro="" textlink="">
      <xdr:nvSpPr>
        <xdr:cNvPr id="15" name="Rounded Rectangle 14"/>
        <xdr:cNvSpPr/>
      </xdr:nvSpPr>
      <xdr:spPr>
        <a:xfrm>
          <a:off x="2345531" y="5781687"/>
          <a:ext cx="1893094" cy="516719"/>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ZA" sz="1100">
              <a:latin typeface="Arial" panose="020B0604020202020204" pitchFamily="34" charset="0"/>
              <a:cs typeface="Arial" panose="020B0604020202020204" pitchFamily="34" charset="0"/>
            </a:rPr>
            <a:t>Policy</a:t>
          </a:r>
          <a:r>
            <a:rPr lang="en-ZA" sz="1100" baseline="0">
              <a:latin typeface="Arial" panose="020B0604020202020204" pitchFamily="34" charset="0"/>
              <a:cs typeface="Arial" panose="020B0604020202020204" pitchFamily="34" charset="0"/>
            </a:rPr>
            <a:t> Development and Oversight</a:t>
          </a:r>
          <a:endParaRPr lang="en-ZA" sz="1100">
            <a:latin typeface="Arial" panose="020B0604020202020204" pitchFamily="34" charset="0"/>
            <a:cs typeface="Arial" panose="020B0604020202020204" pitchFamily="34" charset="0"/>
          </a:endParaRPr>
        </a:p>
      </xdr:txBody>
    </xdr:sp>
    <xdr:clientData/>
  </xdr:twoCellAnchor>
  <xdr:twoCellAnchor>
    <xdr:from>
      <xdr:col>2</xdr:col>
      <xdr:colOff>245269</xdr:colOff>
      <xdr:row>34</xdr:row>
      <xdr:rowOff>92869</xdr:rowOff>
    </xdr:from>
    <xdr:to>
      <xdr:col>3</xdr:col>
      <xdr:colOff>445294</xdr:colOff>
      <xdr:row>37</xdr:row>
      <xdr:rowOff>16669</xdr:rowOff>
    </xdr:to>
    <xdr:sp macro="" textlink="">
      <xdr:nvSpPr>
        <xdr:cNvPr id="16" name="Rounded Rectangle 15"/>
        <xdr:cNvSpPr/>
      </xdr:nvSpPr>
      <xdr:spPr>
        <a:xfrm>
          <a:off x="1459707" y="6188869"/>
          <a:ext cx="807243" cy="495300"/>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ZA" sz="1100"/>
            <a:t>District Office</a:t>
          </a:r>
        </a:p>
      </xdr:txBody>
    </xdr:sp>
    <xdr:clientData/>
  </xdr:twoCellAnchor>
  <xdr:twoCellAnchor>
    <xdr:from>
      <xdr:col>5</xdr:col>
      <xdr:colOff>214313</xdr:colOff>
      <xdr:row>35</xdr:row>
      <xdr:rowOff>2381</xdr:rowOff>
    </xdr:from>
    <xdr:to>
      <xdr:col>8</xdr:col>
      <xdr:colOff>261937</xdr:colOff>
      <xdr:row>36</xdr:row>
      <xdr:rowOff>116681</xdr:rowOff>
    </xdr:to>
    <xdr:sp macro="" textlink="">
      <xdr:nvSpPr>
        <xdr:cNvPr id="17" name="Rounded Rectangle 16"/>
        <xdr:cNvSpPr/>
      </xdr:nvSpPr>
      <xdr:spPr>
        <a:xfrm>
          <a:off x="2369344" y="6908006"/>
          <a:ext cx="1869281" cy="304800"/>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ZA" sz="1100">
              <a:latin typeface="Arial" panose="020B0604020202020204" pitchFamily="34" charset="0"/>
              <a:cs typeface="Arial" panose="020B0604020202020204" pitchFamily="34" charset="0"/>
            </a:rPr>
            <a:t>Management</a:t>
          </a:r>
          <a:r>
            <a:rPr lang="en-ZA" sz="1100" baseline="0">
              <a:latin typeface="Arial" panose="020B0604020202020204" pitchFamily="34" charset="0"/>
              <a:cs typeface="Arial" panose="020B0604020202020204" pitchFamily="34" charset="0"/>
            </a:rPr>
            <a:t> and Support</a:t>
          </a:r>
          <a:endParaRPr lang="en-ZA" sz="1100">
            <a:latin typeface="Arial" panose="020B0604020202020204" pitchFamily="34" charset="0"/>
            <a:cs typeface="Arial" panose="020B0604020202020204" pitchFamily="34" charset="0"/>
          </a:endParaRPr>
        </a:p>
      </xdr:txBody>
    </xdr:sp>
    <xdr:clientData/>
  </xdr:twoCellAnchor>
  <xdr:twoCellAnchor>
    <xdr:from>
      <xdr:col>9</xdr:col>
      <xdr:colOff>100013</xdr:colOff>
      <xdr:row>35</xdr:row>
      <xdr:rowOff>42861</xdr:rowOff>
    </xdr:from>
    <xdr:to>
      <xdr:col>12</xdr:col>
      <xdr:colOff>476250</xdr:colOff>
      <xdr:row>38</xdr:row>
      <xdr:rowOff>119063</xdr:rowOff>
    </xdr:to>
    <xdr:sp macro="" textlink="">
      <xdr:nvSpPr>
        <xdr:cNvPr id="18" name="Rounded Rectangle 17"/>
        <xdr:cNvSpPr/>
      </xdr:nvSpPr>
      <xdr:spPr>
        <a:xfrm>
          <a:off x="4683919" y="6948486"/>
          <a:ext cx="2197894" cy="647702"/>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ZA" sz="1100">
              <a:latin typeface="Arial" panose="020B0604020202020204" pitchFamily="34" charset="0"/>
              <a:cs typeface="Arial" panose="020B0604020202020204" pitchFamily="34" charset="0"/>
            </a:rPr>
            <a:t>District Management, Procurement, Compliance</a:t>
          </a:r>
          <a:r>
            <a:rPr lang="en-ZA" sz="1100" baseline="0">
              <a:latin typeface="Arial" panose="020B0604020202020204" pitchFamily="34" charset="0"/>
              <a:cs typeface="Arial" panose="020B0604020202020204" pitchFamily="34" charset="0"/>
            </a:rPr>
            <a:t> Audtiting</a:t>
          </a:r>
          <a:endParaRPr lang="en-ZA" sz="1100">
            <a:latin typeface="Arial" panose="020B0604020202020204" pitchFamily="34" charset="0"/>
            <a:cs typeface="Arial" panose="020B0604020202020204" pitchFamily="34" charset="0"/>
          </a:endParaRPr>
        </a:p>
      </xdr:txBody>
    </xdr:sp>
    <xdr:clientData/>
  </xdr:twoCellAnchor>
  <xdr:twoCellAnchor>
    <xdr:from>
      <xdr:col>9</xdr:col>
      <xdr:colOff>83343</xdr:colOff>
      <xdr:row>39</xdr:row>
      <xdr:rowOff>0</xdr:rowOff>
    </xdr:from>
    <xdr:to>
      <xdr:col>12</xdr:col>
      <xdr:colOff>476249</xdr:colOff>
      <xdr:row>43</xdr:row>
      <xdr:rowOff>95250</xdr:rowOff>
    </xdr:to>
    <xdr:sp macro="" textlink="">
      <xdr:nvSpPr>
        <xdr:cNvPr id="19" name="Rounded Rectangle 18"/>
        <xdr:cNvSpPr/>
      </xdr:nvSpPr>
      <xdr:spPr>
        <a:xfrm>
          <a:off x="4667249" y="7667625"/>
          <a:ext cx="2214563" cy="857250"/>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ZA" sz="1100">
              <a:latin typeface="Arial" panose="020B0604020202020204" pitchFamily="34" charset="0"/>
              <a:cs typeface="Arial" panose="020B0604020202020204" pitchFamily="34" charset="0"/>
            </a:rPr>
            <a:t>Workshops:</a:t>
          </a:r>
        </a:p>
        <a:p>
          <a:pPr algn="l"/>
          <a:r>
            <a:rPr lang="en-ZA" sz="1100">
              <a:latin typeface="Arial" panose="020B0604020202020204" pitchFamily="34" charset="0"/>
              <a:cs typeface="Arial" panose="020B0604020202020204" pitchFamily="34" charset="0"/>
            </a:rPr>
            <a:t>- Nutrition and breastfeeding for WBHT and Nurses</a:t>
          </a:r>
        </a:p>
        <a:p>
          <a:pPr algn="l"/>
          <a:r>
            <a:rPr lang="en-ZA" sz="1100">
              <a:latin typeface="Arial" panose="020B0604020202020204" pitchFamily="34" charset="0"/>
              <a:cs typeface="Arial" panose="020B0604020202020204" pitchFamily="34" charset="0"/>
            </a:rPr>
            <a:t>- SAM for District Specialist</a:t>
          </a:r>
          <a:r>
            <a:rPr lang="en-ZA" sz="1100" baseline="0">
              <a:latin typeface="Arial" panose="020B0604020202020204" pitchFamily="34" charset="0"/>
              <a:cs typeface="Arial" panose="020B0604020202020204" pitchFamily="34" charset="0"/>
            </a:rPr>
            <a:t> Temas</a:t>
          </a:r>
          <a:r>
            <a:rPr lang="en-ZA" sz="1100">
              <a:latin typeface="Arial" panose="020B0604020202020204" pitchFamily="34" charset="0"/>
              <a:cs typeface="Arial" panose="020B0604020202020204" pitchFamily="34" charset="0"/>
            </a:rPr>
            <a:t> </a:t>
          </a:r>
        </a:p>
        <a:p>
          <a:pPr algn="l"/>
          <a:endParaRPr lang="en-ZA" sz="1100">
            <a:latin typeface="Arial" panose="020B0604020202020204" pitchFamily="34" charset="0"/>
            <a:cs typeface="Arial" panose="020B0604020202020204" pitchFamily="34" charset="0"/>
          </a:endParaRPr>
        </a:p>
      </xdr:txBody>
    </xdr:sp>
    <xdr:clientData/>
  </xdr:twoCellAnchor>
  <xdr:twoCellAnchor>
    <xdr:from>
      <xdr:col>9</xdr:col>
      <xdr:colOff>80964</xdr:colOff>
      <xdr:row>43</xdr:row>
      <xdr:rowOff>166687</xdr:rowOff>
    </xdr:from>
    <xdr:to>
      <xdr:col>12</xdr:col>
      <xdr:colOff>452437</xdr:colOff>
      <xdr:row>45</xdr:row>
      <xdr:rowOff>100013</xdr:rowOff>
    </xdr:to>
    <xdr:sp macro="" textlink="">
      <xdr:nvSpPr>
        <xdr:cNvPr id="20" name="Rounded Rectangle 19"/>
        <xdr:cNvSpPr/>
      </xdr:nvSpPr>
      <xdr:spPr>
        <a:xfrm>
          <a:off x="4664870" y="8596312"/>
          <a:ext cx="2193130" cy="314326"/>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ZA" sz="1100">
              <a:latin typeface="Arial" panose="020B0604020202020204" pitchFamily="34" charset="0"/>
              <a:cs typeface="Arial" panose="020B0604020202020204" pitchFamily="34" charset="0"/>
            </a:rPr>
            <a:t>Promotion</a:t>
          </a:r>
          <a:r>
            <a:rPr lang="en-ZA" sz="1100" baseline="0">
              <a:latin typeface="Arial" panose="020B0604020202020204" pitchFamily="34" charset="0"/>
              <a:cs typeface="Arial" panose="020B0604020202020204" pitchFamily="34" charset="0"/>
            </a:rPr>
            <a:t> and Awareness Budget</a:t>
          </a:r>
          <a:endParaRPr lang="en-ZA" sz="1100">
            <a:latin typeface="Arial" panose="020B0604020202020204" pitchFamily="34" charset="0"/>
            <a:cs typeface="Arial" panose="020B0604020202020204" pitchFamily="34" charset="0"/>
          </a:endParaRPr>
        </a:p>
      </xdr:txBody>
    </xdr:sp>
    <xdr:clientData/>
  </xdr:twoCellAnchor>
  <xdr:twoCellAnchor>
    <xdr:from>
      <xdr:col>5</xdr:col>
      <xdr:colOff>178594</xdr:colOff>
      <xdr:row>46</xdr:row>
      <xdr:rowOff>85725</xdr:rowOff>
    </xdr:from>
    <xdr:to>
      <xdr:col>8</xdr:col>
      <xdr:colOff>250031</xdr:colOff>
      <xdr:row>49</xdr:row>
      <xdr:rowOff>19051</xdr:rowOff>
    </xdr:to>
    <xdr:sp macro="" textlink="">
      <xdr:nvSpPr>
        <xdr:cNvPr id="21" name="Rounded Rectangle 20"/>
        <xdr:cNvSpPr/>
      </xdr:nvSpPr>
      <xdr:spPr>
        <a:xfrm>
          <a:off x="2333625" y="9086850"/>
          <a:ext cx="1893094" cy="504826"/>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ZA" sz="1100" b="1">
              <a:solidFill>
                <a:schemeClr val="tx1"/>
              </a:solidFill>
              <a:latin typeface="Arial" panose="020B0604020202020204" pitchFamily="34" charset="0"/>
              <a:cs typeface="Arial" panose="020B0604020202020204" pitchFamily="34" charset="0"/>
            </a:rPr>
            <a:t>Education,</a:t>
          </a:r>
          <a:r>
            <a:rPr lang="en-ZA" sz="1100" b="1" baseline="0">
              <a:solidFill>
                <a:schemeClr val="tx1"/>
              </a:solidFill>
              <a:latin typeface="Arial" panose="020B0604020202020204" pitchFamily="34" charset="0"/>
              <a:cs typeface="Arial" panose="020B0604020202020204" pitchFamily="34" charset="0"/>
            </a:rPr>
            <a:t> </a:t>
          </a:r>
          <a:r>
            <a:rPr lang="en-ZA" sz="1100" b="1">
              <a:solidFill>
                <a:schemeClr val="tx1"/>
              </a:solidFill>
              <a:latin typeface="Arial" panose="020B0604020202020204" pitchFamily="34" charset="0"/>
              <a:cs typeface="Arial" panose="020B0604020202020204" pitchFamily="34" charset="0"/>
            </a:rPr>
            <a:t>Awareness and Surveillance</a:t>
          </a:r>
        </a:p>
      </xdr:txBody>
    </xdr:sp>
    <xdr:clientData/>
  </xdr:twoCellAnchor>
  <xdr:twoCellAnchor>
    <xdr:from>
      <xdr:col>9</xdr:col>
      <xdr:colOff>71438</xdr:colOff>
      <xdr:row>46</xdr:row>
      <xdr:rowOff>123825</xdr:rowOff>
    </xdr:from>
    <xdr:to>
      <xdr:col>12</xdr:col>
      <xdr:colOff>485777</xdr:colOff>
      <xdr:row>49</xdr:row>
      <xdr:rowOff>11906</xdr:rowOff>
    </xdr:to>
    <xdr:sp macro="" textlink="">
      <xdr:nvSpPr>
        <xdr:cNvPr id="22" name="Rounded Rectangle 21"/>
        <xdr:cNvSpPr/>
      </xdr:nvSpPr>
      <xdr:spPr>
        <a:xfrm>
          <a:off x="4655344" y="9124950"/>
          <a:ext cx="2235996" cy="459581"/>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ZA" sz="1100">
              <a:latin typeface="Arial" panose="020B0604020202020204" pitchFamily="34" charset="0"/>
              <a:cs typeface="Arial" panose="020B0604020202020204" pitchFamily="34" charset="0"/>
            </a:rPr>
            <a:t>At Facilities: Nurse</a:t>
          </a:r>
          <a:r>
            <a:rPr lang="en-ZA" sz="1100" baseline="0">
              <a:latin typeface="Arial" panose="020B0604020202020204" pitchFamily="34" charset="0"/>
              <a:cs typeface="Arial" panose="020B0604020202020204" pitchFamily="34" charset="0"/>
            </a:rPr>
            <a:t> time - time per visit/child</a:t>
          </a:r>
          <a:endParaRPr lang="en-ZA" sz="1100">
            <a:latin typeface="Arial" panose="020B0604020202020204" pitchFamily="34" charset="0"/>
            <a:cs typeface="Arial" panose="020B0604020202020204" pitchFamily="34" charset="0"/>
          </a:endParaRPr>
        </a:p>
      </xdr:txBody>
    </xdr:sp>
    <xdr:clientData/>
  </xdr:twoCellAnchor>
  <xdr:twoCellAnchor>
    <xdr:from>
      <xdr:col>9</xdr:col>
      <xdr:colOff>71438</xdr:colOff>
      <xdr:row>49</xdr:row>
      <xdr:rowOff>135731</xdr:rowOff>
    </xdr:from>
    <xdr:to>
      <xdr:col>12</xdr:col>
      <xdr:colOff>476250</xdr:colOff>
      <xdr:row>52</xdr:row>
      <xdr:rowOff>50007</xdr:rowOff>
    </xdr:to>
    <xdr:sp macro="" textlink="">
      <xdr:nvSpPr>
        <xdr:cNvPr id="23" name="Rounded Rectangle 22"/>
        <xdr:cNvSpPr/>
      </xdr:nvSpPr>
      <xdr:spPr>
        <a:xfrm>
          <a:off x="4655344" y="9708356"/>
          <a:ext cx="2226469" cy="485776"/>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ZA" sz="1100">
              <a:latin typeface="Arial" panose="020B0604020202020204" pitchFamily="34" charset="0"/>
              <a:cs typeface="Arial" panose="020B0604020202020204" pitchFamily="34" charset="0"/>
            </a:rPr>
            <a:t>In Community:</a:t>
          </a:r>
          <a:r>
            <a:rPr lang="en-ZA" sz="1100" baseline="0">
              <a:latin typeface="Arial" panose="020B0604020202020204" pitchFamily="34" charset="0"/>
              <a:cs typeface="Arial" panose="020B0604020202020204" pitchFamily="34" charset="0"/>
            </a:rPr>
            <a:t> </a:t>
          </a:r>
          <a:r>
            <a:rPr lang="en-ZA" sz="1100">
              <a:latin typeface="Arial" panose="020B0604020202020204" pitchFamily="34" charset="0"/>
              <a:cs typeface="Arial" panose="020B0604020202020204" pitchFamily="34" charset="0"/>
            </a:rPr>
            <a:t>CHW time </a:t>
          </a:r>
          <a:r>
            <a:rPr lang="en-ZA" sz="1100" baseline="0">
              <a:latin typeface="Arial" panose="020B0604020202020204" pitchFamily="34" charset="0"/>
              <a:cs typeface="Arial" panose="020B0604020202020204" pitchFamily="34" charset="0"/>
            </a:rPr>
            <a:t>- time per visit/child + travel costs</a:t>
          </a:r>
          <a:endParaRPr lang="en-ZA" sz="1100">
            <a:latin typeface="Arial" panose="020B0604020202020204" pitchFamily="34" charset="0"/>
            <a:cs typeface="Arial" panose="020B0604020202020204" pitchFamily="34" charset="0"/>
          </a:endParaRPr>
        </a:p>
      </xdr:txBody>
    </xdr:sp>
    <xdr:clientData/>
  </xdr:twoCellAnchor>
  <xdr:twoCellAnchor>
    <xdr:from>
      <xdr:col>9</xdr:col>
      <xdr:colOff>71438</xdr:colOff>
      <xdr:row>52</xdr:row>
      <xdr:rowOff>159544</xdr:rowOff>
    </xdr:from>
    <xdr:to>
      <xdr:col>12</xdr:col>
      <xdr:colOff>476250</xdr:colOff>
      <xdr:row>55</xdr:row>
      <xdr:rowOff>59531</xdr:rowOff>
    </xdr:to>
    <xdr:sp macro="" textlink="">
      <xdr:nvSpPr>
        <xdr:cNvPr id="24" name="Rounded Rectangle 23"/>
        <xdr:cNvSpPr/>
      </xdr:nvSpPr>
      <xdr:spPr>
        <a:xfrm>
          <a:off x="4655344" y="10303669"/>
          <a:ext cx="2226469" cy="471487"/>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ZA" sz="1100">
              <a:latin typeface="Arial" panose="020B0604020202020204" pitchFamily="34" charset="0"/>
              <a:cs typeface="Arial" panose="020B0604020202020204" pitchFamily="34" charset="0"/>
            </a:rPr>
            <a:t>District Health Sepcialist Team: % time of each member</a:t>
          </a:r>
        </a:p>
      </xdr:txBody>
    </xdr:sp>
    <xdr:clientData/>
  </xdr:twoCellAnchor>
  <xdr:twoCellAnchor>
    <xdr:from>
      <xdr:col>5</xdr:col>
      <xdr:colOff>190499</xdr:colOff>
      <xdr:row>57</xdr:row>
      <xdr:rowOff>109538</xdr:rowOff>
    </xdr:from>
    <xdr:to>
      <xdr:col>8</xdr:col>
      <xdr:colOff>238125</xdr:colOff>
      <xdr:row>59</xdr:row>
      <xdr:rowOff>42864</xdr:rowOff>
    </xdr:to>
    <xdr:sp macro="" textlink="">
      <xdr:nvSpPr>
        <xdr:cNvPr id="25" name="Rounded Rectangle 24"/>
        <xdr:cNvSpPr/>
      </xdr:nvSpPr>
      <xdr:spPr>
        <a:xfrm>
          <a:off x="2345530" y="11206163"/>
          <a:ext cx="1869283" cy="314326"/>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ZA" sz="1100" b="1">
              <a:solidFill>
                <a:schemeClr val="tx1"/>
              </a:solidFill>
              <a:latin typeface="Arial" panose="020B0604020202020204" pitchFamily="34" charset="0"/>
              <a:cs typeface="Arial" panose="020B0604020202020204" pitchFamily="34" charset="0"/>
            </a:rPr>
            <a:t>Prevenative Medicines</a:t>
          </a:r>
        </a:p>
      </xdr:txBody>
    </xdr:sp>
    <xdr:clientData/>
  </xdr:twoCellAnchor>
  <xdr:twoCellAnchor>
    <xdr:from>
      <xdr:col>9</xdr:col>
      <xdr:colOff>71437</xdr:colOff>
      <xdr:row>57</xdr:row>
      <xdr:rowOff>90488</xdr:rowOff>
    </xdr:from>
    <xdr:to>
      <xdr:col>12</xdr:col>
      <xdr:colOff>452437</xdr:colOff>
      <xdr:row>59</xdr:row>
      <xdr:rowOff>178594</xdr:rowOff>
    </xdr:to>
    <xdr:sp macro="" textlink="">
      <xdr:nvSpPr>
        <xdr:cNvPr id="26" name="Rounded Rectangle 25"/>
        <xdr:cNvSpPr/>
      </xdr:nvSpPr>
      <xdr:spPr>
        <a:xfrm>
          <a:off x="4655343" y="11187113"/>
          <a:ext cx="2202657" cy="469106"/>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ZA" sz="1100">
              <a:latin typeface="Arial" panose="020B0604020202020204" pitchFamily="34" charset="0"/>
              <a:cs typeface="Arial" panose="020B0604020202020204" pitchFamily="34" charset="0"/>
            </a:rPr>
            <a:t>Folic</a:t>
          </a:r>
          <a:r>
            <a:rPr lang="en-ZA" sz="1100" baseline="0">
              <a:latin typeface="Arial" panose="020B0604020202020204" pitchFamily="34" charset="0"/>
              <a:cs typeface="Arial" panose="020B0604020202020204" pitchFamily="34" charset="0"/>
            </a:rPr>
            <a:t> Acid for Mothers </a:t>
          </a:r>
          <a:br>
            <a:rPr lang="en-ZA" sz="1100" baseline="0">
              <a:latin typeface="Arial" panose="020B0604020202020204" pitchFamily="34" charset="0"/>
              <a:cs typeface="Arial" panose="020B0604020202020204" pitchFamily="34" charset="0"/>
            </a:rPr>
          </a:br>
          <a:r>
            <a:rPr lang="en-ZA" sz="1100" baseline="0">
              <a:latin typeface="Arial" panose="020B0604020202020204" pitchFamily="34" charset="0"/>
              <a:cs typeface="Arial" panose="020B0604020202020204" pitchFamily="34" charset="0"/>
            </a:rPr>
            <a:t>(default is no)</a:t>
          </a:r>
          <a:endParaRPr lang="en-ZA" sz="1100">
            <a:latin typeface="Arial" panose="020B0604020202020204" pitchFamily="34" charset="0"/>
            <a:cs typeface="Arial" panose="020B0604020202020204" pitchFamily="34" charset="0"/>
          </a:endParaRPr>
        </a:p>
      </xdr:txBody>
    </xdr:sp>
    <xdr:clientData/>
  </xdr:twoCellAnchor>
  <xdr:twoCellAnchor>
    <xdr:from>
      <xdr:col>9</xdr:col>
      <xdr:colOff>47626</xdr:colOff>
      <xdr:row>60</xdr:row>
      <xdr:rowOff>54771</xdr:rowOff>
    </xdr:from>
    <xdr:to>
      <xdr:col>12</xdr:col>
      <xdr:colOff>461964</xdr:colOff>
      <xdr:row>61</xdr:row>
      <xdr:rowOff>159546</xdr:rowOff>
    </xdr:to>
    <xdr:sp macro="" textlink="">
      <xdr:nvSpPr>
        <xdr:cNvPr id="27" name="Rounded Rectangle 26"/>
        <xdr:cNvSpPr/>
      </xdr:nvSpPr>
      <xdr:spPr>
        <a:xfrm>
          <a:off x="4631532" y="11722896"/>
          <a:ext cx="2235995" cy="295275"/>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ZA" sz="1100">
              <a:latin typeface="Arial" panose="020B0604020202020204" pitchFamily="34" charset="0"/>
              <a:cs typeface="Arial" panose="020B0604020202020204" pitchFamily="34" charset="0"/>
            </a:rPr>
            <a:t>Vitamin A for up to 59 months</a:t>
          </a:r>
        </a:p>
      </xdr:txBody>
    </xdr:sp>
    <xdr:clientData/>
  </xdr:twoCellAnchor>
  <xdr:twoCellAnchor>
    <xdr:from>
      <xdr:col>9</xdr:col>
      <xdr:colOff>59532</xdr:colOff>
      <xdr:row>62</xdr:row>
      <xdr:rowOff>33341</xdr:rowOff>
    </xdr:from>
    <xdr:to>
      <xdr:col>12</xdr:col>
      <xdr:colOff>469107</xdr:colOff>
      <xdr:row>63</xdr:row>
      <xdr:rowOff>154785</xdr:rowOff>
    </xdr:to>
    <xdr:sp macro="" textlink="">
      <xdr:nvSpPr>
        <xdr:cNvPr id="28" name="Rounded Rectangle 27"/>
        <xdr:cNvSpPr/>
      </xdr:nvSpPr>
      <xdr:spPr>
        <a:xfrm>
          <a:off x="4643438" y="12082466"/>
          <a:ext cx="2231232" cy="311944"/>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ZA" sz="1100">
              <a:latin typeface="Arial" panose="020B0604020202020204" pitchFamily="34" charset="0"/>
              <a:cs typeface="Arial" panose="020B0604020202020204" pitchFamily="34" charset="0"/>
            </a:rPr>
            <a:t>Deworming for</a:t>
          </a:r>
          <a:r>
            <a:rPr lang="en-ZA" sz="1100" baseline="0">
              <a:latin typeface="Arial" panose="020B0604020202020204" pitchFamily="34" charset="0"/>
              <a:cs typeface="Arial" panose="020B0604020202020204" pitchFamily="34" charset="0"/>
            </a:rPr>
            <a:t> 2 years to 59 months</a:t>
          </a:r>
          <a:endParaRPr lang="en-ZA" sz="1100">
            <a:latin typeface="Arial" panose="020B0604020202020204" pitchFamily="34" charset="0"/>
            <a:cs typeface="Arial" panose="020B0604020202020204" pitchFamily="34" charset="0"/>
          </a:endParaRPr>
        </a:p>
      </xdr:txBody>
    </xdr:sp>
    <xdr:clientData/>
  </xdr:twoCellAnchor>
  <xdr:twoCellAnchor>
    <xdr:from>
      <xdr:col>5</xdr:col>
      <xdr:colOff>190500</xdr:colOff>
      <xdr:row>70</xdr:row>
      <xdr:rowOff>119074</xdr:rowOff>
    </xdr:from>
    <xdr:to>
      <xdr:col>8</xdr:col>
      <xdr:colOff>238125</xdr:colOff>
      <xdr:row>73</xdr:row>
      <xdr:rowOff>47637</xdr:rowOff>
    </xdr:to>
    <xdr:sp macro="" textlink="">
      <xdr:nvSpPr>
        <xdr:cNvPr id="29" name="Rounded Rectangle 28"/>
        <xdr:cNvSpPr/>
      </xdr:nvSpPr>
      <xdr:spPr>
        <a:xfrm>
          <a:off x="2345531" y="13501699"/>
          <a:ext cx="1869282" cy="500063"/>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ZA" sz="1100" b="1">
              <a:solidFill>
                <a:schemeClr val="tx1"/>
              </a:solidFill>
              <a:latin typeface="Arial" panose="020B0604020202020204" pitchFamily="34" charset="0"/>
              <a:cs typeface="Arial" panose="020B0604020202020204" pitchFamily="34" charset="0"/>
            </a:rPr>
            <a:t>Curative</a:t>
          </a:r>
          <a:r>
            <a:rPr lang="en-ZA" sz="1100" b="1" baseline="0">
              <a:solidFill>
                <a:schemeClr val="tx1"/>
              </a:solidFill>
              <a:latin typeface="Arial" panose="020B0604020202020204" pitchFamily="34" charset="0"/>
              <a:cs typeface="Arial" panose="020B0604020202020204" pitchFamily="34" charset="0"/>
            </a:rPr>
            <a:t> Treatment of Malnutrition</a:t>
          </a:r>
          <a:endParaRPr lang="en-ZA" sz="1100" b="1">
            <a:solidFill>
              <a:schemeClr val="tx1"/>
            </a:solidFill>
            <a:latin typeface="Arial" panose="020B0604020202020204" pitchFamily="34" charset="0"/>
            <a:cs typeface="Arial" panose="020B0604020202020204" pitchFamily="34" charset="0"/>
          </a:endParaRPr>
        </a:p>
      </xdr:txBody>
    </xdr:sp>
    <xdr:clientData/>
  </xdr:twoCellAnchor>
  <xdr:twoCellAnchor>
    <xdr:from>
      <xdr:col>2</xdr:col>
      <xdr:colOff>47626</xdr:colOff>
      <xdr:row>46</xdr:row>
      <xdr:rowOff>104774</xdr:rowOff>
    </xdr:from>
    <xdr:to>
      <xdr:col>4</xdr:col>
      <xdr:colOff>71438</xdr:colOff>
      <xdr:row>49</xdr:row>
      <xdr:rowOff>35719</xdr:rowOff>
    </xdr:to>
    <xdr:sp macro="" textlink="">
      <xdr:nvSpPr>
        <xdr:cNvPr id="30" name="Rounded Rectangle 29"/>
        <xdr:cNvSpPr/>
      </xdr:nvSpPr>
      <xdr:spPr>
        <a:xfrm>
          <a:off x="416720" y="9105899"/>
          <a:ext cx="1202531" cy="502445"/>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ZA" sz="1100"/>
            <a:t>Nutrition</a:t>
          </a:r>
          <a:r>
            <a:rPr lang="en-ZA" sz="1100" baseline="0"/>
            <a:t> Interventions</a:t>
          </a:r>
          <a:endParaRPr lang="en-ZA" sz="1100"/>
        </a:p>
      </xdr:txBody>
    </xdr:sp>
    <xdr:clientData/>
  </xdr:twoCellAnchor>
  <xdr:twoCellAnchor>
    <xdr:from>
      <xdr:col>9</xdr:col>
      <xdr:colOff>47625</xdr:colOff>
      <xdr:row>70</xdr:row>
      <xdr:rowOff>154793</xdr:rowOff>
    </xdr:from>
    <xdr:to>
      <xdr:col>12</xdr:col>
      <xdr:colOff>481012</xdr:colOff>
      <xdr:row>73</xdr:row>
      <xdr:rowOff>107169</xdr:rowOff>
    </xdr:to>
    <xdr:sp macro="" textlink="">
      <xdr:nvSpPr>
        <xdr:cNvPr id="31" name="Rounded Rectangle 30"/>
        <xdr:cNvSpPr/>
      </xdr:nvSpPr>
      <xdr:spPr>
        <a:xfrm>
          <a:off x="4631531" y="13537418"/>
          <a:ext cx="2255044" cy="523876"/>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ZA" sz="1100">
              <a:latin typeface="Arial" panose="020B0604020202020204" pitchFamily="34" charset="0"/>
              <a:cs typeface="Arial" panose="020B0604020202020204" pitchFamily="34" charset="0"/>
            </a:rPr>
            <a:t>Nutrition Counsellors   - KZN only - number per facility</a:t>
          </a:r>
        </a:p>
      </xdr:txBody>
    </xdr:sp>
    <xdr:clientData/>
  </xdr:twoCellAnchor>
  <xdr:twoCellAnchor>
    <xdr:from>
      <xdr:col>7</xdr:col>
      <xdr:colOff>531003</xdr:colOff>
      <xdr:row>74</xdr:row>
      <xdr:rowOff>183356</xdr:rowOff>
    </xdr:from>
    <xdr:to>
      <xdr:col>13</xdr:col>
      <xdr:colOff>285750</xdr:colOff>
      <xdr:row>78</xdr:row>
      <xdr:rowOff>95249</xdr:rowOff>
    </xdr:to>
    <xdr:sp macro="" textlink="">
      <xdr:nvSpPr>
        <xdr:cNvPr id="33" name="Rounded Rectangle 32"/>
        <xdr:cNvSpPr/>
      </xdr:nvSpPr>
      <xdr:spPr>
        <a:xfrm>
          <a:off x="3900472" y="14518481"/>
          <a:ext cx="3398059" cy="673893"/>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ZA" sz="1100" b="1">
              <a:solidFill>
                <a:schemeClr val="tx1"/>
              </a:solidFill>
              <a:latin typeface="Arial" panose="020B0604020202020204" pitchFamily="34" charset="0"/>
              <a:cs typeface="Arial" panose="020B0604020202020204" pitchFamily="34" charset="0"/>
            </a:rPr>
            <a:t>Growth Monitoring and Feeding Programme</a:t>
          </a:r>
        </a:p>
        <a:p>
          <a:pPr algn="l"/>
          <a:r>
            <a:rPr lang="en-ZA" sz="1100" b="1">
              <a:solidFill>
                <a:schemeClr val="tx1"/>
              </a:solidFill>
              <a:latin typeface="Arial" panose="020B0604020202020204" pitchFamily="34" charset="0"/>
              <a:cs typeface="Arial" panose="020B0604020202020204" pitchFamily="34" charset="0"/>
            </a:rPr>
            <a:t>- medical</a:t>
          </a:r>
          <a:r>
            <a:rPr lang="en-ZA" sz="1100" b="1" baseline="0">
              <a:solidFill>
                <a:schemeClr val="tx1"/>
              </a:solidFill>
              <a:latin typeface="Arial" panose="020B0604020202020204" pitchFamily="34" charset="0"/>
              <a:cs typeface="Arial" panose="020B0604020202020204" pitchFamily="34" charset="0"/>
            </a:rPr>
            <a:t> staff </a:t>
          </a:r>
          <a:r>
            <a:rPr lang="en-ZA" sz="1100" b="0" baseline="0">
              <a:solidFill>
                <a:schemeClr val="tx1"/>
              </a:solidFill>
              <a:latin typeface="Arial" panose="020B0604020202020204" pitchFamily="34" charset="0"/>
              <a:cs typeface="Arial" panose="020B0604020202020204" pitchFamily="34" charset="0"/>
            </a:rPr>
            <a:t>- number of days involved and minutes per day</a:t>
          </a:r>
          <a:endParaRPr lang="en-ZA" sz="1100" b="0">
            <a:solidFill>
              <a:schemeClr val="tx1"/>
            </a:solidFill>
            <a:latin typeface="Arial" panose="020B0604020202020204" pitchFamily="34" charset="0"/>
            <a:cs typeface="Arial" panose="020B0604020202020204" pitchFamily="34" charset="0"/>
          </a:endParaRPr>
        </a:p>
      </xdr:txBody>
    </xdr:sp>
    <xdr:clientData/>
  </xdr:twoCellAnchor>
  <xdr:twoCellAnchor>
    <xdr:from>
      <xdr:col>15</xdr:col>
      <xdr:colOff>278592</xdr:colOff>
      <xdr:row>75</xdr:row>
      <xdr:rowOff>35734</xdr:rowOff>
    </xdr:from>
    <xdr:to>
      <xdr:col>20</xdr:col>
      <xdr:colOff>452422</xdr:colOff>
      <xdr:row>93</xdr:row>
      <xdr:rowOff>47639</xdr:rowOff>
    </xdr:to>
    <xdr:sp macro="" textlink="">
      <xdr:nvSpPr>
        <xdr:cNvPr id="35" name="Rounded Rectangle 34"/>
        <xdr:cNvSpPr/>
      </xdr:nvSpPr>
      <xdr:spPr>
        <a:xfrm>
          <a:off x="8505811" y="14561359"/>
          <a:ext cx="3209924" cy="3440905"/>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ZA" sz="1100" b="1" baseline="0">
              <a:latin typeface="Arial" panose="020B0604020202020204" pitchFamily="34" charset="0"/>
              <a:cs typeface="Arial" panose="020B0604020202020204" pitchFamily="34" charset="0"/>
            </a:rPr>
            <a:t>Nutrition Treatments sheet: - </a:t>
          </a:r>
          <a:r>
            <a:rPr lang="en-ZA" sz="1100" b="0" baseline="0">
              <a:latin typeface="Arial" panose="020B0604020202020204" pitchFamily="34" charset="0"/>
              <a:cs typeface="Arial" panose="020B0604020202020204" pitchFamily="34" charset="0"/>
            </a:rPr>
            <a:t>dose and number of days administered can be modelled</a:t>
          </a:r>
        </a:p>
        <a:p>
          <a:pPr algn="l"/>
          <a:endParaRPr lang="en-ZA" sz="1100" b="1">
            <a:latin typeface="Arial" panose="020B0604020202020204" pitchFamily="34" charset="0"/>
            <a:cs typeface="Arial" panose="020B0604020202020204" pitchFamily="34" charset="0"/>
          </a:endParaRPr>
        </a:p>
      </xdr:txBody>
    </xdr:sp>
    <xdr:clientData/>
  </xdr:twoCellAnchor>
  <xdr:twoCellAnchor>
    <xdr:from>
      <xdr:col>7</xdr:col>
      <xdr:colOff>514330</xdr:colOff>
      <xdr:row>87</xdr:row>
      <xdr:rowOff>142888</xdr:rowOff>
    </xdr:from>
    <xdr:to>
      <xdr:col>13</xdr:col>
      <xdr:colOff>285731</xdr:colOff>
      <xdr:row>92</xdr:row>
      <xdr:rowOff>71451</xdr:rowOff>
    </xdr:to>
    <xdr:sp macro="" textlink="">
      <xdr:nvSpPr>
        <xdr:cNvPr id="38" name="Rounded Rectangle 37"/>
        <xdr:cNvSpPr/>
      </xdr:nvSpPr>
      <xdr:spPr>
        <a:xfrm>
          <a:off x="3883799" y="16954513"/>
          <a:ext cx="3414713" cy="881063"/>
        </a:xfrm>
        <a:prstGeom prst="round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en-ZA" sz="1100" b="1">
              <a:solidFill>
                <a:schemeClr val="tx1"/>
              </a:solidFill>
              <a:latin typeface="Arial" panose="020B0604020202020204" pitchFamily="34" charset="0"/>
              <a:ea typeface="+mn-ea"/>
              <a:cs typeface="Arial" panose="020B0604020202020204" pitchFamily="34" charset="0"/>
            </a:rPr>
            <a:t>Severe Acute Malnutrution - with medical complications</a:t>
          </a:r>
        </a:p>
        <a:p>
          <a:pPr marL="0" marR="0" indent="0" algn="l" defTabSz="914400" eaLnBrk="1" fontAlgn="auto" latinLnBrk="0" hangingPunct="1">
            <a:lnSpc>
              <a:spcPct val="100000"/>
            </a:lnSpc>
            <a:spcBef>
              <a:spcPts val="0"/>
            </a:spcBef>
            <a:spcAft>
              <a:spcPts val="0"/>
            </a:spcAft>
            <a:buClrTx/>
            <a:buSzTx/>
            <a:buFontTx/>
            <a:buNone/>
            <a:tabLst/>
            <a:defRPr/>
          </a:pPr>
          <a:r>
            <a:rPr lang="en-ZA" sz="1100" b="1">
              <a:solidFill>
                <a:schemeClr val="tx1"/>
              </a:solidFill>
              <a:effectLst/>
              <a:latin typeface="Arial" panose="020B0604020202020204" pitchFamily="34" charset="0"/>
              <a:ea typeface="+mn-ea"/>
              <a:cs typeface="Arial" panose="020B0604020202020204" pitchFamily="34" charset="0"/>
            </a:rPr>
            <a:t>- medical</a:t>
          </a:r>
          <a:r>
            <a:rPr lang="en-ZA" sz="1100" b="1" baseline="0">
              <a:solidFill>
                <a:schemeClr val="tx1"/>
              </a:solidFill>
              <a:effectLst/>
              <a:latin typeface="Arial" panose="020B0604020202020204" pitchFamily="34" charset="0"/>
              <a:ea typeface="+mn-ea"/>
              <a:cs typeface="Arial" panose="020B0604020202020204" pitchFamily="34" charset="0"/>
            </a:rPr>
            <a:t> staff </a:t>
          </a:r>
          <a:r>
            <a:rPr lang="en-ZA" sz="1100" b="0" baseline="0">
              <a:solidFill>
                <a:schemeClr val="tx1"/>
              </a:solidFill>
              <a:effectLst/>
              <a:latin typeface="Arial" panose="020B0604020202020204" pitchFamily="34" charset="0"/>
              <a:ea typeface="+mn-ea"/>
              <a:cs typeface="Arial" panose="020B0604020202020204" pitchFamily="34" charset="0"/>
            </a:rPr>
            <a:t>- number of days involved and minutes per day</a:t>
          </a:r>
          <a:endParaRPr lang="en-ZA">
            <a:solidFill>
              <a:schemeClr val="tx1"/>
            </a:solidFill>
            <a:effectLst/>
            <a:latin typeface="Arial" panose="020B0604020202020204" pitchFamily="34" charset="0"/>
            <a:cs typeface="Arial" panose="020B0604020202020204" pitchFamily="34" charset="0"/>
          </a:endParaRPr>
        </a:p>
        <a:p>
          <a:pPr marL="0" indent="0" algn="l"/>
          <a:endParaRPr lang="en-ZA" sz="1100" b="1">
            <a:solidFill>
              <a:schemeClr val="tx1"/>
            </a:solidFill>
            <a:latin typeface="Arial" panose="020B0604020202020204" pitchFamily="34" charset="0"/>
            <a:ea typeface="+mn-ea"/>
            <a:cs typeface="Arial" panose="020B0604020202020204" pitchFamily="34" charset="0"/>
          </a:endParaRPr>
        </a:p>
      </xdr:txBody>
    </xdr:sp>
    <xdr:clientData/>
  </xdr:twoCellAnchor>
  <xdr:twoCellAnchor>
    <xdr:from>
      <xdr:col>5</xdr:col>
      <xdr:colOff>219075</xdr:colOff>
      <xdr:row>16</xdr:row>
      <xdr:rowOff>123823</xdr:rowOff>
    </xdr:from>
    <xdr:to>
      <xdr:col>8</xdr:col>
      <xdr:colOff>247650</xdr:colOff>
      <xdr:row>18</xdr:row>
      <xdr:rowOff>38097</xdr:rowOff>
    </xdr:to>
    <xdr:sp macro="" textlink="">
      <xdr:nvSpPr>
        <xdr:cNvPr id="40" name="Rounded Rectangle 39"/>
        <xdr:cNvSpPr/>
      </xdr:nvSpPr>
      <xdr:spPr>
        <a:xfrm>
          <a:off x="2374106" y="3409948"/>
          <a:ext cx="1850232" cy="295274"/>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ZA" sz="1100">
              <a:latin typeface="Arial" panose="020B0604020202020204" pitchFamily="34" charset="0"/>
              <a:cs typeface="Arial" panose="020B0604020202020204" pitchFamily="34" charset="0"/>
            </a:rPr>
            <a:t>Demand Assumptions</a:t>
          </a:r>
        </a:p>
      </xdr:txBody>
    </xdr:sp>
    <xdr:clientData/>
  </xdr:twoCellAnchor>
  <xdr:twoCellAnchor>
    <xdr:from>
      <xdr:col>8</xdr:col>
      <xdr:colOff>345283</xdr:colOff>
      <xdr:row>16</xdr:row>
      <xdr:rowOff>104772</xdr:rowOff>
    </xdr:from>
    <xdr:to>
      <xdr:col>14</xdr:col>
      <xdr:colOff>416720</xdr:colOff>
      <xdr:row>18</xdr:row>
      <xdr:rowOff>19046</xdr:rowOff>
    </xdr:to>
    <xdr:sp macro="" textlink="">
      <xdr:nvSpPr>
        <xdr:cNvPr id="43" name="Rounded Rectangle 42"/>
        <xdr:cNvSpPr/>
      </xdr:nvSpPr>
      <xdr:spPr>
        <a:xfrm>
          <a:off x="4321971" y="3390897"/>
          <a:ext cx="3714749" cy="295274"/>
        </a:xfrm>
        <a:prstGeom prst="roundRec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ZA" sz="1100">
              <a:solidFill>
                <a:schemeClr val="tx1"/>
              </a:solidFill>
              <a:latin typeface="Arial" panose="020B0604020202020204" pitchFamily="34" charset="0"/>
              <a:cs typeface="Arial" panose="020B0604020202020204" pitchFamily="34" charset="0"/>
            </a:rPr>
            <a:t>Data</a:t>
          </a:r>
          <a:r>
            <a:rPr lang="en-ZA" sz="1100" baseline="0">
              <a:solidFill>
                <a:schemeClr val="tx1"/>
              </a:solidFill>
              <a:latin typeface="Arial" panose="020B0604020202020204" pitchFamily="34" charset="0"/>
              <a:cs typeface="Arial" panose="020B0604020202020204" pitchFamily="34" charset="0"/>
            </a:rPr>
            <a:t> on districts, clinics and wards (for province/country)</a:t>
          </a:r>
          <a:endParaRPr lang="en-ZA" sz="1100">
            <a:solidFill>
              <a:schemeClr val="tx1"/>
            </a:solidFill>
            <a:latin typeface="Arial" panose="020B0604020202020204" pitchFamily="34" charset="0"/>
            <a:cs typeface="Arial" panose="020B0604020202020204" pitchFamily="34" charset="0"/>
          </a:endParaRPr>
        </a:p>
      </xdr:txBody>
    </xdr:sp>
    <xdr:clientData/>
  </xdr:twoCellAnchor>
  <xdr:twoCellAnchor>
    <xdr:from>
      <xdr:col>13</xdr:col>
      <xdr:colOff>285750</xdr:colOff>
      <xdr:row>76</xdr:row>
      <xdr:rowOff>139303</xdr:rowOff>
    </xdr:from>
    <xdr:to>
      <xdr:col>15</xdr:col>
      <xdr:colOff>278592</xdr:colOff>
      <xdr:row>84</xdr:row>
      <xdr:rowOff>41687</xdr:rowOff>
    </xdr:to>
    <xdr:cxnSp macro="">
      <xdr:nvCxnSpPr>
        <xdr:cNvPr id="49" name="Straight Connector 48"/>
        <xdr:cNvCxnSpPr>
          <a:stCxn id="33" idx="3"/>
          <a:endCxn id="35" idx="1"/>
        </xdr:cNvCxnSpPr>
      </xdr:nvCxnSpPr>
      <xdr:spPr>
        <a:xfrm>
          <a:off x="7298531" y="14855428"/>
          <a:ext cx="1207280" cy="142638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347664</xdr:colOff>
      <xdr:row>70</xdr:row>
      <xdr:rowOff>152411</xdr:rowOff>
    </xdr:from>
    <xdr:to>
      <xdr:col>18</xdr:col>
      <xdr:colOff>547686</xdr:colOff>
      <xdr:row>74</xdr:row>
      <xdr:rowOff>0</xdr:rowOff>
    </xdr:to>
    <xdr:sp macro="" textlink="">
      <xdr:nvSpPr>
        <xdr:cNvPr id="57" name="Rounded Rectangle 56"/>
        <xdr:cNvSpPr/>
      </xdr:nvSpPr>
      <xdr:spPr>
        <a:xfrm>
          <a:off x="8574883" y="13725536"/>
          <a:ext cx="2021678" cy="681037"/>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ZA" sz="1100" b="0" baseline="0">
              <a:solidFill>
                <a:schemeClr val="lt1"/>
              </a:solidFill>
              <a:latin typeface="Arial" panose="020B0604020202020204" pitchFamily="34" charset="0"/>
              <a:ea typeface="+mn-ea"/>
              <a:cs typeface="Arial" panose="020B0604020202020204" pitchFamily="34" charset="0"/>
            </a:rPr>
            <a:t>Med-Prices sheet shows prices and quantities of all meds</a:t>
          </a:r>
        </a:p>
        <a:p>
          <a:pPr algn="l"/>
          <a:endParaRPr lang="en-ZA" sz="1100" b="1">
            <a:latin typeface="Arial" panose="020B0604020202020204" pitchFamily="34" charset="0"/>
            <a:cs typeface="Arial" panose="020B0604020202020204" pitchFamily="34" charset="0"/>
          </a:endParaRPr>
        </a:p>
      </xdr:txBody>
    </xdr:sp>
    <xdr:clientData/>
  </xdr:twoCellAnchor>
  <xdr:twoCellAnchor>
    <xdr:from>
      <xdr:col>8</xdr:col>
      <xdr:colOff>347661</xdr:colOff>
      <xdr:row>18</xdr:row>
      <xdr:rowOff>121438</xdr:rowOff>
    </xdr:from>
    <xdr:to>
      <xdr:col>14</xdr:col>
      <xdr:colOff>416719</xdr:colOff>
      <xdr:row>20</xdr:row>
      <xdr:rowOff>47619</xdr:rowOff>
    </xdr:to>
    <xdr:sp macro="" textlink="">
      <xdr:nvSpPr>
        <xdr:cNvPr id="58" name="Rounded Rectangle 57"/>
        <xdr:cNvSpPr/>
      </xdr:nvSpPr>
      <xdr:spPr>
        <a:xfrm>
          <a:off x="4324349" y="3788563"/>
          <a:ext cx="3712370" cy="307181"/>
        </a:xfrm>
        <a:prstGeom prst="round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ZA" sz="1100">
              <a:latin typeface="Arial" panose="020B0604020202020204" pitchFamily="34" charset="0"/>
              <a:cs typeface="Arial" panose="020B0604020202020204" pitchFamily="34" charset="0"/>
            </a:rPr>
            <a:t>%</a:t>
          </a:r>
          <a:r>
            <a:rPr lang="en-ZA" sz="1100" baseline="0">
              <a:latin typeface="Arial" panose="020B0604020202020204" pitchFamily="34" charset="0"/>
              <a:cs typeface="Arial" panose="020B0604020202020204" pitchFamily="34" charset="0"/>
            </a:rPr>
            <a:t> </a:t>
          </a:r>
          <a:r>
            <a:rPr lang="en-ZA" sz="1100">
              <a:latin typeface="Arial" panose="020B0604020202020204" pitchFamily="34" charset="0"/>
              <a:cs typeface="Arial" panose="020B0604020202020204" pitchFamily="34" charset="0"/>
            </a:rPr>
            <a:t>per Quntilie</a:t>
          </a:r>
          <a:r>
            <a:rPr lang="en-ZA" sz="1100" baseline="0">
              <a:latin typeface="Arial" panose="020B0604020202020204" pitchFamily="34" charset="0"/>
              <a:cs typeface="Arial" panose="020B0604020202020204" pitchFamily="34" charset="0"/>
            </a:rPr>
            <a:t> Accessing public health  facilities</a:t>
          </a:r>
        </a:p>
        <a:p>
          <a:pPr algn="l"/>
          <a:endParaRPr lang="en-ZA" sz="1100">
            <a:latin typeface="Arial" panose="020B0604020202020204" pitchFamily="34" charset="0"/>
            <a:cs typeface="Arial" panose="020B0604020202020204" pitchFamily="34" charset="0"/>
          </a:endParaRPr>
        </a:p>
      </xdr:txBody>
    </xdr:sp>
    <xdr:clientData/>
  </xdr:twoCellAnchor>
  <xdr:twoCellAnchor>
    <xdr:from>
      <xdr:col>8</xdr:col>
      <xdr:colOff>347659</xdr:colOff>
      <xdr:row>20</xdr:row>
      <xdr:rowOff>145250</xdr:rowOff>
    </xdr:from>
    <xdr:to>
      <xdr:col>14</xdr:col>
      <xdr:colOff>416719</xdr:colOff>
      <xdr:row>22</xdr:row>
      <xdr:rowOff>71432</xdr:rowOff>
    </xdr:to>
    <xdr:sp macro="" textlink="">
      <xdr:nvSpPr>
        <xdr:cNvPr id="59" name="Rounded Rectangle 58"/>
        <xdr:cNvSpPr/>
      </xdr:nvSpPr>
      <xdr:spPr>
        <a:xfrm>
          <a:off x="4324347" y="4193375"/>
          <a:ext cx="3712372" cy="307182"/>
        </a:xfrm>
        <a:prstGeom prst="round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en-ZA" sz="1100">
              <a:solidFill>
                <a:schemeClr val="lt1"/>
              </a:solidFill>
              <a:latin typeface="Arial" panose="020B0604020202020204" pitchFamily="34" charset="0"/>
              <a:ea typeface="+mn-ea"/>
              <a:cs typeface="Arial" panose="020B0604020202020204" pitchFamily="34" charset="0"/>
            </a:rPr>
            <a:t>% of mothers that qualify for formula support</a:t>
          </a:r>
        </a:p>
        <a:p>
          <a:pPr algn="l"/>
          <a:endParaRPr lang="en-ZA" sz="1100">
            <a:latin typeface="Arial" panose="020B0604020202020204" pitchFamily="34" charset="0"/>
            <a:cs typeface="Arial" panose="020B0604020202020204" pitchFamily="34" charset="0"/>
          </a:endParaRPr>
        </a:p>
      </xdr:txBody>
    </xdr:sp>
    <xdr:clientData/>
  </xdr:twoCellAnchor>
  <xdr:twoCellAnchor>
    <xdr:from>
      <xdr:col>14</xdr:col>
      <xdr:colOff>416719</xdr:colOff>
      <xdr:row>19</xdr:row>
      <xdr:rowOff>84529</xdr:rowOff>
    </xdr:from>
    <xdr:to>
      <xdr:col>16</xdr:col>
      <xdr:colOff>364333</xdr:colOff>
      <xdr:row>46</xdr:row>
      <xdr:rowOff>183354</xdr:rowOff>
    </xdr:to>
    <xdr:cxnSp macro="">
      <xdr:nvCxnSpPr>
        <xdr:cNvPr id="60" name="Elbow Connector 59"/>
        <xdr:cNvCxnSpPr>
          <a:stCxn id="58" idx="3"/>
          <a:endCxn id="63" idx="0"/>
        </xdr:cNvCxnSpPr>
      </xdr:nvCxnSpPr>
      <xdr:spPr>
        <a:xfrm>
          <a:off x="8036719" y="3942154"/>
          <a:ext cx="1162052" cy="5242325"/>
        </a:xfrm>
        <a:prstGeom prst="bentConnector2">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204790</xdr:colOff>
      <xdr:row>46</xdr:row>
      <xdr:rowOff>183354</xdr:rowOff>
    </xdr:from>
    <xdr:to>
      <xdr:col>17</xdr:col>
      <xdr:colOff>523876</xdr:colOff>
      <xdr:row>48</xdr:row>
      <xdr:rowOff>130968</xdr:rowOff>
    </xdr:to>
    <xdr:sp macro="" textlink="">
      <xdr:nvSpPr>
        <xdr:cNvPr id="63" name="Rounded Rectangle 62"/>
        <xdr:cNvSpPr/>
      </xdr:nvSpPr>
      <xdr:spPr>
        <a:xfrm>
          <a:off x="8432009" y="9184479"/>
          <a:ext cx="1533523" cy="328614"/>
        </a:xfrm>
        <a:prstGeom prst="round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ZA" sz="1100">
              <a:latin typeface="Arial" panose="020B0604020202020204" pitchFamily="34" charset="0"/>
              <a:cs typeface="Arial" panose="020B0604020202020204" pitchFamily="34" charset="0"/>
            </a:rPr>
            <a:t>% vistiing clinics</a:t>
          </a:r>
        </a:p>
      </xdr:txBody>
    </xdr:sp>
    <xdr:clientData/>
  </xdr:twoCellAnchor>
  <xdr:twoCellAnchor>
    <xdr:from>
      <xdr:col>15</xdr:col>
      <xdr:colOff>178596</xdr:colOff>
      <xdr:row>50</xdr:row>
      <xdr:rowOff>26191</xdr:rowOff>
    </xdr:from>
    <xdr:to>
      <xdr:col>17</xdr:col>
      <xdr:colOff>497682</xdr:colOff>
      <xdr:row>51</xdr:row>
      <xdr:rowOff>130966</xdr:rowOff>
    </xdr:to>
    <xdr:sp macro="" textlink="">
      <xdr:nvSpPr>
        <xdr:cNvPr id="65" name="Rounded Rectangle 64"/>
        <xdr:cNvSpPr/>
      </xdr:nvSpPr>
      <xdr:spPr>
        <a:xfrm>
          <a:off x="8405815" y="9789316"/>
          <a:ext cx="1533523" cy="295275"/>
        </a:xfrm>
        <a:prstGeom prst="round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ZA" sz="1100">
              <a:latin typeface="Arial" panose="020B0604020202020204" pitchFamily="34" charset="0"/>
              <a:cs typeface="Arial" panose="020B0604020202020204" pitchFamily="34" charset="0"/>
            </a:rPr>
            <a:t>% visited at home</a:t>
          </a:r>
        </a:p>
      </xdr:txBody>
    </xdr:sp>
    <xdr:clientData/>
  </xdr:twoCellAnchor>
  <xdr:twoCellAnchor>
    <xdr:from>
      <xdr:col>14</xdr:col>
      <xdr:colOff>416719</xdr:colOff>
      <xdr:row>19</xdr:row>
      <xdr:rowOff>84529</xdr:rowOff>
    </xdr:from>
    <xdr:to>
      <xdr:col>17</xdr:col>
      <xdr:colOff>497682</xdr:colOff>
      <xdr:row>50</xdr:row>
      <xdr:rowOff>173829</xdr:rowOff>
    </xdr:to>
    <xdr:cxnSp macro="">
      <xdr:nvCxnSpPr>
        <xdr:cNvPr id="66" name="Elbow Connector 65"/>
        <xdr:cNvCxnSpPr>
          <a:stCxn id="58" idx="3"/>
          <a:endCxn id="65" idx="3"/>
        </xdr:cNvCxnSpPr>
      </xdr:nvCxnSpPr>
      <xdr:spPr>
        <a:xfrm>
          <a:off x="8036719" y="3942154"/>
          <a:ext cx="1902619" cy="5994800"/>
        </a:xfrm>
        <a:prstGeom prst="bentConnector3">
          <a:avLst>
            <a:gd name="adj1" fmla="val 112015"/>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476250</xdr:colOff>
      <xdr:row>50</xdr:row>
      <xdr:rowOff>173829</xdr:rowOff>
    </xdr:from>
    <xdr:to>
      <xdr:col>15</xdr:col>
      <xdr:colOff>178596</xdr:colOff>
      <xdr:row>50</xdr:row>
      <xdr:rowOff>188119</xdr:rowOff>
    </xdr:to>
    <xdr:cxnSp macro="">
      <xdr:nvCxnSpPr>
        <xdr:cNvPr id="69" name="Straight Arrow Connector 68"/>
        <xdr:cNvCxnSpPr>
          <a:stCxn id="65" idx="1"/>
          <a:endCxn id="23" idx="3"/>
        </xdr:cNvCxnSpPr>
      </xdr:nvCxnSpPr>
      <xdr:spPr>
        <a:xfrm flipH="1">
          <a:off x="6881813" y="9936954"/>
          <a:ext cx="1524002" cy="1429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485777</xdr:colOff>
      <xdr:row>47</xdr:row>
      <xdr:rowOff>157161</xdr:rowOff>
    </xdr:from>
    <xdr:to>
      <xdr:col>15</xdr:col>
      <xdr:colOff>204790</xdr:colOff>
      <xdr:row>47</xdr:row>
      <xdr:rowOff>163116</xdr:rowOff>
    </xdr:to>
    <xdr:cxnSp macro="">
      <xdr:nvCxnSpPr>
        <xdr:cNvPr id="71" name="Straight Arrow Connector 70"/>
        <xdr:cNvCxnSpPr>
          <a:stCxn id="63" idx="1"/>
          <a:endCxn id="22" idx="3"/>
        </xdr:cNvCxnSpPr>
      </xdr:nvCxnSpPr>
      <xdr:spPr>
        <a:xfrm flipH="1">
          <a:off x="6891340" y="9348786"/>
          <a:ext cx="1540669" cy="595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547688</xdr:colOff>
      <xdr:row>58</xdr:row>
      <xdr:rowOff>166689</xdr:rowOff>
    </xdr:from>
    <xdr:to>
      <xdr:col>13</xdr:col>
      <xdr:colOff>130969</xdr:colOff>
      <xdr:row>66</xdr:row>
      <xdr:rowOff>1</xdr:rowOff>
    </xdr:to>
    <xdr:sp macro="" textlink="">
      <xdr:nvSpPr>
        <xdr:cNvPr id="72" name="Right Brace 71"/>
        <xdr:cNvSpPr/>
      </xdr:nvSpPr>
      <xdr:spPr>
        <a:xfrm>
          <a:off x="7834313" y="10644189"/>
          <a:ext cx="190500" cy="1166812"/>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ZA" sz="1100"/>
        </a:p>
      </xdr:txBody>
    </xdr:sp>
    <xdr:clientData/>
  </xdr:twoCellAnchor>
  <xdr:twoCellAnchor>
    <xdr:from>
      <xdr:col>12</xdr:col>
      <xdr:colOff>440532</xdr:colOff>
      <xdr:row>21</xdr:row>
      <xdr:rowOff>108341</xdr:rowOff>
    </xdr:from>
    <xdr:to>
      <xdr:col>14</xdr:col>
      <xdr:colOff>416719</xdr:colOff>
      <xdr:row>68</xdr:row>
      <xdr:rowOff>70250</xdr:rowOff>
    </xdr:to>
    <xdr:cxnSp macro="">
      <xdr:nvCxnSpPr>
        <xdr:cNvPr id="85" name="Elbow Connector 84"/>
        <xdr:cNvCxnSpPr>
          <a:stCxn id="59" idx="3"/>
          <a:endCxn id="93" idx="3"/>
        </xdr:cNvCxnSpPr>
      </xdr:nvCxnSpPr>
      <xdr:spPr>
        <a:xfrm flipH="1">
          <a:off x="6846095" y="4346966"/>
          <a:ext cx="1190624" cy="8915409"/>
        </a:xfrm>
        <a:prstGeom prst="bentConnector3">
          <a:avLst>
            <a:gd name="adj1" fmla="val -19200"/>
          </a:avLst>
        </a:prstGeom>
        <a:ln>
          <a:prstDash val="sys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59533</xdr:colOff>
      <xdr:row>67</xdr:row>
      <xdr:rowOff>9530</xdr:rowOff>
    </xdr:from>
    <xdr:to>
      <xdr:col>12</xdr:col>
      <xdr:colOff>440532</xdr:colOff>
      <xdr:row>69</xdr:row>
      <xdr:rowOff>130970</xdr:rowOff>
    </xdr:to>
    <xdr:sp macro="" textlink="">
      <xdr:nvSpPr>
        <xdr:cNvPr id="93" name="Rounded Rectangle 92"/>
        <xdr:cNvSpPr/>
      </xdr:nvSpPr>
      <xdr:spPr>
        <a:xfrm>
          <a:off x="4643439" y="13011155"/>
          <a:ext cx="2202656" cy="502440"/>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ZA" sz="1100">
              <a:latin typeface="Arial" panose="020B0604020202020204" pitchFamily="34" charset="0"/>
              <a:cs typeface="Arial" panose="020B0604020202020204" pitchFamily="34" charset="0"/>
            </a:rPr>
            <a:t>Formula given</a:t>
          </a:r>
          <a:r>
            <a:rPr lang="en-ZA" sz="1100" baseline="0">
              <a:latin typeface="Arial" panose="020B0604020202020204" pitchFamily="34" charset="0"/>
              <a:cs typeface="Arial" panose="020B0604020202020204" pitchFamily="34" charset="0"/>
            </a:rPr>
            <a:t> &lt;6mnths (yes/No)</a:t>
          </a:r>
          <a:endParaRPr lang="en-ZA" sz="1100">
            <a:latin typeface="Arial" panose="020B0604020202020204" pitchFamily="34" charset="0"/>
            <a:cs typeface="Arial" panose="020B0604020202020204" pitchFamily="34" charset="0"/>
          </a:endParaRPr>
        </a:p>
      </xdr:txBody>
    </xdr:sp>
    <xdr:clientData/>
  </xdr:twoCellAnchor>
  <xdr:twoCellAnchor>
    <xdr:from>
      <xdr:col>13</xdr:col>
      <xdr:colOff>130969</xdr:colOff>
      <xdr:row>19</xdr:row>
      <xdr:rowOff>84529</xdr:rowOff>
    </xdr:from>
    <xdr:to>
      <xdr:col>14</xdr:col>
      <xdr:colOff>416719</xdr:colOff>
      <xdr:row>62</xdr:row>
      <xdr:rowOff>83345</xdr:rowOff>
    </xdr:to>
    <xdr:cxnSp macro="">
      <xdr:nvCxnSpPr>
        <xdr:cNvPr id="91136" name="Elbow Connector 91135"/>
        <xdr:cNvCxnSpPr>
          <a:stCxn id="58" idx="3"/>
          <a:endCxn id="72" idx="1"/>
        </xdr:cNvCxnSpPr>
      </xdr:nvCxnSpPr>
      <xdr:spPr>
        <a:xfrm flipH="1">
          <a:off x="7143750" y="3942154"/>
          <a:ext cx="892969" cy="8190316"/>
        </a:xfrm>
        <a:prstGeom prst="bentConnector5">
          <a:avLst>
            <a:gd name="adj1" fmla="val -25600"/>
            <a:gd name="adj2" fmla="val 46795"/>
            <a:gd name="adj3" fmla="val 125600"/>
          </a:avLst>
        </a:prstGeom>
        <a:ln>
          <a:solidFill>
            <a:schemeClr val="tx1">
              <a:lumMod val="95000"/>
              <a:lumOff val="5000"/>
            </a:schemeClr>
          </a:solidFill>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452422</xdr:colOff>
      <xdr:row>26</xdr:row>
      <xdr:rowOff>47626</xdr:rowOff>
    </xdr:from>
    <xdr:to>
      <xdr:col>24</xdr:col>
      <xdr:colOff>53578</xdr:colOff>
      <xdr:row>84</xdr:row>
      <xdr:rowOff>41688</xdr:rowOff>
    </xdr:to>
    <xdr:cxnSp macro="">
      <xdr:nvCxnSpPr>
        <xdr:cNvPr id="91143" name="Elbow Connector 91142"/>
        <xdr:cNvCxnSpPr>
          <a:stCxn id="115" idx="2"/>
          <a:endCxn id="35" idx="3"/>
        </xdr:cNvCxnSpPr>
      </xdr:nvCxnSpPr>
      <xdr:spPr>
        <a:xfrm rot="5400000">
          <a:off x="7209220" y="9745266"/>
          <a:ext cx="11043062" cy="2030031"/>
        </a:xfrm>
        <a:prstGeom prst="bentConnector2">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516714</xdr:colOff>
      <xdr:row>79</xdr:row>
      <xdr:rowOff>38106</xdr:rowOff>
    </xdr:from>
    <xdr:to>
      <xdr:col>13</xdr:col>
      <xdr:colOff>307165</xdr:colOff>
      <xdr:row>82</xdr:row>
      <xdr:rowOff>142880</xdr:rowOff>
    </xdr:to>
    <xdr:sp macro="" textlink="">
      <xdr:nvSpPr>
        <xdr:cNvPr id="64" name="Rounded Rectangle 63"/>
        <xdr:cNvSpPr/>
      </xdr:nvSpPr>
      <xdr:spPr>
        <a:xfrm>
          <a:off x="3886183" y="15325731"/>
          <a:ext cx="3433763" cy="676274"/>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ZA" sz="1100" b="1">
              <a:solidFill>
                <a:schemeClr val="tx1"/>
              </a:solidFill>
              <a:latin typeface="Arial" panose="020B0604020202020204" pitchFamily="34" charset="0"/>
              <a:cs typeface="Arial" panose="020B0604020202020204" pitchFamily="34" charset="0"/>
            </a:rPr>
            <a:t>Moderate Acute Malnutrition</a:t>
          </a:r>
        </a:p>
        <a:p>
          <a:pPr marL="0" marR="0" indent="0" algn="l" defTabSz="914400" eaLnBrk="1" fontAlgn="auto" latinLnBrk="0" hangingPunct="1">
            <a:lnSpc>
              <a:spcPct val="100000"/>
            </a:lnSpc>
            <a:spcBef>
              <a:spcPts val="0"/>
            </a:spcBef>
            <a:spcAft>
              <a:spcPts val="0"/>
            </a:spcAft>
            <a:buClrTx/>
            <a:buSzTx/>
            <a:buFontTx/>
            <a:buNone/>
            <a:tabLst/>
            <a:defRPr/>
          </a:pPr>
          <a:r>
            <a:rPr lang="en-ZA" sz="1100" b="1">
              <a:solidFill>
                <a:schemeClr val="tx1"/>
              </a:solidFill>
              <a:effectLst/>
              <a:latin typeface="Arial" panose="020B0604020202020204" pitchFamily="34" charset="0"/>
              <a:ea typeface="+mn-ea"/>
              <a:cs typeface="Arial" panose="020B0604020202020204" pitchFamily="34" charset="0"/>
            </a:rPr>
            <a:t>- medical</a:t>
          </a:r>
          <a:r>
            <a:rPr lang="en-ZA" sz="1100" b="1" baseline="0">
              <a:solidFill>
                <a:schemeClr val="tx1"/>
              </a:solidFill>
              <a:effectLst/>
              <a:latin typeface="Arial" panose="020B0604020202020204" pitchFamily="34" charset="0"/>
              <a:ea typeface="+mn-ea"/>
              <a:cs typeface="Arial" panose="020B0604020202020204" pitchFamily="34" charset="0"/>
            </a:rPr>
            <a:t> staff </a:t>
          </a:r>
          <a:r>
            <a:rPr lang="en-ZA" sz="1100" b="0" baseline="0">
              <a:solidFill>
                <a:schemeClr val="tx1"/>
              </a:solidFill>
              <a:effectLst/>
              <a:latin typeface="Arial" panose="020B0604020202020204" pitchFamily="34" charset="0"/>
              <a:ea typeface="+mn-ea"/>
              <a:cs typeface="Arial" panose="020B0604020202020204" pitchFamily="34" charset="0"/>
            </a:rPr>
            <a:t>- number of days involved and minutes per day</a:t>
          </a:r>
          <a:endParaRPr lang="en-ZA">
            <a:solidFill>
              <a:schemeClr val="tx1"/>
            </a:solidFill>
            <a:effectLst/>
            <a:latin typeface="Arial" panose="020B0604020202020204" pitchFamily="34" charset="0"/>
            <a:cs typeface="Arial" panose="020B0604020202020204" pitchFamily="34" charset="0"/>
          </a:endParaRPr>
        </a:p>
        <a:p>
          <a:pPr algn="l"/>
          <a:endParaRPr lang="en-ZA" sz="1100" b="1">
            <a:solidFill>
              <a:schemeClr val="tx1"/>
            </a:solidFill>
            <a:latin typeface="Arial" panose="020B0604020202020204" pitchFamily="34" charset="0"/>
            <a:cs typeface="Arial" panose="020B0604020202020204" pitchFamily="34" charset="0"/>
          </a:endParaRPr>
        </a:p>
      </xdr:txBody>
    </xdr:sp>
    <xdr:clientData/>
  </xdr:twoCellAnchor>
  <xdr:twoCellAnchor>
    <xdr:from>
      <xdr:col>7</xdr:col>
      <xdr:colOff>502428</xdr:colOff>
      <xdr:row>83</xdr:row>
      <xdr:rowOff>83356</xdr:rowOff>
    </xdr:from>
    <xdr:to>
      <xdr:col>13</xdr:col>
      <xdr:colOff>292879</xdr:colOff>
      <xdr:row>87</xdr:row>
      <xdr:rowOff>23823</xdr:rowOff>
    </xdr:to>
    <xdr:sp macro="" textlink="">
      <xdr:nvSpPr>
        <xdr:cNvPr id="67" name="Rounded Rectangle 66"/>
        <xdr:cNvSpPr/>
      </xdr:nvSpPr>
      <xdr:spPr>
        <a:xfrm>
          <a:off x="3871897" y="16132981"/>
          <a:ext cx="3433763" cy="702467"/>
        </a:xfrm>
        <a:prstGeom prst="roundRect">
          <a:avLst/>
        </a:prstGeom>
        <a:solidFill>
          <a:srgbClr val="FF33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ZA" sz="1100" b="1">
              <a:solidFill>
                <a:schemeClr val="tx1"/>
              </a:solidFill>
              <a:latin typeface="Arial" panose="020B0604020202020204" pitchFamily="34" charset="0"/>
              <a:cs typeface="Arial" panose="020B0604020202020204" pitchFamily="34" charset="0"/>
            </a:rPr>
            <a:t>Severe Acute Malnutrution - Stabilisation Phase</a:t>
          </a:r>
        </a:p>
        <a:p>
          <a:pPr marL="0" marR="0" indent="0" algn="l" defTabSz="914400" eaLnBrk="1" fontAlgn="auto" latinLnBrk="0" hangingPunct="1">
            <a:lnSpc>
              <a:spcPct val="100000"/>
            </a:lnSpc>
            <a:spcBef>
              <a:spcPts val="0"/>
            </a:spcBef>
            <a:spcAft>
              <a:spcPts val="0"/>
            </a:spcAft>
            <a:buClrTx/>
            <a:buSzTx/>
            <a:buFontTx/>
            <a:buNone/>
            <a:tabLst/>
            <a:defRPr/>
          </a:pPr>
          <a:r>
            <a:rPr lang="en-ZA" sz="1100" b="1">
              <a:solidFill>
                <a:schemeClr val="tx1"/>
              </a:solidFill>
              <a:effectLst/>
              <a:latin typeface="Arial" panose="020B0604020202020204" pitchFamily="34" charset="0"/>
              <a:ea typeface="+mn-ea"/>
              <a:cs typeface="Arial" panose="020B0604020202020204" pitchFamily="34" charset="0"/>
            </a:rPr>
            <a:t>- medical</a:t>
          </a:r>
          <a:r>
            <a:rPr lang="en-ZA" sz="1100" b="1" baseline="0">
              <a:solidFill>
                <a:schemeClr val="tx1"/>
              </a:solidFill>
              <a:effectLst/>
              <a:latin typeface="Arial" panose="020B0604020202020204" pitchFamily="34" charset="0"/>
              <a:ea typeface="+mn-ea"/>
              <a:cs typeface="Arial" panose="020B0604020202020204" pitchFamily="34" charset="0"/>
            </a:rPr>
            <a:t> staff </a:t>
          </a:r>
          <a:r>
            <a:rPr lang="en-ZA" sz="1100" b="0" baseline="0">
              <a:solidFill>
                <a:schemeClr val="tx1"/>
              </a:solidFill>
              <a:effectLst/>
              <a:latin typeface="Arial" panose="020B0604020202020204" pitchFamily="34" charset="0"/>
              <a:ea typeface="+mn-ea"/>
              <a:cs typeface="Arial" panose="020B0604020202020204" pitchFamily="34" charset="0"/>
            </a:rPr>
            <a:t>- number of days involved and minutes per day</a:t>
          </a:r>
          <a:endParaRPr lang="en-ZA">
            <a:solidFill>
              <a:schemeClr val="tx1"/>
            </a:solidFill>
            <a:effectLst/>
            <a:latin typeface="Arial" panose="020B0604020202020204" pitchFamily="34" charset="0"/>
            <a:cs typeface="Arial" panose="020B0604020202020204" pitchFamily="34" charset="0"/>
          </a:endParaRPr>
        </a:p>
        <a:p>
          <a:pPr algn="l"/>
          <a:endParaRPr lang="en-ZA" sz="1100" b="1">
            <a:solidFill>
              <a:schemeClr val="tx1"/>
            </a:solidFill>
            <a:latin typeface="Arial" panose="020B0604020202020204" pitchFamily="34" charset="0"/>
            <a:cs typeface="Arial" panose="020B0604020202020204" pitchFamily="34" charset="0"/>
          </a:endParaRPr>
        </a:p>
      </xdr:txBody>
    </xdr:sp>
    <xdr:clientData/>
  </xdr:twoCellAnchor>
  <xdr:twoCellAnchor>
    <xdr:from>
      <xdr:col>15</xdr:col>
      <xdr:colOff>397653</xdr:colOff>
      <xdr:row>79</xdr:row>
      <xdr:rowOff>35732</xdr:rowOff>
    </xdr:from>
    <xdr:to>
      <xdr:col>20</xdr:col>
      <xdr:colOff>369078</xdr:colOff>
      <xdr:row>81</xdr:row>
      <xdr:rowOff>142889</xdr:rowOff>
    </xdr:to>
    <xdr:sp macro="" textlink="">
      <xdr:nvSpPr>
        <xdr:cNvPr id="70" name="Rounded Rectangle 69"/>
        <xdr:cNvSpPr/>
      </xdr:nvSpPr>
      <xdr:spPr>
        <a:xfrm>
          <a:off x="8624872" y="15323357"/>
          <a:ext cx="3007519" cy="488157"/>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ZA" sz="1100" b="1">
              <a:solidFill>
                <a:schemeClr val="tx1"/>
              </a:solidFill>
              <a:latin typeface="Arial" panose="020B0604020202020204" pitchFamily="34" charset="0"/>
              <a:cs typeface="Arial" panose="020B0604020202020204" pitchFamily="34" charset="0"/>
            </a:rPr>
            <a:t>Growth Monitoring and Feeding Programme -  </a:t>
          </a:r>
          <a:r>
            <a:rPr lang="en-ZA" sz="1100" b="0">
              <a:solidFill>
                <a:schemeClr val="tx1"/>
              </a:solidFill>
              <a:latin typeface="Arial" panose="020B0604020202020204" pitchFamily="34" charset="0"/>
              <a:cs typeface="Arial" panose="020B0604020202020204" pitchFamily="34" charset="0"/>
            </a:rPr>
            <a:t>cereal,</a:t>
          </a:r>
          <a:r>
            <a:rPr lang="en-ZA" sz="1100" b="0" baseline="0">
              <a:solidFill>
                <a:schemeClr val="tx1"/>
              </a:solidFill>
              <a:latin typeface="Arial" panose="020B0604020202020204" pitchFamily="34" charset="0"/>
              <a:cs typeface="Arial" panose="020B0604020202020204" pitchFamily="34" charset="0"/>
            </a:rPr>
            <a:t> energy drink</a:t>
          </a:r>
          <a:r>
            <a:rPr lang="en-ZA" sz="1100" b="1">
              <a:solidFill>
                <a:schemeClr val="tx1"/>
              </a:solidFill>
              <a:latin typeface="Arial" panose="020B0604020202020204" pitchFamily="34" charset="0"/>
              <a:cs typeface="Arial" panose="020B0604020202020204" pitchFamily="34" charset="0"/>
            </a:rPr>
            <a:t> </a:t>
          </a:r>
        </a:p>
      </xdr:txBody>
    </xdr:sp>
    <xdr:clientData/>
  </xdr:twoCellAnchor>
  <xdr:twoCellAnchor>
    <xdr:from>
      <xdr:col>13</xdr:col>
      <xdr:colOff>307165</xdr:colOff>
      <xdr:row>80</xdr:row>
      <xdr:rowOff>185743</xdr:rowOff>
    </xdr:from>
    <xdr:to>
      <xdr:col>15</xdr:col>
      <xdr:colOff>278592</xdr:colOff>
      <xdr:row>84</xdr:row>
      <xdr:rowOff>41687</xdr:rowOff>
    </xdr:to>
    <xdr:cxnSp macro="">
      <xdr:nvCxnSpPr>
        <xdr:cNvPr id="73" name="Straight Connector 72"/>
        <xdr:cNvCxnSpPr>
          <a:stCxn id="64" idx="3"/>
          <a:endCxn id="35" idx="1"/>
        </xdr:cNvCxnSpPr>
      </xdr:nvCxnSpPr>
      <xdr:spPr>
        <a:xfrm>
          <a:off x="7319946" y="15663868"/>
          <a:ext cx="1185865" cy="61794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292879</xdr:colOff>
      <xdr:row>84</xdr:row>
      <xdr:rowOff>41687</xdr:rowOff>
    </xdr:from>
    <xdr:to>
      <xdr:col>15</xdr:col>
      <xdr:colOff>278592</xdr:colOff>
      <xdr:row>85</xdr:row>
      <xdr:rowOff>53590</xdr:rowOff>
    </xdr:to>
    <xdr:cxnSp macro="">
      <xdr:nvCxnSpPr>
        <xdr:cNvPr id="74" name="Straight Connector 73"/>
        <xdr:cNvCxnSpPr>
          <a:stCxn id="67" idx="3"/>
          <a:endCxn id="35" idx="1"/>
        </xdr:cNvCxnSpPr>
      </xdr:nvCxnSpPr>
      <xdr:spPr>
        <a:xfrm flipV="1">
          <a:off x="7305660" y="16281812"/>
          <a:ext cx="1200151" cy="20240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285731</xdr:colOff>
      <xdr:row>84</xdr:row>
      <xdr:rowOff>41687</xdr:rowOff>
    </xdr:from>
    <xdr:to>
      <xdr:col>15</xdr:col>
      <xdr:colOff>278592</xdr:colOff>
      <xdr:row>90</xdr:row>
      <xdr:rowOff>11920</xdr:rowOff>
    </xdr:to>
    <xdr:cxnSp macro="">
      <xdr:nvCxnSpPr>
        <xdr:cNvPr id="77" name="Straight Connector 76"/>
        <xdr:cNvCxnSpPr>
          <a:stCxn id="38" idx="3"/>
          <a:endCxn id="35" idx="1"/>
        </xdr:cNvCxnSpPr>
      </xdr:nvCxnSpPr>
      <xdr:spPr>
        <a:xfrm flipV="1">
          <a:off x="7298512" y="16281812"/>
          <a:ext cx="1207299" cy="111323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392890</xdr:colOff>
      <xdr:row>82</xdr:row>
      <xdr:rowOff>14</xdr:rowOff>
    </xdr:from>
    <xdr:to>
      <xdr:col>20</xdr:col>
      <xdr:colOff>357171</xdr:colOff>
      <xdr:row>84</xdr:row>
      <xdr:rowOff>166701</xdr:rowOff>
    </xdr:to>
    <xdr:sp macro="" textlink="">
      <xdr:nvSpPr>
        <xdr:cNvPr id="80" name="Rounded Rectangle 79"/>
        <xdr:cNvSpPr/>
      </xdr:nvSpPr>
      <xdr:spPr>
        <a:xfrm>
          <a:off x="8620109" y="15859139"/>
          <a:ext cx="3000375" cy="547687"/>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ZA" sz="1100" b="1">
              <a:solidFill>
                <a:schemeClr val="tx1"/>
              </a:solidFill>
              <a:latin typeface="Arial" panose="020B0604020202020204" pitchFamily="34" charset="0"/>
              <a:cs typeface="Arial" panose="020B0604020202020204" pitchFamily="34" charset="0"/>
            </a:rPr>
            <a:t>Moderate Acute Malnutrition - </a:t>
          </a:r>
          <a:r>
            <a:rPr lang="en-ZA" sz="1100" b="0">
              <a:solidFill>
                <a:schemeClr val="tx1"/>
              </a:solidFill>
              <a:latin typeface="Arial" panose="020B0604020202020204" pitchFamily="34" charset="0"/>
              <a:cs typeface="Arial" panose="020B0604020202020204" pitchFamily="34" charset="0"/>
            </a:rPr>
            <a:t>feeding and nutrition and medical treatment</a:t>
          </a:r>
          <a:endParaRPr lang="en-ZA" sz="1100" b="1">
            <a:solidFill>
              <a:schemeClr val="tx1"/>
            </a:solidFill>
            <a:latin typeface="Arial" panose="020B0604020202020204" pitchFamily="34" charset="0"/>
            <a:cs typeface="Arial" panose="020B0604020202020204" pitchFamily="34" charset="0"/>
          </a:endParaRPr>
        </a:p>
      </xdr:txBody>
    </xdr:sp>
    <xdr:clientData/>
  </xdr:twoCellAnchor>
  <xdr:twoCellAnchor>
    <xdr:from>
      <xdr:col>15</xdr:col>
      <xdr:colOff>392890</xdr:colOff>
      <xdr:row>85</xdr:row>
      <xdr:rowOff>47639</xdr:rowOff>
    </xdr:from>
    <xdr:to>
      <xdr:col>20</xdr:col>
      <xdr:colOff>369077</xdr:colOff>
      <xdr:row>88</xdr:row>
      <xdr:rowOff>142888</xdr:rowOff>
    </xdr:to>
    <xdr:sp macro="" textlink="">
      <xdr:nvSpPr>
        <xdr:cNvPr id="81" name="Rounded Rectangle 80"/>
        <xdr:cNvSpPr/>
      </xdr:nvSpPr>
      <xdr:spPr>
        <a:xfrm>
          <a:off x="8620109" y="16478264"/>
          <a:ext cx="3012281" cy="666749"/>
        </a:xfrm>
        <a:prstGeom prst="roundRect">
          <a:avLst/>
        </a:prstGeom>
        <a:solidFill>
          <a:srgbClr val="FF33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ZA" sz="1100" b="1">
              <a:solidFill>
                <a:schemeClr val="tx1"/>
              </a:solidFill>
              <a:latin typeface="Arial" panose="020B0604020202020204" pitchFamily="34" charset="0"/>
              <a:cs typeface="Arial" panose="020B0604020202020204" pitchFamily="34" charset="0"/>
            </a:rPr>
            <a:t>Severe Acute Malnutrution - Stabilisation Phase - </a:t>
          </a:r>
          <a:r>
            <a:rPr lang="en-ZA" sz="1100" b="0">
              <a:solidFill>
                <a:schemeClr val="tx1"/>
              </a:solidFill>
              <a:latin typeface="Arial" panose="020B0604020202020204" pitchFamily="34" charset="0"/>
              <a:ea typeface="+mn-ea"/>
              <a:cs typeface="Arial" panose="020B0604020202020204" pitchFamily="34" charset="0"/>
            </a:rPr>
            <a:t>feeding</a:t>
          </a:r>
          <a:r>
            <a:rPr lang="en-ZA" sz="1100" b="0">
              <a:solidFill>
                <a:schemeClr val="lt1"/>
              </a:solidFill>
              <a:effectLst/>
              <a:latin typeface="+mn-lt"/>
              <a:ea typeface="+mn-ea"/>
              <a:cs typeface="+mn-cs"/>
            </a:rPr>
            <a:t> </a:t>
          </a:r>
          <a:r>
            <a:rPr lang="en-ZA" sz="1100" b="0">
              <a:solidFill>
                <a:schemeClr val="tx1"/>
              </a:solidFill>
              <a:latin typeface="Arial" panose="020B0604020202020204" pitchFamily="34" charset="0"/>
              <a:ea typeface="+mn-ea"/>
              <a:cs typeface="Arial" panose="020B0604020202020204" pitchFamily="34" charset="0"/>
            </a:rPr>
            <a:t>and nutrition and medical treatment</a:t>
          </a:r>
        </a:p>
      </xdr:txBody>
    </xdr:sp>
    <xdr:clientData/>
  </xdr:twoCellAnchor>
  <xdr:twoCellAnchor>
    <xdr:from>
      <xdr:col>15</xdr:col>
      <xdr:colOff>380984</xdr:colOff>
      <xdr:row>89</xdr:row>
      <xdr:rowOff>69071</xdr:rowOff>
    </xdr:from>
    <xdr:to>
      <xdr:col>20</xdr:col>
      <xdr:colOff>345265</xdr:colOff>
      <xdr:row>92</xdr:row>
      <xdr:rowOff>14</xdr:rowOff>
    </xdr:to>
    <xdr:sp macro="" textlink="">
      <xdr:nvSpPr>
        <xdr:cNvPr id="92" name="Rounded Rectangle 91"/>
        <xdr:cNvSpPr/>
      </xdr:nvSpPr>
      <xdr:spPr>
        <a:xfrm>
          <a:off x="8608203" y="17261696"/>
          <a:ext cx="3000375" cy="502443"/>
        </a:xfrm>
        <a:prstGeom prst="round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en-ZA" sz="1100" b="1">
              <a:solidFill>
                <a:schemeClr val="tx1"/>
              </a:solidFill>
              <a:latin typeface="Arial" panose="020B0604020202020204" pitchFamily="34" charset="0"/>
              <a:ea typeface="+mn-ea"/>
              <a:cs typeface="Arial" panose="020B0604020202020204" pitchFamily="34" charset="0"/>
            </a:rPr>
            <a:t>Severe Acute Malnutrution - with medical complications - </a:t>
          </a:r>
          <a:r>
            <a:rPr lang="en-ZA" sz="1100" b="0">
              <a:solidFill>
                <a:schemeClr val="tx1"/>
              </a:solidFill>
              <a:effectLst/>
              <a:latin typeface="Arial" panose="020B0604020202020204" pitchFamily="34" charset="0"/>
              <a:ea typeface="+mn-ea"/>
              <a:cs typeface="Arial" panose="020B0604020202020204" pitchFamily="34" charset="0"/>
            </a:rPr>
            <a:t>feeding and nutrition and medical treatment</a:t>
          </a:r>
          <a:endParaRPr lang="en-ZA">
            <a:solidFill>
              <a:schemeClr val="tx1"/>
            </a:solidFill>
            <a:effectLst/>
            <a:latin typeface="Arial" panose="020B0604020202020204" pitchFamily="34" charset="0"/>
            <a:cs typeface="Arial" panose="020B0604020202020204" pitchFamily="34" charset="0"/>
          </a:endParaRPr>
        </a:p>
        <a:p>
          <a:pPr marL="0" indent="0" algn="l"/>
          <a:endParaRPr lang="en-ZA" sz="1100" b="1">
            <a:solidFill>
              <a:schemeClr val="tx1"/>
            </a:solidFill>
            <a:latin typeface="Arial" panose="020B0604020202020204" pitchFamily="34" charset="0"/>
            <a:ea typeface="+mn-ea"/>
            <a:cs typeface="Arial" panose="020B0604020202020204" pitchFamily="34" charset="0"/>
          </a:endParaRPr>
        </a:p>
      </xdr:txBody>
    </xdr:sp>
    <xdr:clientData/>
  </xdr:twoCellAnchor>
  <xdr:twoCellAnchor>
    <xdr:from>
      <xdr:col>20</xdr:col>
      <xdr:colOff>428625</xdr:colOff>
      <xdr:row>2</xdr:row>
      <xdr:rowOff>59532</xdr:rowOff>
    </xdr:from>
    <xdr:to>
      <xdr:col>27</xdr:col>
      <xdr:colOff>285749</xdr:colOff>
      <xdr:row>26</xdr:row>
      <xdr:rowOff>47625</xdr:rowOff>
    </xdr:to>
    <xdr:sp macro="" textlink="">
      <xdr:nvSpPr>
        <xdr:cNvPr id="115" name="Rounded Rectangle 114"/>
        <xdr:cNvSpPr/>
      </xdr:nvSpPr>
      <xdr:spPr>
        <a:xfrm>
          <a:off x="12573000" y="452438"/>
          <a:ext cx="4107655" cy="4560093"/>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ZA" sz="1100" b="1">
              <a:latin typeface="Arial" panose="020B0604020202020204" pitchFamily="34" charset="0"/>
              <a:cs typeface="Arial" panose="020B0604020202020204" pitchFamily="34" charset="0"/>
            </a:rPr>
            <a:t>Prevalence of Acute Malnutrition </a:t>
          </a:r>
          <a:br>
            <a:rPr lang="en-ZA" sz="1100" b="1">
              <a:latin typeface="Arial" panose="020B0604020202020204" pitchFamily="34" charset="0"/>
              <a:cs typeface="Arial" panose="020B0604020202020204" pitchFamily="34" charset="0"/>
            </a:rPr>
          </a:br>
          <a:r>
            <a:rPr lang="en-ZA" sz="1100" b="1">
              <a:latin typeface="Arial" panose="020B0604020202020204" pitchFamily="34" charset="0"/>
              <a:cs typeface="Arial" panose="020B0604020202020204" pitchFamily="34" charset="0"/>
            </a:rPr>
            <a:t>("Prevalence" sheet)</a:t>
          </a:r>
        </a:p>
      </xdr:txBody>
    </xdr:sp>
    <xdr:clientData/>
  </xdr:twoCellAnchor>
  <xdr:twoCellAnchor>
    <xdr:from>
      <xdr:col>20</xdr:col>
      <xdr:colOff>535781</xdr:colOff>
      <xdr:row>5</xdr:row>
      <xdr:rowOff>121444</xdr:rowOff>
    </xdr:from>
    <xdr:to>
      <xdr:col>27</xdr:col>
      <xdr:colOff>154781</xdr:colOff>
      <xdr:row>8</xdr:row>
      <xdr:rowOff>38101</xdr:rowOff>
    </xdr:to>
    <xdr:sp macro="" textlink="">
      <xdr:nvSpPr>
        <xdr:cNvPr id="116" name="Rounded Rectangle 115"/>
        <xdr:cNvSpPr/>
      </xdr:nvSpPr>
      <xdr:spPr>
        <a:xfrm>
          <a:off x="11799094" y="1312069"/>
          <a:ext cx="3869531" cy="488157"/>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ZA" sz="1100" b="1">
              <a:solidFill>
                <a:schemeClr val="tx1"/>
              </a:solidFill>
              <a:latin typeface="Arial" panose="020B0604020202020204" pitchFamily="34" charset="0"/>
              <a:cs typeface="Arial" panose="020B0604020202020204" pitchFamily="34" charset="0"/>
            </a:rPr>
            <a:t>Growth Monitoring and Feeding Programme -  </a:t>
          </a:r>
          <a:r>
            <a:rPr lang="en-ZA" sz="1100" b="0">
              <a:solidFill>
                <a:schemeClr val="tx1"/>
              </a:solidFill>
              <a:latin typeface="Arial" panose="020B0604020202020204" pitchFamily="34" charset="0"/>
              <a:cs typeface="Arial" panose="020B0604020202020204" pitchFamily="34" charset="0"/>
            </a:rPr>
            <a:t>number of children growing</a:t>
          </a:r>
          <a:r>
            <a:rPr lang="en-ZA" sz="1100" b="0" baseline="0">
              <a:solidFill>
                <a:schemeClr val="tx1"/>
              </a:solidFill>
              <a:latin typeface="Arial" panose="020B0604020202020204" pitchFamily="34" charset="0"/>
              <a:cs typeface="Arial" panose="020B0604020202020204" pitchFamily="34" charset="0"/>
            </a:rPr>
            <a:t> vs number not growing well</a:t>
          </a:r>
          <a:endParaRPr lang="en-ZA" sz="1100" b="1">
            <a:solidFill>
              <a:schemeClr val="tx1"/>
            </a:solidFill>
            <a:latin typeface="Arial" panose="020B0604020202020204" pitchFamily="34" charset="0"/>
            <a:cs typeface="Arial" panose="020B0604020202020204" pitchFamily="34" charset="0"/>
          </a:endParaRPr>
        </a:p>
      </xdr:txBody>
    </xdr:sp>
    <xdr:clientData/>
  </xdr:twoCellAnchor>
  <xdr:twoCellAnchor>
    <xdr:from>
      <xdr:col>20</xdr:col>
      <xdr:colOff>547687</xdr:colOff>
      <xdr:row>8</xdr:row>
      <xdr:rowOff>85726</xdr:rowOff>
    </xdr:from>
    <xdr:to>
      <xdr:col>27</xdr:col>
      <xdr:colOff>166687</xdr:colOff>
      <xdr:row>11</xdr:row>
      <xdr:rowOff>61913</xdr:rowOff>
    </xdr:to>
    <xdr:sp macro="" textlink="">
      <xdr:nvSpPr>
        <xdr:cNvPr id="117" name="Rounded Rectangle 116"/>
        <xdr:cNvSpPr/>
      </xdr:nvSpPr>
      <xdr:spPr>
        <a:xfrm>
          <a:off x="11811000" y="1847851"/>
          <a:ext cx="3869531" cy="547687"/>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ZA" sz="1100" b="1">
              <a:solidFill>
                <a:schemeClr val="tx1"/>
              </a:solidFill>
              <a:latin typeface="Arial" panose="020B0604020202020204" pitchFamily="34" charset="0"/>
              <a:cs typeface="Arial" panose="020B0604020202020204" pitchFamily="34" charset="0"/>
            </a:rPr>
            <a:t>Moderate Acute Malnutrition - </a:t>
          </a:r>
          <a:r>
            <a:rPr lang="en-ZA" sz="1100" b="0">
              <a:solidFill>
                <a:schemeClr val="tx1"/>
              </a:solidFill>
              <a:latin typeface="Arial" panose="020B0604020202020204" pitchFamily="34" charset="0"/>
              <a:cs typeface="Arial" panose="020B0604020202020204" pitchFamily="34" charset="0"/>
            </a:rPr>
            <a:t>number of children</a:t>
          </a:r>
          <a:r>
            <a:rPr lang="en-ZA" sz="1100" b="0" baseline="0">
              <a:solidFill>
                <a:schemeClr val="tx1"/>
              </a:solidFill>
              <a:latin typeface="Arial" panose="020B0604020202020204" pitchFamily="34" charset="0"/>
              <a:cs typeface="Arial" panose="020B0604020202020204" pitchFamily="34" charset="0"/>
            </a:rPr>
            <a:t> not growing well vs number with MAM</a:t>
          </a:r>
          <a:endParaRPr lang="en-ZA" sz="1100" b="1">
            <a:solidFill>
              <a:schemeClr val="tx1"/>
            </a:solidFill>
            <a:latin typeface="Arial" panose="020B0604020202020204" pitchFamily="34" charset="0"/>
            <a:cs typeface="Arial" panose="020B0604020202020204" pitchFamily="34" charset="0"/>
          </a:endParaRPr>
        </a:p>
      </xdr:txBody>
    </xdr:sp>
    <xdr:clientData/>
  </xdr:twoCellAnchor>
  <xdr:twoCellAnchor>
    <xdr:from>
      <xdr:col>20</xdr:col>
      <xdr:colOff>547687</xdr:colOff>
      <xdr:row>11</xdr:row>
      <xdr:rowOff>133351</xdr:rowOff>
    </xdr:from>
    <xdr:to>
      <xdr:col>27</xdr:col>
      <xdr:colOff>166687</xdr:colOff>
      <xdr:row>14</xdr:row>
      <xdr:rowOff>83344</xdr:rowOff>
    </xdr:to>
    <xdr:sp macro="" textlink="">
      <xdr:nvSpPr>
        <xdr:cNvPr id="118" name="Rounded Rectangle 117"/>
        <xdr:cNvSpPr/>
      </xdr:nvSpPr>
      <xdr:spPr>
        <a:xfrm>
          <a:off x="11811000" y="2466976"/>
          <a:ext cx="3869531" cy="521493"/>
        </a:xfrm>
        <a:prstGeom prst="roundRect">
          <a:avLst/>
        </a:prstGeom>
        <a:solidFill>
          <a:srgbClr val="FF33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ZA" sz="1100" b="1">
              <a:solidFill>
                <a:schemeClr val="tx1"/>
              </a:solidFill>
              <a:latin typeface="Arial" panose="020B0604020202020204" pitchFamily="34" charset="0"/>
              <a:cs typeface="Arial" panose="020B0604020202020204" pitchFamily="34" charset="0"/>
            </a:rPr>
            <a:t>Severe Acute Malnutrution - Stabilisation Phase - </a:t>
          </a:r>
          <a:r>
            <a:rPr lang="en-ZA" sz="1100" b="0">
              <a:solidFill>
                <a:schemeClr val="tx1"/>
              </a:solidFill>
              <a:latin typeface="Arial" panose="020B0604020202020204" pitchFamily="34" charset="0"/>
              <a:ea typeface="+mn-ea"/>
              <a:cs typeface="Arial" panose="020B0604020202020204" pitchFamily="34" charset="0"/>
            </a:rPr>
            <a:t>Number of children</a:t>
          </a:r>
          <a:r>
            <a:rPr lang="en-ZA" sz="1100" b="0" baseline="0">
              <a:solidFill>
                <a:schemeClr val="tx1"/>
              </a:solidFill>
              <a:latin typeface="Arial" panose="020B0604020202020204" pitchFamily="34" charset="0"/>
              <a:ea typeface="+mn-ea"/>
              <a:cs typeface="Arial" panose="020B0604020202020204" pitchFamily="34" charset="0"/>
            </a:rPr>
            <a:t> with MAM that progress to SAM</a:t>
          </a:r>
          <a:endParaRPr lang="en-ZA" sz="1100" b="0">
            <a:solidFill>
              <a:schemeClr val="tx1"/>
            </a:solidFill>
            <a:latin typeface="Arial" panose="020B0604020202020204" pitchFamily="34" charset="0"/>
            <a:ea typeface="+mn-ea"/>
            <a:cs typeface="Arial" panose="020B0604020202020204" pitchFamily="34" charset="0"/>
          </a:endParaRPr>
        </a:p>
      </xdr:txBody>
    </xdr:sp>
    <xdr:clientData/>
  </xdr:twoCellAnchor>
  <xdr:twoCellAnchor>
    <xdr:from>
      <xdr:col>20</xdr:col>
      <xdr:colOff>535781</xdr:colOff>
      <xdr:row>15</xdr:row>
      <xdr:rowOff>2</xdr:rowOff>
    </xdr:from>
    <xdr:to>
      <xdr:col>27</xdr:col>
      <xdr:colOff>166688</xdr:colOff>
      <xdr:row>17</xdr:row>
      <xdr:rowOff>130969</xdr:rowOff>
    </xdr:to>
    <xdr:sp macro="" textlink="">
      <xdr:nvSpPr>
        <xdr:cNvPr id="119" name="Rounded Rectangle 118"/>
        <xdr:cNvSpPr/>
      </xdr:nvSpPr>
      <xdr:spPr>
        <a:xfrm>
          <a:off x="11799094" y="3095627"/>
          <a:ext cx="3881438" cy="511967"/>
        </a:xfrm>
        <a:prstGeom prst="round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en-ZA" sz="1100" b="1">
              <a:solidFill>
                <a:schemeClr val="tx1"/>
              </a:solidFill>
              <a:latin typeface="Arial" panose="020B0604020202020204" pitchFamily="34" charset="0"/>
              <a:ea typeface="+mn-ea"/>
              <a:cs typeface="Arial" panose="020B0604020202020204" pitchFamily="34" charset="0"/>
            </a:rPr>
            <a:t>Severe Acute Malnutrution - with medical complications - </a:t>
          </a:r>
          <a:r>
            <a:rPr lang="en-ZA" sz="1100" b="0">
              <a:solidFill>
                <a:schemeClr val="tx1"/>
              </a:solidFill>
              <a:effectLst/>
              <a:latin typeface="Arial" panose="020B0604020202020204" pitchFamily="34" charset="0"/>
              <a:ea typeface="+mn-ea"/>
              <a:cs typeface="Arial" panose="020B0604020202020204" pitchFamily="34" charset="0"/>
            </a:rPr>
            <a:t>number of children with SAM that get complications</a:t>
          </a:r>
          <a:endParaRPr lang="en-ZA">
            <a:solidFill>
              <a:schemeClr val="tx1"/>
            </a:solidFill>
            <a:effectLst/>
            <a:latin typeface="Arial" panose="020B0604020202020204" pitchFamily="34" charset="0"/>
            <a:cs typeface="Arial" panose="020B0604020202020204" pitchFamily="34" charset="0"/>
          </a:endParaRPr>
        </a:p>
        <a:p>
          <a:pPr marL="0" indent="0" algn="l"/>
          <a:endParaRPr lang="en-ZA" sz="1100" b="1">
            <a:solidFill>
              <a:schemeClr val="tx1"/>
            </a:solidFill>
            <a:latin typeface="Arial" panose="020B0604020202020204" pitchFamily="34" charset="0"/>
            <a:ea typeface="+mn-ea"/>
            <a:cs typeface="Arial" panose="020B0604020202020204" pitchFamily="34" charset="0"/>
          </a:endParaRPr>
        </a:p>
      </xdr:txBody>
    </xdr:sp>
    <xdr:clientData/>
  </xdr:twoCellAnchor>
  <xdr:twoCellAnchor>
    <xdr:from>
      <xdr:col>20</xdr:col>
      <xdr:colOff>547687</xdr:colOff>
      <xdr:row>19</xdr:row>
      <xdr:rowOff>71439</xdr:rowOff>
    </xdr:from>
    <xdr:to>
      <xdr:col>27</xdr:col>
      <xdr:colOff>154781</xdr:colOff>
      <xdr:row>23</xdr:row>
      <xdr:rowOff>166689</xdr:rowOff>
    </xdr:to>
    <xdr:sp macro="" textlink="">
      <xdr:nvSpPr>
        <xdr:cNvPr id="120" name="Rounded Rectangle 119"/>
        <xdr:cNvSpPr/>
      </xdr:nvSpPr>
      <xdr:spPr>
        <a:xfrm>
          <a:off x="12692062" y="3702845"/>
          <a:ext cx="3857625" cy="85725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ZA" sz="1100" b="1">
              <a:solidFill>
                <a:schemeClr val="tx1"/>
              </a:solidFill>
              <a:latin typeface="Arial" panose="020B0604020202020204" pitchFamily="34" charset="0"/>
              <a:ea typeface="+mn-ea"/>
              <a:cs typeface="Arial" panose="020B0604020202020204" pitchFamily="34" charset="0"/>
            </a:rPr>
            <a:t>Structure of prevalance</a:t>
          </a:r>
          <a:r>
            <a:rPr lang="en-ZA" sz="1100" b="1" baseline="0">
              <a:solidFill>
                <a:schemeClr val="tx1"/>
              </a:solidFill>
              <a:latin typeface="Arial" panose="020B0604020202020204" pitchFamily="34" charset="0"/>
              <a:ea typeface="+mn-ea"/>
              <a:cs typeface="Arial" panose="020B0604020202020204" pitchFamily="34" charset="0"/>
            </a:rPr>
            <a:t> - for each of the above choose the weight and per cent of children in that weight. Up to 5 categories</a:t>
          </a:r>
          <a:endParaRPr lang="en-ZA">
            <a:solidFill>
              <a:schemeClr val="tx1"/>
            </a:solidFill>
            <a:effectLst/>
            <a:latin typeface="Arial" panose="020B0604020202020204" pitchFamily="34" charset="0"/>
            <a:cs typeface="Arial" panose="020B0604020202020204" pitchFamily="34" charset="0"/>
          </a:endParaRPr>
        </a:p>
        <a:p>
          <a:pPr marL="0" indent="0" algn="ctr"/>
          <a:endParaRPr lang="en-ZA" sz="1100" b="1">
            <a:solidFill>
              <a:schemeClr val="tx1"/>
            </a:solidFill>
            <a:latin typeface="Arial" panose="020B0604020202020204" pitchFamily="34" charset="0"/>
            <a:ea typeface="+mn-ea"/>
            <a:cs typeface="Arial" panose="020B0604020202020204" pitchFamily="34" charset="0"/>
          </a:endParaRPr>
        </a:p>
      </xdr:txBody>
    </xdr:sp>
    <xdr:clientData/>
  </xdr:twoCellAnchor>
  <xdr:twoCellAnchor>
    <xdr:from>
      <xdr:col>9</xdr:col>
      <xdr:colOff>59532</xdr:colOff>
      <xdr:row>64</xdr:row>
      <xdr:rowOff>21432</xdr:rowOff>
    </xdr:from>
    <xdr:to>
      <xdr:col>12</xdr:col>
      <xdr:colOff>481013</xdr:colOff>
      <xdr:row>66</xdr:row>
      <xdr:rowOff>130969</xdr:rowOff>
    </xdr:to>
    <xdr:sp macro="" textlink="">
      <xdr:nvSpPr>
        <xdr:cNvPr id="68" name="Rounded Rectangle 67"/>
        <xdr:cNvSpPr/>
      </xdr:nvSpPr>
      <xdr:spPr>
        <a:xfrm>
          <a:off x="4643438" y="12451557"/>
          <a:ext cx="2243138" cy="490537"/>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ZA" sz="1100">
              <a:latin typeface="Arial" panose="020B0604020202020204" pitchFamily="34" charset="0"/>
              <a:cs typeface="Arial" panose="020B0604020202020204" pitchFamily="34" charset="0"/>
            </a:rPr>
            <a:t>Co-trimoxazole </a:t>
          </a:r>
          <a:br>
            <a:rPr lang="en-ZA" sz="1100">
              <a:latin typeface="Arial" panose="020B0604020202020204" pitchFamily="34" charset="0"/>
              <a:cs typeface="Arial" panose="020B0604020202020204" pitchFamily="34" charset="0"/>
            </a:rPr>
          </a:br>
          <a:r>
            <a:rPr lang="en-ZA" sz="1100">
              <a:latin typeface="Arial" panose="020B0604020202020204" pitchFamily="34" charset="0"/>
              <a:cs typeface="Arial" panose="020B0604020202020204" pitchFamily="34" charset="0"/>
            </a:rPr>
            <a:t>(only for HIV exposed)</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35</xdr:col>
      <xdr:colOff>0</xdr:colOff>
      <xdr:row>461</xdr:row>
      <xdr:rowOff>148167</xdr:rowOff>
    </xdr:from>
    <xdr:to>
      <xdr:col>42</xdr:col>
      <xdr:colOff>423333</xdr:colOff>
      <xdr:row>470</xdr:row>
      <xdr:rowOff>105834</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228599</xdr:colOff>
      <xdr:row>79</xdr:row>
      <xdr:rowOff>114300</xdr:rowOff>
    </xdr:from>
    <xdr:to>
      <xdr:col>5</xdr:col>
      <xdr:colOff>581024</xdr:colOff>
      <xdr:row>97</xdr:row>
      <xdr:rowOff>23812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571500</xdr:colOff>
      <xdr:row>44</xdr:row>
      <xdr:rowOff>76200</xdr:rowOff>
    </xdr:from>
    <xdr:to>
      <xdr:col>12</xdr:col>
      <xdr:colOff>695325</xdr:colOff>
      <xdr:row>61</xdr:row>
      <xdr:rowOff>77700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571500</xdr:colOff>
      <xdr:row>27</xdr:row>
      <xdr:rowOff>23812</xdr:rowOff>
    </xdr:from>
    <xdr:to>
      <xdr:col>12</xdr:col>
      <xdr:colOff>685800</xdr:colOff>
      <xdr:row>44</xdr:row>
      <xdr:rowOff>25312</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0.47085</cdr:x>
      <cdr:y>0.55122</cdr:y>
    </cdr:from>
    <cdr:to>
      <cdr:x>0.75112</cdr:x>
      <cdr:y>0.66587</cdr:y>
    </cdr:to>
    <cdr:sp macro="" textlink="">
      <cdr:nvSpPr>
        <cdr:cNvPr id="4" name="Rectangular Callout 3"/>
        <cdr:cNvSpPr/>
      </cdr:nvSpPr>
      <cdr:spPr>
        <a:xfrm xmlns:a="http://schemas.openxmlformats.org/drawingml/2006/main">
          <a:off x="2000251" y="1785939"/>
          <a:ext cx="1190624" cy="371474"/>
        </a:xfrm>
        <a:prstGeom xmlns:a="http://schemas.openxmlformats.org/drawingml/2006/main" prst="wedgeRectCallout">
          <a:avLst>
            <a:gd name="adj1" fmla="val -32059"/>
            <a:gd name="adj2" fmla="val 105766"/>
          </a:avLst>
        </a:prstGeom>
        <a:solidFill xmlns:a="http://schemas.openxmlformats.org/drawingml/2006/main">
          <a:srgbClr val="FFFF99"/>
        </a:solidFill>
        <a:ln xmlns:a="http://schemas.openxmlformats.org/drawingml/2006/main" w="3175">
          <a:solidFill>
            <a:schemeClr val="tx2">
              <a:lumMod val="60000"/>
              <a:lumOff val="4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sz="900">
              <a:solidFill>
                <a:sysClr val="windowText" lastClr="000000"/>
              </a:solidFill>
            </a:rPr>
            <a:t>Increased spending</a:t>
          </a:r>
          <a:r>
            <a:rPr lang="en-US" sz="900" baseline="0">
              <a:solidFill>
                <a:sysClr val="windowText" lastClr="000000"/>
              </a:solidFill>
            </a:rPr>
            <a:t> on prevention</a:t>
          </a:r>
          <a:endParaRPr lang="en-US" sz="900">
            <a:solidFill>
              <a:sysClr val="windowText" lastClr="000000"/>
            </a:solidFill>
          </a:endParaRPr>
        </a:p>
      </cdr:txBody>
    </cdr:sp>
  </cdr:relSizeAnchor>
  <cdr:relSizeAnchor xmlns:cdr="http://schemas.openxmlformats.org/drawingml/2006/chartDrawing">
    <cdr:from>
      <cdr:x>0.23318</cdr:x>
      <cdr:y>0.11612</cdr:y>
    </cdr:from>
    <cdr:to>
      <cdr:x>0.52242</cdr:x>
      <cdr:y>0.28369</cdr:y>
    </cdr:to>
    <cdr:sp macro="" textlink="">
      <cdr:nvSpPr>
        <cdr:cNvPr id="3" name="Rectangular Callout 2"/>
        <cdr:cNvSpPr/>
      </cdr:nvSpPr>
      <cdr:spPr>
        <a:xfrm xmlns:a="http://schemas.openxmlformats.org/drawingml/2006/main">
          <a:off x="990600" y="376238"/>
          <a:ext cx="1228725" cy="542925"/>
        </a:xfrm>
        <a:prstGeom xmlns:a="http://schemas.openxmlformats.org/drawingml/2006/main" prst="wedgeRectCallout">
          <a:avLst>
            <a:gd name="adj1" fmla="val 71798"/>
            <a:gd name="adj2" fmla="val 110416"/>
          </a:avLst>
        </a:prstGeom>
        <a:solidFill xmlns:a="http://schemas.openxmlformats.org/drawingml/2006/main">
          <a:srgbClr val="FFFF99"/>
        </a:solidFill>
        <a:ln xmlns:a="http://schemas.openxmlformats.org/drawingml/2006/main" w="3175">
          <a:solidFill>
            <a:schemeClr val="tx2">
              <a:lumMod val="60000"/>
              <a:lumOff val="4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n-US" sz="900">
              <a:solidFill>
                <a:sysClr val="windowText" lastClr="000000"/>
              </a:solidFill>
            </a:rPr>
            <a:t>Possible savings from increased spending</a:t>
          </a:r>
          <a:r>
            <a:rPr lang="en-US" sz="900" baseline="0">
              <a:solidFill>
                <a:sysClr val="windowText" lastClr="000000"/>
              </a:solidFill>
            </a:rPr>
            <a:t> on prevention</a:t>
          </a:r>
          <a:endParaRPr lang="en-US" sz="900">
            <a:solidFill>
              <a:sysClr val="windowText" lastClr="000000"/>
            </a:solidFill>
          </a:endParaRPr>
        </a:p>
      </cdr:txBody>
    </cdr:sp>
  </cdr:relSizeAnchor>
</c:userShapes>
</file>

<file path=xl/drawings/drawing14.xml><?xml version="1.0" encoding="utf-8"?>
<xdr:wsDr xmlns:xdr="http://schemas.openxmlformats.org/drawingml/2006/spreadsheetDrawing" xmlns:a="http://schemas.openxmlformats.org/drawingml/2006/main">
  <xdr:twoCellAnchor>
    <xdr:from>
      <xdr:col>9</xdr:col>
      <xdr:colOff>571500</xdr:colOff>
      <xdr:row>62</xdr:row>
      <xdr:rowOff>76200</xdr:rowOff>
    </xdr:from>
    <xdr:to>
      <xdr:col>12</xdr:col>
      <xdr:colOff>157575</xdr:colOff>
      <xdr:row>79</xdr:row>
      <xdr:rowOff>77700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571500</xdr:colOff>
      <xdr:row>45</xdr:row>
      <xdr:rowOff>23812</xdr:rowOff>
    </xdr:from>
    <xdr:to>
      <xdr:col>12</xdr:col>
      <xdr:colOff>157575</xdr:colOff>
      <xdr:row>62</xdr:row>
      <xdr:rowOff>25312</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1562099</xdr:colOff>
      <xdr:row>139</xdr:row>
      <xdr:rowOff>138111</xdr:rowOff>
    </xdr:from>
    <xdr:to>
      <xdr:col>5</xdr:col>
      <xdr:colOff>647700</xdr:colOff>
      <xdr:row>160</xdr:row>
      <xdr:rowOff>180975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809625</xdr:colOff>
      <xdr:row>140</xdr:row>
      <xdr:rowOff>47624</xdr:rowOff>
    </xdr:from>
    <xdr:to>
      <xdr:col>10</xdr:col>
      <xdr:colOff>57150</xdr:colOff>
      <xdr:row>157</xdr:row>
      <xdr:rowOff>71437</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0.20131</cdr:x>
      <cdr:y>0.24088</cdr:y>
    </cdr:from>
    <cdr:to>
      <cdr:x>0.37199</cdr:x>
      <cdr:y>0.43358</cdr:y>
    </cdr:to>
    <cdr:sp macro="" textlink="">
      <cdr:nvSpPr>
        <cdr:cNvPr id="2" name="Rectangular Callout 1"/>
        <cdr:cNvSpPr/>
      </cdr:nvSpPr>
      <cdr:spPr>
        <a:xfrm xmlns:a="http://schemas.openxmlformats.org/drawingml/2006/main">
          <a:off x="876300" y="785814"/>
          <a:ext cx="742951" cy="628650"/>
        </a:xfrm>
        <a:prstGeom xmlns:a="http://schemas.openxmlformats.org/drawingml/2006/main" prst="wedgeRectCallout">
          <a:avLst>
            <a:gd name="adj1" fmla="val 41167"/>
            <a:gd name="adj2" fmla="val -95578"/>
          </a:avLst>
        </a:prstGeom>
        <a:noFill xmlns:a="http://schemas.openxmlformats.org/drawingml/2006/main"/>
        <a:ln xmlns:a="http://schemas.openxmlformats.org/drawingml/2006/main" w="3175"/>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n-US" sz="800">
              <a:solidFill>
                <a:sysClr val="windowText" lastClr="000000"/>
              </a:solidFill>
            </a:rPr>
            <a:t>Declining expenditure</a:t>
          </a:r>
          <a:r>
            <a:rPr lang="en-US" sz="800" baseline="0">
              <a:solidFill>
                <a:sysClr val="windowText" lastClr="000000"/>
              </a:solidFill>
            </a:rPr>
            <a:t> on clinical interventions</a:t>
          </a:r>
          <a:endParaRPr lang="en-US" sz="800">
            <a:solidFill>
              <a:sysClr val="windowText" lastClr="000000"/>
            </a:solidFill>
          </a:endParaRPr>
        </a:p>
      </cdr:txBody>
    </cdr:sp>
  </cdr:relSizeAnchor>
  <cdr:relSizeAnchor xmlns:cdr="http://schemas.openxmlformats.org/drawingml/2006/chartDrawing">
    <cdr:from>
      <cdr:x>0.43437</cdr:x>
      <cdr:y>0.56597</cdr:y>
    </cdr:from>
    <cdr:to>
      <cdr:x>0.62838</cdr:x>
      <cdr:y>0.70369</cdr:y>
    </cdr:to>
    <cdr:sp macro="" textlink="">
      <cdr:nvSpPr>
        <cdr:cNvPr id="3" name="Rectangular Callout 2"/>
        <cdr:cNvSpPr/>
      </cdr:nvSpPr>
      <cdr:spPr>
        <a:xfrm xmlns:a="http://schemas.openxmlformats.org/drawingml/2006/main">
          <a:off x="2383152" y="2288406"/>
          <a:ext cx="1064417" cy="556852"/>
        </a:xfrm>
        <a:prstGeom xmlns:a="http://schemas.openxmlformats.org/drawingml/2006/main" prst="wedgeRectCallout">
          <a:avLst>
            <a:gd name="adj1" fmla="val -3946"/>
            <a:gd name="adj2" fmla="val -106179"/>
          </a:avLst>
        </a:prstGeom>
        <a:noFill xmlns:a="http://schemas.openxmlformats.org/drawingml/2006/main"/>
        <a:ln xmlns:a="http://schemas.openxmlformats.org/drawingml/2006/main" w="3175"/>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sz="800">
              <a:solidFill>
                <a:sysClr val="windowText" lastClr="000000"/>
              </a:solidFill>
            </a:rPr>
            <a:t>Increasing expenditure</a:t>
          </a:r>
          <a:r>
            <a:rPr lang="en-US" sz="800" baseline="0">
              <a:solidFill>
                <a:sysClr val="windowText" lastClr="000000"/>
              </a:solidFill>
            </a:rPr>
            <a:t> on prevention</a:t>
          </a:r>
          <a:endParaRPr lang="en-US" sz="800">
            <a:solidFill>
              <a:sysClr val="windowText" lastClr="000000"/>
            </a:solidFill>
          </a:endParaRPr>
        </a:p>
      </cdr:txBody>
    </cdr:sp>
  </cdr:relSizeAnchor>
</c:userShapes>
</file>

<file path=xl/drawings/drawing16.xml><?xml version="1.0" encoding="utf-8"?>
<c:userShapes xmlns:c="http://schemas.openxmlformats.org/drawingml/2006/chart">
  <cdr:relSizeAnchor xmlns:cdr="http://schemas.openxmlformats.org/drawingml/2006/chartDrawing">
    <cdr:from>
      <cdr:x>0.43573</cdr:x>
      <cdr:y>0.24234</cdr:y>
    </cdr:from>
    <cdr:to>
      <cdr:x>0.62309</cdr:x>
      <cdr:y>0.39221</cdr:y>
    </cdr:to>
    <cdr:sp macro="" textlink="">
      <cdr:nvSpPr>
        <cdr:cNvPr id="2" name="Rectangular Callout 1"/>
        <cdr:cNvSpPr/>
      </cdr:nvSpPr>
      <cdr:spPr>
        <a:xfrm xmlns:a="http://schemas.openxmlformats.org/drawingml/2006/main">
          <a:off x="1905000" y="790576"/>
          <a:ext cx="819150" cy="488948"/>
        </a:xfrm>
        <a:prstGeom xmlns:a="http://schemas.openxmlformats.org/drawingml/2006/main" prst="wedgeRectCallout">
          <a:avLst>
            <a:gd name="adj1" fmla="val 69372"/>
            <a:gd name="adj2" fmla="val 114681"/>
          </a:avLst>
        </a:prstGeom>
        <a:noFill xmlns:a="http://schemas.openxmlformats.org/drawingml/2006/main"/>
        <a:ln xmlns:a="http://schemas.openxmlformats.org/drawingml/2006/main" w="3175"/>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sz="800">
              <a:solidFill>
                <a:sysClr val="windowText" lastClr="000000"/>
              </a:solidFill>
            </a:rPr>
            <a:t>Savings on </a:t>
          </a:r>
          <a:r>
            <a:rPr lang="en-US" sz="800" baseline="0">
              <a:solidFill>
                <a:sysClr val="windowText" lastClr="000000"/>
              </a:solidFill>
            </a:rPr>
            <a:t> clinical interventions</a:t>
          </a:r>
          <a:endParaRPr lang="en-US" sz="800">
            <a:solidFill>
              <a:sysClr val="windowText" lastClr="000000"/>
            </a:solidFill>
          </a:endParaRPr>
        </a:p>
      </cdr:txBody>
    </cdr:sp>
  </cdr:relSizeAnchor>
  <cdr:relSizeAnchor xmlns:cdr="http://schemas.openxmlformats.org/drawingml/2006/chartDrawing">
    <cdr:from>
      <cdr:x>0.23602</cdr:x>
      <cdr:y>0.42725</cdr:y>
    </cdr:from>
    <cdr:to>
      <cdr:x>0.42338</cdr:x>
      <cdr:y>0.57713</cdr:y>
    </cdr:to>
    <cdr:sp macro="" textlink="">
      <cdr:nvSpPr>
        <cdr:cNvPr id="3" name="Rectangular Callout 2"/>
        <cdr:cNvSpPr/>
      </cdr:nvSpPr>
      <cdr:spPr>
        <a:xfrm xmlns:a="http://schemas.openxmlformats.org/drawingml/2006/main">
          <a:off x="1031875" y="1393825"/>
          <a:ext cx="819150" cy="488948"/>
        </a:xfrm>
        <a:prstGeom xmlns:a="http://schemas.openxmlformats.org/drawingml/2006/main" prst="wedgeRectCallout">
          <a:avLst>
            <a:gd name="adj1" fmla="val 197279"/>
            <a:gd name="adj2" fmla="val 178967"/>
          </a:avLst>
        </a:prstGeom>
        <a:noFill xmlns:a="http://schemas.openxmlformats.org/drawingml/2006/main"/>
        <a:ln xmlns:a="http://schemas.openxmlformats.org/drawingml/2006/main" w="3175"/>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sz="800">
              <a:solidFill>
                <a:sysClr val="windowText" lastClr="000000"/>
              </a:solidFill>
            </a:rPr>
            <a:t>Additional expenditure on prevention</a:t>
          </a:r>
        </a:p>
      </cdr:txBody>
    </cdr:sp>
  </cdr:relSizeAnchor>
</c:userShapes>
</file>

<file path=xl/drawings/drawing2.xml><?xml version="1.0" encoding="utf-8"?>
<xdr:wsDr xmlns:xdr="http://schemas.openxmlformats.org/drawingml/2006/spreadsheetDrawing" xmlns:a="http://schemas.openxmlformats.org/drawingml/2006/main">
  <xdr:twoCellAnchor>
    <xdr:from>
      <xdr:col>3</xdr:col>
      <xdr:colOff>1066801</xdr:colOff>
      <xdr:row>0</xdr:row>
      <xdr:rowOff>38101</xdr:rowOff>
    </xdr:from>
    <xdr:to>
      <xdr:col>9</xdr:col>
      <xdr:colOff>676275</xdr:colOff>
      <xdr:row>2</xdr:row>
      <xdr:rowOff>104775</xdr:rowOff>
    </xdr:to>
    <xdr:sp macro="" textlink="">
      <xdr:nvSpPr>
        <xdr:cNvPr id="39" name="Rounded Rectangle 38"/>
        <xdr:cNvSpPr/>
      </xdr:nvSpPr>
      <xdr:spPr>
        <a:xfrm>
          <a:off x="3495676" y="38101"/>
          <a:ext cx="3733799" cy="752474"/>
        </a:xfrm>
        <a:prstGeom prst="roundRect">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n-ZA" sz="1000" b="1">
            <a:solidFill>
              <a:schemeClr val="tx1"/>
            </a:solidFill>
            <a:latin typeface="Arial" panose="020B0604020202020204" pitchFamily="34" charset="0"/>
            <a:cs typeface="Arial" panose="020B0604020202020204" pitchFamily="34" charset="0"/>
          </a:endParaRPr>
        </a:p>
      </xdr:txBody>
    </xdr:sp>
    <xdr:clientData fLocksWithSheet="0"/>
  </xdr:twoCellAnchor>
  <xdr:twoCellAnchor>
    <xdr:from>
      <xdr:col>5</xdr:col>
      <xdr:colOff>507253</xdr:colOff>
      <xdr:row>3</xdr:row>
      <xdr:rowOff>79499</xdr:rowOff>
    </xdr:from>
    <xdr:to>
      <xdr:col>10</xdr:col>
      <xdr:colOff>3175</xdr:colOff>
      <xdr:row>16</xdr:row>
      <xdr:rowOff>123825</xdr:rowOff>
    </xdr:to>
    <xdr:graphicFrame macro="">
      <xdr:nvGraphicFramePr>
        <xdr:cNvPr id="2"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747183</xdr:colOff>
      <xdr:row>57</xdr:row>
      <xdr:rowOff>97370</xdr:rowOff>
    </xdr:from>
    <xdr:to>
      <xdr:col>13</xdr:col>
      <xdr:colOff>552229</xdr:colOff>
      <xdr:row>66</xdr:row>
      <xdr:rowOff>19051</xdr:rowOff>
    </xdr:to>
    <xdr:graphicFrame macro="">
      <xdr:nvGraphicFramePr>
        <xdr:cNvPr id="3"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67739</xdr:colOff>
      <xdr:row>85</xdr:row>
      <xdr:rowOff>28225</xdr:rowOff>
    </xdr:from>
    <xdr:to>
      <xdr:col>10</xdr:col>
      <xdr:colOff>3778</xdr:colOff>
      <xdr:row>94</xdr:row>
      <xdr:rowOff>19050</xdr:rowOff>
    </xdr:to>
    <xdr:graphicFrame macro="">
      <xdr:nvGraphicFramePr>
        <xdr:cNvPr id="4"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xdr:from>
          <xdr:col>5</xdr:col>
          <xdr:colOff>9525</xdr:colOff>
          <xdr:row>36</xdr:row>
          <xdr:rowOff>9525</xdr:rowOff>
        </xdr:from>
        <xdr:to>
          <xdr:col>5</xdr:col>
          <xdr:colOff>561975</xdr:colOff>
          <xdr:row>36</xdr:row>
          <xdr:rowOff>428625</xdr:rowOff>
        </xdr:to>
        <xdr:sp macro="" textlink="">
          <xdr:nvSpPr>
            <xdr:cNvPr id="2049" name="Spinner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37</xdr:row>
          <xdr:rowOff>9525</xdr:rowOff>
        </xdr:from>
        <xdr:to>
          <xdr:col>5</xdr:col>
          <xdr:colOff>561975</xdr:colOff>
          <xdr:row>37</xdr:row>
          <xdr:rowOff>428625</xdr:rowOff>
        </xdr:to>
        <xdr:sp macro="" textlink="">
          <xdr:nvSpPr>
            <xdr:cNvPr id="2050" name="Spinner 2"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38</xdr:row>
          <xdr:rowOff>9525</xdr:rowOff>
        </xdr:from>
        <xdr:to>
          <xdr:col>5</xdr:col>
          <xdr:colOff>561975</xdr:colOff>
          <xdr:row>38</xdr:row>
          <xdr:rowOff>428625</xdr:rowOff>
        </xdr:to>
        <xdr:sp macro="" textlink="">
          <xdr:nvSpPr>
            <xdr:cNvPr id="2051" name="Spinner 3"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45</xdr:row>
          <xdr:rowOff>9525</xdr:rowOff>
        </xdr:from>
        <xdr:to>
          <xdr:col>5</xdr:col>
          <xdr:colOff>561975</xdr:colOff>
          <xdr:row>45</xdr:row>
          <xdr:rowOff>428625</xdr:rowOff>
        </xdr:to>
        <xdr:sp macro="" textlink="">
          <xdr:nvSpPr>
            <xdr:cNvPr id="2053" name="Spinner 5" hidden="1">
              <a:extLst>
                <a:ext uri="{63B3BB69-23CF-44E3-9099-C40C66FF867C}">
                  <a14:compatExt spid="_x0000_s2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46</xdr:row>
          <xdr:rowOff>9525</xdr:rowOff>
        </xdr:from>
        <xdr:to>
          <xdr:col>5</xdr:col>
          <xdr:colOff>561975</xdr:colOff>
          <xdr:row>46</xdr:row>
          <xdr:rowOff>428625</xdr:rowOff>
        </xdr:to>
        <xdr:sp macro="" textlink="">
          <xdr:nvSpPr>
            <xdr:cNvPr id="2054" name="Spinner 6" hidden="1">
              <a:extLst>
                <a:ext uri="{63B3BB69-23CF-44E3-9099-C40C66FF867C}">
                  <a14:compatExt spid="_x0000_s20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47</xdr:row>
          <xdr:rowOff>9525</xdr:rowOff>
        </xdr:from>
        <xdr:to>
          <xdr:col>5</xdr:col>
          <xdr:colOff>561975</xdr:colOff>
          <xdr:row>47</xdr:row>
          <xdr:rowOff>428625</xdr:rowOff>
        </xdr:to>
        <xdr:sp macro="" textlink="">
          <xdr:nvSpPr>
            <xdr:cNvPr id="2055" name="Spinner 7" hidden="1">
              <a:extLst>
                <a:ext uri="{63B3BB69-23CF-44E3-9099-C40C66FF867C}">
                  <a14:compatExt spid="_x0000_s20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52</xdr:row>
          <xdr:rowOff>9525</xdr:rowOff>
        </xdr:from>
        <xdr:to>
          <xdr:col>5</xdr:col>
          <xdr:colOff>561975</xdr:colOff>
          <xdr:row>52</xdr:row>
          <xdr:rowOff>428625</xdr:rowOff>
        </xdr:to>
        <xdr:sp macro="" textlink="">
          <xdr:nvSpPr>
            <xdr:cNvPr id="2056" name="Spinner 8" hidden="1">
              <a:extLst>
                <a:ext uri="{63B3BB69-23CF-44E3-9099-C40C66FF867C}">
                  <a14:compatExt spid="_x0000_s20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53</xdr:row>
          <xdr:rowOff>9525</xdr:rowOff>
        </xdr:from>
        <xdr:to>
          <xdr:col>5</xdr:col>
          <xdr:colOff>561975</xdr:colOff>
          <xdr:row>53</xdr:row>
          <xdr:rowOff>428625</xdr:rowOff>
        </xdr:to>
        <xdr:sp macro="" textlink="">
          <xdr:nvSpPr>
            <xdr:cNvPr id="2057" name="Spinner 9" hidden="1">
              <a:extLst>
                <a:ext uri="{63B3BB69-23CF-44E3-9099-C40C66FF867C}">
                  <a14:compatExt spid="_x0000_s20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54</xdr:row>
          <xdr:rowOff>9525</xdr:rowOff>
        </xdr:from>
        <xdr:to>
          <xdr:col>5</xdr:col>
          <xdr:colOff>561975</xdr:colOff>
          <xdr:row>54</xdr:row>
          <xdr:rowOff>428625</xdr:rowOff>
        </xdr:to>
        <xdr:sp macro="" textlink="">
          <xdr:nvSpPr>
            <xdr:cNvPr id="2058" name="Spinner 10" hidden="1">
              <a:extLst>
                <a:ext uri="{63B3BB69-23CF-44E3-9099-C40C66FF867C}">
                  <a14:compatExt spid="_x0000_s20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72</xdr:row>
          <xdr:rowOff>9525</xdr:rowOff>
        </xdr:from>
        <xdr:to>
          <xdr:col>5</xdr:col>
          <xdr:colOff>561975</xdr:colOff>
          <xdr:row>72</xdr:row>
          <xdr:rowOff>428625</xdr:rowOff>
        </xdr:to>
        <xdr:sp macro="" textlink="">
          <xdr:nvSpPr>
            <xdr:cNvPr id="2060" name="Spinner 12" hidden="1">
              <a:extLst>
                <a:ext uri="{63B3BB69-23CF-44E3-9099-C40C66FF867C}">
                  <a14:compatExt spid="_x0000_s2060"/>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73</xdr:row>
          <xdr:rowOff>9525</xdr:rowOff>
        </xdr:from>
        <xdr:to>
          <xdr:col>5</xdr:col>
          <xdr:colOff>561975</xdr:colOff>
          <xdr:row>73</xdr:row>
          <xdr:rowOff>428625</xdr:rowOff>
        </xdr:to>
        <xdr:sp macro="" textlink="">
          <xdr:nvSpPr>
            <xdr:cNvPr id="2061" name="Spinner 13" hidden="1">
              <a:extLst>
                <a:ext uri="{63B3BB69-23CF-44E3-9099-C40C66FF867C}">
                  <a14:compatExt spid="_x0000_s206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74</xdr:row>
          <xdr:rowOff>9525</xdr:rowOff>
        </xdr:from>
        <xdr:to>
          <xdr:col>5</xdr:col>
          <xdr:colOff>561975</xdr:colOff>
          <xdr:row>74</xdr:row>
          <xdr:rowOff>428625</xdr:rowOff>
        </xdr:to>
        <xdr:sp macro="" textlink="">
          <xdr:nvSpPr>
            <xdr:cNvPr id="2062" name="Spinner 14" hidden="1">
              <a:extLst>
                <a:ext uri="{63B3BB69-23CF-44E3-9099-C40C66FF867C}">
                  <a14:compatExt spid="_x0000_s206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103</xdr:row>
          <xdr:rowOff>9525</xdr:rowOff>
        </xdr:from>
        <xdr:to>
          <xdr:col>5</xdr:col>
          <xdr:colOff>561975</xdr:colOff>
          <xdr:row>103</xdr:row>
          <xdr:rowOff>428625</xdr:rowOff>
        </xdr:to>
        <xdr:sp macro="" textlink="">
          <xdr:nvSpPr>
            <xdr:cNvPr id="2063" name="Spinner 15" hidden="1">
              <a:extLst>
                <a:ext uri="{63B3BB69-23CF-44E3-9099-C40C66FF867C}">
                  <a14:compatExt spid="_x0000_s2063"/>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104</xdr:row>
          <xdr:rowOff>9525</xdr:rowOff>
        </xdr:from>
        <xdr:to>
          <xdr:col>5</xdr:col>
          <xdr:colOff>561975</xdr:colOff>
          <xdr:row>104</xdr:row>
          <xdr:rowOff>428625</xdr:rowOff>
        </xdr:to>
        <xdr:sp macro="" textlink="">
          <xdr:nvSpPr>
            <xdr:cNvPr id="2064" name="Spinner 16" hidden="1">
              <a:extLst>
                <a:ext uri="{63B3BB69-23CF-44E3-9099-C40C66FF867C}">
                  <a14:compatExt spid="_x0000_s2064"/>
                </a:ext>
              </a:extLst>
            </xdr:cNvPr>
            <xdr:cNvSpPr/>
          </xdr:nvSpPr>
          <xdr:spPr>
            <a:xfrm>
              <a:off x="0" y="0"/>
              <a:ext cx="0" cy="0"/>
            </a:xfrm>
            <a:prstGeom prst="rect">
              <a:avLst/>
            </a:prstGeom>
          </xdr:spPr>
        </xdr:sp>
        <xdr:clientData fLocksWithSheet="0"/>
      </xdr:twoCellAnchor>
    </mc:Choice>
    <mc:Fallback/>
  </mc:AlternateContent>
  <xdr:twoCellAnchor>
    <xdr:from>
      <xdr:col>23</xdr:col>
      <xdr:colOff>101600</xdr:colOff>
      <xdr:row>58</xdr:row>
      <xdr:rowOff>165100</xdr:rowOff>
    </xdr:from>
    <xdr:to>
      <xdr:col>29</xdr:col>
      <xdr:colOff>51033</xdr:colOff>
      <xdr:row>84</xdr:row>
      <xdr:rowOff>63500</xdr:rowOff>
    </xdr:to>
    <xdr:graphicFrame macro="">
      <xdr:nvGraphicFramePr>
        <xdr:cNvPr id="8"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23</xdr:col>
      <xdr:colOff>309033</xdr:colOff>
      <xdr:row>85</xdr:row>
      <xdr:rowOff>88907</xdr:rowOff>
    </xdr:from>
    <xdr:to>
      <xdr:col>29</xdr:col>
      <xdr:colOff>499533</xdr:colOff>
      <xdr:row>104</xdr:row>
      <xdr:rowOff>431807</xdr:rowOff>
    </xdr:to>
    <xdr:graphicFrame macro="">
      <xdr:nvGraphicFramePr>
        <xdr:cNvPr id="9"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19049</xdr:colOff>
      <xdr:row>1</xdr:row>
      <xdr:rowOff>171449</xdr:rowOff>
    </xdr:from>
    <xdr:to>
      <xdr:col>5</xdr:col>
      <xdr:colOff>447674</xdr:colOff>
      <xdr:row>1</xdr:row>
      <xdr:rowOff>450850</xdr:rowOff>
    </xdr:to>
    <xdr:sp macro="" textlink="">
      <xdr:nvSpPr>
        <xdr:cNvPr id="22" name="Rounded Rectangle 21">
          <a:hlinkClick xmlns:r="http://schemas.openxmlformats.org/officeDocument/2006/relationships" r:id="rId6"/>
        </xdr:cNvPr>
        <xdr:cNvSpPr/>
      </xdr:nvSpPr>
      <xdr:spPr>
        <a:xfrm>
          <a:off x="3533774" y="257174"/>
          <a:ext cx="1304925" cy="279401"/>
        </a:xfrm>
        <a:prstGeom prst="roundRect">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ZA" sz="1000" b="1" baseline="0">
              <a:solidFill>
                <a:schemeClr val="tx1"/>
              </a:solidFill>
              <a:latin typeface="Arial" panose="020B0604020202020204" pitchFamily="34" charset="0"/>
              <a:cs typeface="Arial" panose="020B0604020202020204" pitchFamily="34" charset="0"/>
            </a:rPr>
            <a:t>Health Headline</a:t>
          </a:r>
          <a:endParaRPr lang="en-ZA" sz="1000" b="1">
            <a:solidFill>
              <a:schemeClr val="tx1"/>
            </a:solidFill>
            <a:latin typeface="Arial" panose="020B0604020202020204" pitchFamily="34" charset="0"/>
            <a:cs typeface="Arial" panose="020B0604020202020204" pitchFamily="34" charset="0"/>
          </a:endParaRPr>
        </a:p>
      </xdr:txBody>
    </xdr:sp>
    <xdr:clientData fLocksWithSheet="0"/>
  </xdr:twoCellAnchor>
  <xdr:twoCellAnchor>
    <xdr:from>
      <xdr:col>9</xdr:col>
      <xdr:colOff>796925</xdr:colOff>
      <xdr:row>1</xdr:row>
      <xdr:rowOff>390525</xdr:rowOff>
    </xdr:from>
    <xdr:to>
      <xdr:col>11</xdr:col>
      <xdr:colOff>57150</xdr:colOff>
      <xdr:row>2</xdr:row>
      <xdr:rowOff>82550</xdr:rowOff>
    </xdr:to>
    <xdr:sp macro="" textlink="">
      <xdr:nvSpPr>
        <xdr:cNvPr id="37" name="Rounded Rectangle 36">
          <a:hlinkClick xmlns:r="http://schemas.openxmlformats.org/officeDocument/2006/relationships" r:id="rId7"/>
        </xdr:cNvPr>
        <xdr:cNvSpPr/>
      </xdr:nvSpPr>
      <xdr:spPr>
        <a:xfrm>
          <a:off x="7350125" y="476250"/>
          <a:ext cx="1050925" cy="292100"/>
        </a:xfrm>
        <a:prstGeom prst="roundRect">
          <a:avLst/>
        </a:prstGeom>
        <a:solidFill>
          <a:schemeClr val="accent1">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ZA" sz="1100" b="1" baseline="0">
              <a:solidFill>
                <a:schemeClr val="tx1"/>
              </a:solidFill>
            </a:rPr>
            <a:t>ECD Subsidies</a:t>
          </a:r>
          <a:endParaRPr lang="en-ZA" sz="1100" b="1">
            <a:solidFill>
              <a:schemeClr val="tx1"/>
            </a:solidFill>
          </a:endParaRPr>
        </a:p>
      </xdr:txBody>
    </xdr:sp>
    <xdr:clientData fLocksWithSheet="0"/>
  </xdr:twoCellAnchor>
  <xdr:twoCellAnchor>
    <xdr:from>
      <xdr:col>9</xdr:col>
      <xdr:colOff>790575</xdr:colOff>
      <xdr:row>0</xdr:row>
      <xdr:rowOff>85724</xdr:rowOff>
    </xdr:from>
    <xdr:to>
      <xdr:col>12</xdr:col>
      <xdr:colOff>47625</xdr:colOff>
      <xdr:row>1</xdr:row>
      <xdr:rowOff>295275</xdr:rowOff>
    </xdr:to>
    <xdr:sp macro="" textlink="">
      <xdr:nvSpPr>
        <xdr:cNvPr id="38" name="Rounded Rectangle 37">
          <a:hlinkClick xmlns:r="http://schemas.openxmlformats.org/officeDocument/2006/relationships" r:id="rId8"/>
        </xdr:cNvPr>
        <xdr:cNvSpPr/>
      </xdr:nvSpPr>
      <xdr:spPr>
        <a:xfrm>
          <a:off x="7343775" y="85724"/>
          <a:ext cx="1571625" cy="295276"/>
        </a:xfrm>
        <a:prstGeom prst="roundRect">
          <a:avLst/>
        </a:prstGeom>
        <a:solidFill>
          <a:schemeClr val="accent2">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ZA" sz="1100" b="1" baseline="0">
              <a:solidFill>
                <a:schemeClr val="tx1"/>
              </a:solidFill>
            </a:rPr>
            <a:t>SROD and CSG</a:t>
          </a:r>
          <a:endParaRPr lang="en-ZA" sz="1100" b="1">
            <a:solidFill>
              <a:schemeClr val="tx1"/>
            </a:solidFill>
          </a:endParaRPr>
        </a:p>
      </xdr:txBody>
    </xdr:sp>
    <xdr:clientData fLocksWithSheet="0"/>
  </xdr:twoCellAnchor>
  <xdr:twoCellAnchor>
    <xdr:from>
      <xdr:col>5</xdr:col>
      <xdr:colOff>485773</xdr:colOff>
      <xdr:row>1</xdr:row>
      <xdr:rowOff>0</xdr:rowOff>
    </xdr:from>
    <xdr:to>
      <xdr:col>9</xdr:col>
      <xdr:colOff>504824</xdr:colOff>
      <xdr:row>1</xdr:row>
      <xdr:rowOff>257175</xdr:rowOff>
    </xdr:to>
    <xdr:sp macro="" textlink="">
      <xdr:nvSpPr>
        <xdr:cNvPr id="35" name="Rounded Rectangle 34">
          <a:hlinkClick xmlns:r="http://schemas.openxmlformats.org/officeDocument/2006/relationships" r:id="rId9"/>
        </xdr:cNvPr>
        <xdr:cNvSpPr/>
      </xdr:nvSpPr>
      <xdr:spPr>
        <a:xfrm>
          <a:off x="4876798" y="85725"/>
          <a:ext cx="2181226" cy="257175"/>
        </a:xfrm>
        <a:prstGeom prst="roundRect">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ZA" sz="1000" b="1" baseline="0">
              <a:solidFill>
                <a:schemeClr val="tx1"/>
              </a:solidFill>
              <a:latin typeface="Arial" panose="020B0604020202020204" pitchFamily="34" charset="0"/>
              <a:cs typeface="Arial" panose="020B0604020202020204" pitchFamily="34" charset="0"/>
            </a:rPr>
            <a:t>Preventative Interventions</a:t>
          </a:r>
          <a:endParaRPr lang="en-ZA" sz="1000" b="1">
            <a:solidFill>
              <a:schemeClr val="tx1"/>
            </a:solidFill>
            <a:latin typeface="Arial" panose="020B0604020202020204" pitchFamily="34" charset="0"/>
            <a:cs typeface="Arial" panose="020B0604020202020204" pitchFamily="34" charset="0"/>
          </a:endParaRPr>
        </a:p>
      </xdr:txBody>
    </xdr:sp>
    <xdr:clientData fLocksWithSheet="0"/>
  </xdr:twoCellAnchor>
  <xdr:twoCellAnchor>
    <xdr:from>
      <xdr:col>5</xdr:col>
      <xdr:colOff>495301</xdr:colOff>
      <xdr:row>1</xdr:row>
      <xdr:rowOff>342900</xdr:rowOff>
    </xdr:from>
    <xdr:to>
      <xdr:col>9</xdr:col>
      <xdr:colOff>495300</xdr:colOff>
      <xdr:row>2</xdr:row>
      <xdr:rowOff>0</xdr:rowOff>
    </xdr:to>
    <xdr:sp macro="" textlink="">
      <xdr:nvSpPr>
        <xdr:cNvPr id="36" name="Rounded Rectangle 35">
          <a:hlinkClick xmlns:r="http://schemas.openxmlformats.org/officeDocument/2006/relationships" r:id="rId10"/>
        </xdr:cNvPr>
        <xdr:cNvSpPr/>
      </xdr:nvSpPr>
      <xdr:spPr>
        <a:xfrm>
          <a:off x="4886326" y="428625"/>
          <a:ext cx="2162174" cy="257175"/>
        </a:xfrm>
        <a:prstGeom prst="roundRect">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ZA" sz="1000" b="1" baseline="0">
              <a:solidFill>
                <a:schemeClr val="tx1"/>
              </a:solidFill>
              <a:latin typeface="Arial" panose="020B0604020202020204" pitchFamily="34" charset="0"/>
              <a:cs typeface="Arial" panose="020B0604020202020204" pitchFamily="34" charset="0"/>
            </a:rPr>
            <a:t>Clinical Interventions</a:t>
          </a:r>
          <a:endParaRPr lang="en-ZA" sz="1000" b="1">
            <a:solidFill>
              <a:schemeClr val="tx1"/>
            </a:solidFill>
            <a:latin typeface="Arial" panose="020B0604020202020204" pitchFamily="34" charset="0"/>
            <a:cs typeface="Arial" panose="020B0604020202020204" pitchFamily="34" charset="0"/>
          </a:endParaRPr>
        </a:p>
      </xdr:txBody>
    </xdr:sp>
    <xdr:clientData fLocksWithSheet="0"/>
  </xdr:twoCellAnchor>
  <xdr:twoCellAnchor>
    <xdr:from>
      <xdr:col>7</xdr:col>
      <xdr:colOff>533400</xdr:colOff>
      <xdr:row>72</xdr:row>
      <xdr:rowOff>104775</xdr:rowOff>
    </xdr:from>
    <xdr:to>
      <xdr:col>16</xdr:col>
      <xdr:colOff>180975</xdr:colOff>
      <xdr:row>82</xdr:row>
      <xdr:rowOff>104775</xdr:rowOff>
    </xdr:to>
    <xdr:graphicFrame macro="">
      <xdr:nvGraphicFramePr>
        <xdr:cNvPr id="46" name="Chart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960437</xdr:colOff>
      <xdr:row>92</xdr:row>
      <xdr:rowOff>152797</xdr:rowOff>
    </xdr:from>
    <xdr:to>
      <xdr:col>16</xdr:col>
      <xdr:colOff>379808</xdr:colOff>
      <xdr:row>101</xdr:row>
      <xdr:rowOff>178593</xdr:rowOff>
    </xdr:to>
    <xdr:graphicFrame macro="">
      <xdr:nvGraphicFramePr>
        <xdr:cNvPr id="47" name="Chart 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12</xdr:col>
      <xdr:colOff>457200</xdr:colOff>
      <xdr:row>0</xdr:row>
      <xdr:rowOff>76200</xdr:rowOff>
    </xdr:from>
    <xdr:to>
      <xdr:col>14</xdr:col>
      <xdr:colOff>38100</xdr:colOff>
      <xdr:row>1</xdr:row>
      <xdr:rowOff>419101</xdr:rowOff>
    </xdr:to>
    <xdr:sp macro="" textlink="">
      <xdr:nvSpPr>
        <xdr:cNvPr id="48" name="Rounded Rectangle 47">
          <a:hlinkClick xmlns:r="http://schemas.openxmlformats.org/officeDocument/2006/relationships" r:id="rId13"/>
        </xdr:cNvPr>
        <xdr:cNvSpPr/>
      </xdr:nvSpPr>
      <xdr:spPr>
        <a:xfrm>
          <a:off x="9563100" y="76200"/>
          <a:ext cx="1485900" cy="428626"/>
        </a:xfrm>
        <a:prstGeom prst="roundRect">
          <a:avLst/>
        </a:prstGeom>
        <a:solidFill>
          <a:schemeClr val="accent1">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ZA" sz="900" b="1" baseline="0">
              <a:solidFill>
                <a:schemeClr val="tx1"/>
              </a:solidFill>
            </a:rPr>
            <a:t>Explainations of categories in the graphs</a:t>
          </a:r>
          <a:endParaRPr lang="en-ZA" sz="900" b="1">
            <a:solidFill>
              <a:schemeClr val="tx1"/>
            </a:solidFill>
          </a:endParaRPr>
        </a:p>
      </xdr:txBody>
    </xdr:sp>
    <xdr:clientData fLocksWithSheet="0"/>
  </xdr:twoCellAnchor>
  <xdr:twoCellAnchor>
    <xdr:from>
      <xdr:col>4</xdr:col>
      <xdr:colOff>0</xdr:colOff>
      <xdr:row>118</xdr:row>
      <xdr:rowOff>0</xdr:rowOff>
    </xdr:from>
    <xdr:to>
      <xdr:col>9</xdr:col>
      <xdr:colOff>838201</xdr:colOff>
      <xdr:row>127</xdr:row>
      <xdr:rowOff>1</xdr:rowOff>
    </xdr:to>
    <xdr:sp macro="" textlink="">
      <xdr:nvSpPr>
        <xdr:cNvPr id="49" name="TextBox 48"/>
        <xdr:cNvSpPr txBox="1"/>
      </xdr:nvSpPr>
      <xdr:spPr>
        <a:xfrm>
          <a:off x="3514725" y="23098125"/>
          <a:ext cx="4114801" cy="17145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ZA" sz="1100" b="1"/>
            <a:t>Children covered - </a:t>
          </a:r>
          <a:r>
            <a:rPr lang="en-ZA" sz="1100"/>
            <a:t>the number of children that are covered given</a:t>
          </a:r>
          <a:r>
            <a:rPr lang="en-ZA" sz="1100" baseline="0"/>
            <a:t> the levels of coverage shown in this sheet, which changes with the choices made.</a:t>
          </a:r>
        </a:p>
        <a:p>
          <a:r>
            <a:rPr lang="en-ZA" sz="1100" b="1" u="none" baseline="0"/>
            <a:t>Children excluded </a:t>
          </a:r>
          <a:r>
            <a:rPr lang="en-ZA" sz="1100" baseline="0"/>
            <a:t>- the number of children the starting coverage is reduced by as a result of choices made</a:t>
          </a:r>
        </a:p>
        <a:p>
          <a:r>
            <a:rPr lang="en-ZA" sz="1100" b="1" baseline="0"/>
            <a:t>Children added </a:t>
          </a:r>
          <a:r>
            <a:rPr lang="en-ZA" sz="1100" baseline="0"/>
            <a:t>- the number of children added to starting coverage as a result of the choices made</a:t>
          </a:r>
        </a:p>
        <a:p>
          <a:r>
            <a:rPr lang="en-ZA" sz="1100" b="1" baseline="0"/>
            <a:t>Children uncovered </a:t>
          </a:r>
          <a:r>
            <a:rPr lang="en-ZA" sz="1100" baseline="0"/>
            <a:t>- the number of children not covered but would be covered if government targeted comprehensive coverage</a:t>
          </a:r>
          <a:endParaRPr lang="en-ZA" sz="1100"/>
        </a:p>
      </xdr:txBody>
    </xdr:sp>
    <xdr:clientData/>
  </xdr:twoCellAnchor>
  <xdr:twoCellAnchor>
    <xdr:from>
      <xdr:col>11</xdr:col>
      <xdr:colOff>47625</xdr:colOff>
      <xdr:row>32</xdr:row>
      <xdr:rowOff>79375</xdr:rowOff>
    </xdr:from>
    <xdr:to>
      <xdr:col>17</xdr:col>
      <xdr:colOff>323849</xdr:colOff>
      <xdr:row>44</xdr:row>
      <xdr:rowOff>57150</xdr:rowOff>
    </xdr:to>
    <xdr:graphicFrame macro="">
      <xdr:nvGraphicFramePr>
        <xdr:cNvPr id="34"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1143000</xdr:colOff>
      <xdr:row>43</xdr:row>
      <xdr:rowOff>0</xdr:rowOff>
    </xdr:from>
    <xdr:to>
      <xdr:col>17</xdr:col>
      <xdr:colOff>180975</xdr:colOff>
      <xdr:row>49</xdr:row>
      <xdr:rowOff>161925</xdr:rowOff>
    </xdr:to>
    <xdr:graphicFrame macro="">
      <xdr:nvGraphicFramePr>
        <xdr:cNvPr id="40"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1495425</xdr:colOff>
      <xdr:row>49</xdr:row>
      <xdr:rowOff>228600</xdr:rowOff>
    </xdr:from>
    <xdr:to>
      <xdr:col>17</xdr:col>
      <xdr:colOff>392906</xdr:colOff>
      <xdr:row>56</xdr:row>
      <xdr:rowOff>19050</xdr:rowOff>
    </xdr:to>
    <xdr:graphicFrame macro="">
      <xdr:nvGraphicFramePr>
        <xdr:cNvPr id="42" name="Chart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mc:AlternateContent xmlns:mc="http://schemas.openxmlformats.org/markup-compatibility/2006">
    <mc:Choice xmlns:a14="http://schemas.microsoft.com/office/drawing/2010/main" Requires="a14">
      <xdr:twoCellAnchor>
        <xdr:from>
          <xdr:col>5</xdr:col>
          <xdr:colOff>9525</xdr:colOff>
          <xdr:row>25</xdr:row>
          <xdr:rowOff>9525</xdr:rowOff>
        </xdr:from>
        <xdr:to>
          <xdr:col>5</xdr:col>
          <xdr:colOff>561975</xdr:colOff>
          <xdr:row>25</xdr:row>
          <xdr:rowOff>419100</xdr:rowOff>
        </xdr:to>
        <xdr:sp macro="" textlink="">
          <xdr:nvSpPr>
            <xdr:cNvPr id="2066" name="Spinner 18" hidden="1">
              <a:extLst>
                <a:ext uri="{63B3BB69-23CF-44E3-9099-C40C66FF867C}">
                  <a14:compatExt spid="_x0000_s2066"/>
                </a:ext>
              </a:extLst>
            </xdr:cNvPr>
            <xdr:cNvSpPr/>
          </xdr:nvSpPr>
          <xdr:spPr>
            <a:xfrm>
              <a:off x="0" y="0"/>
              <a:ext cx="0" cy="0"/>
            </a:xfrm>
            <a:prstGeom prst="rect">
              <a:avLst/>
            </a:prstGeom>
          </xdr:spPr>
        </xdr:sp>
        <xdr:clientData/>
      </xdr:twoCellAnchor>
    </mc:Choice>
    <mc:Fallback/>
  </mc:AlternateContent>
  <xdr:twoCellAnchor>
    <xdr:from>
      <xdr:col>12</xdr:col>
      <xdr:colOff>773905</xdr:colOff>
      <xdr:row>21</xdr:row>
      <xdr:rowOff>109140</xdr:rowOff>
    </xdr:from>
    <xdr:to>
      <xdr:col>18</xdr:col>
      <xdr:colOff>248047</xdr:colOff>
      <xdr:row>27</xdr:row>
      <xdr:rowOff>89296</xdr:rowOff>
    </xdr:to>
    <xdr:graphicFrame macro="">
      <xdr:nvGraphicFramePr>
        <xdr:cNvPr id="43"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mc:AlternateContent xmlns:mc="http://schemas.openxmlformats.org/markup-compatibility/2006">
    <mc:Choice xmlns:a14="http://schemas.microsoft.com/office/drawing/2010/main" Requires="a14">
      <xdr:twoCellAnchor>
        <xdr:from>
          <xdr:col>5</xdr:col>
          <xdr:colOff>9525</xdr:colOff>
          <xdr:row>110</xdr:row>
          <xdr:rowOff>9525</xdr:rowOff>
        </xdr:from>
        <xdr:to>
          <xdr:col>5</xdr:col>
          <xdr:colOff>561975</xdr:colOff>
          <xdr:row>111</xdr:row>
          <xdr:rowOff>0</xdr:rowOff>
        </xdr:to>
        <xdr:sp macro="" textlink="">
          <xdr:nvSpPr>
            <xdr:cNvPr id="2070" name="Spinner 22" hidden="1">
              <a:extLst>
                <a:ext uri="{63B3BB69-23CF-44E3-9099-C40C66FF867C}">
                  <a14:compatExt spid="_x0000_s2070"/>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111</xdr:row>
          <xdr:rowOff>9525</xdr:rowOff>
        </xdr:from>
        <xdr:to>
          <xdr:col>5</xdr:col>
          <xdr:colOff>561975</xdr:colOff>
          <xdr:row>112</xdr:row>
          <xdr:rowOff>0</xdr:rowOff>
        </xdr:to>
        <xdr:sp macro="" textlink="">
          <xdr:nvSpPr>
            <xdr:cNvPr id="2071" name="Spinner 23" hidden="1">
              <a:extLst>
                <a:ext uri="{63B3BB69-23CF-44E3-9099-C40C66FF867C}">
                  <a14:compatExt spid="_x0000_s2071"/>
                </a:ext>
              </a:extLst>
            </xdr:cNvPr>
            <xdr:cNvSpPr/>
          </xdr:nvSpPr>
          <xdr:spPr>
            <a:xfrm>
              <a:off x="0" y="0"/>
              <a:ext cx="0" cy="0"/>
            </a:xfrm>
            <a:prstGeom prst="rect">
              <a:avLst/>
            </a:prstGeom>
          </xdr:spPr>
        </xdr:sp>
        <xdr:clientData fLocksWithSheet="0"/>
      </xdr:twoCellAnchor>
    </mc:Choice>
    <mc:Fallback/>
  </mc:AlternateContent>
  <xdr:twoCellAnchor>
    <xdr:from>
      <xdr:col>11</xdr:col>
      <xdr:colOff>0</xdr:colOff>
      <xdr:row>109</xdr:row>
      <xdr:rowOff>0</xdr:rowOff>
    </xdr:from>
    <xdr:to>
      <xdr:col>16</xdr:col>
      <xdr:colOff>692547</xdr:colOff>
      <xdr:row>115</xdr:row>
      <xdr:rowOff>39688</xdr:rowOff>
    </xdr:to>
    <xdr:graphicFrame macro="">
      <xdr:nvGraphicFramePr>
        <xdr:cNvPr id="44" name="Chart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cdr:y>
    </cdr:from>
    <cdr:to>
      <cdr:x>1</cdr:x>
      <cdr:y>0.10537</cdr:y>
    </cdr:to>
    <cdr:sp macro="" textlink="">
      <cdr:nvSpPr>
        <cdr:cNvPr id="2" name="TextBox 1"/>
        <cdr:cNvSpPr txBox="1"/>
      </cdr:nvSpPr>
      <cdr:spPr>
        <a:xfrm xmlns:a="http://schemas.openxmlformats.org/drawingml/2006/main">
          <a:off x="0" y="0"/>
          <a:ext cx="5283433" cy="430887"/>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1" dirty="0" smtClean="0"/>
            <a:t>Figure 4: Fewer children</a:t>
          </a:r>
          <a:r>
            <a:rPr lang="en-US" sz="1100" b="1" baseline="0" dirty="0" smtClean="0"/>
            <a:t> in ECD centres as a result of cost savings choices (compared to current baseline)</a:t>
          </a:r>
          <a:endParaRPr lang="en-US" sz="1100" b="1" dirty="0"/>
        </a:p>
      </cdr:txBody>
    </cdr:sp>
  </cdr:relSizeAnchor>
</c:userShapes>
</file>

<file path=xl/drawings/drawing4.xml><?xml version="1.0" encoding="utf-8"?>
<c:userShapes xmlns:c="http://schemas.openxmlformats.org/drawingml/2006/chart">
  <cdr:relSizeAnchor xmlns:cdr="http://schemas.openxmlformats.org/drawingml/2006/chartDrawing">
    <cdr:from>
      <cdr:x>0</cdr:x>
      <cdr:y>0</cdr:y>
    </cdr:from>
    <cdr:to>
      <cdr:x>1</cdr:x>
      <cdr:y>0.15707</cdr:y>
    </cdr:to>
    <cdr:sp macro="" textlink="">
      <cdr:nvSpPr>
        <cdr:cNvPr id="2" name="TextBox 1"/>
        <cdr:cNvSpPr txBox="1"/>
      </cdr:nvSpPr>
      <cdr:spPr>
        <a:xfrm xmlns:a="http://schemas.openxmlformats.org/drawingml/2006/main">
          <a:off x="0" y="0"/>
          <a:ext cx="4572000" cy="430887"/>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1" dirty="0" smtClean="0"/>
            <a:t>Figure 5: Fewer SROD beneficiaries</a:t>
          </a:r>
          <a:r>
            <a:rPr lang="en-US" sz="1100" b="1" baseline="0" dirty="0" smtClean="0"/>
            <a:t> as a result of cost savings choices (compared to current baseline)</a:t>
          </a:r>
          <a:endParaRPr lang="en-US" sz="1100" b="1" dirty="0"/>
        </a:p>
      </cdr:txBody>
    </cdr:sp>
  </cdr:relSizeAnchor>
</c:userShapes>
</file>

<file path=xl/drawings/drawing5.xml><?xml version="1.0" encoding="utf-8"?>
<xdr:wsDr xmlns:xdr="http://schemas.openxmlformats.org/drawingml/2006/spreadsheetDrawing" xmlns:a="http://schemas.openxmlformats.org/drawingml/2006/main">
  <xdr:twoCellAnchor>
    <xdr:from>
      <xdr:col>14</xdr:col>
      <xdr:colOff>623711</xdr:colOff>
      <xdr:row>2</xdr:row>
      <xdr:rowOff>124178</xdr:rowOff>
    </xdr:from>
    <xdr:to>
      <xdr:col>22</xdr:col>
      <xdr:colOff>43744</xdr:colOff>
      <xdr:row>20</xdr:row>
      <xdr:rowOff>1411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671689</xdr:colOff>
      <xdr:row>23</xdr:row>
      <xdr:rowOff>14111</xdr:rowOff>
    </xdr:from>
    <xdr:to>
      <xdr:col>22</xdr:col>
      <xdr:colOff>163922</xdr:colOff>
      <xdr:row>38</xdr:row>
      <xdr:rowOff>94233</xdr:rowOff>
    </xdr:to>
    <xdr:graphicFrame macro="">
      <xdr:nvGraphicFramePr>
        <xdr:cNvPr id="6"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41</xdr:col>
      <xdr:colOff>0</xdr:colOff>
      <xdr:row>123</xdr:row>
      <xdr:rowOff>0</xdr:rowOff>
    </xdr:from>
    <xdr:to>
      <xdr:col>48</xdr:col>
      <xdr:colOff>495300</xdr:colOff>
      <xdr:row>135</xdr:row>
      <xdr:rowOff>174625</xdr:rowOff>
    </xdr:to>
    <xdr:graphicFrame macro="">
      <xdr:nvGraphicFramePr>
        <xdr:cNvPr id="23" name="Chart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39</xdr:col>
      <xdr:colOff>994833</xdr:colOff>
      <xdr:row>108</xdr:row>
      <xdr:rowOff>95250</xdr:rowOff>
    </xdr:from>
    <xdr:to>
      <xdr:col>46</xdr:col>
      <xdr:colOff>357717</xdr:colOff>
      <xdr:row>121</xdr:row>
      <xdr:rowOff>89959</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116310</xdr:colOff>
      <xdr:row>12</xdr:row>
      <xdr:rowOff>105697</xdr:rowOff>
    </xdr:from>
    <xdr:to>
      <xdr:col>1</xdr:col>
      <xdr:colOff>1039506</xdr:colOff>
      <xdr:row>13</xdr:row>
      <xdr:rowOff>108904</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45</xdr:col>
      <xdr:colOff>539750</xdr:colOff>
      <xdr:row>88</xdr:row>
      <xdr:rowOff>169335</xdr:rowOff>
    </xdr:from>
    <xdr:to>
      <xdr:col>53</xdr:col>
      <xdr:colOff>243416</xdr:colOff>
      <xdr:row>104</xdr:row>
      <xdr:rowOff>33868</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46</xdr:col>
      <xdr:colOff>0</xdr:colOff>
      <xdr:row>106</xdr:row>
      <xdr:rowOff>0</xdr:rowOff>
    </xdr:from>
    <xdr:to>
      <xdr:col>54</xdr:col>
      <xdr:colOff>202142</xdr:colOff>
      <xdr:row>121</xdr:row>
      <xdr:rowOff>44450</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238126</xdr:colOff>
      <xdr:row>118</xdr:row>
      <xdr:rowOff>25399</xdr:rowOff>
    </xdr:from>
    <xdr:to>
      <xdr:col>3</xdr:col>
      <xdr:colOff>1232959</xdr:colOff>
      <xdr:row>136</xdr:row>
      <xdr:rowOff>95249</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37041</xdr:colOff>
      <xdr:row>166</xdr:row>
      <xdr:rowOff>20107</xdr:rowOff>
    </xdr:from>
    <xdr:to>
      <xdr:col>5</xdr:col>
      <xdr:colOff>476250</xdr:colOff>
      <xdr:row>181</xdr:row>
      <xdr:rowOff>64557</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1058334</xdr:colOff>
      <xdr:row>160</xdr:row>
      <xdr:rowOff>144448</xdr:rowOff>
    </xdr:from>
    <xdr:to>
      <xdr:col>12</xdr:col>
      <xdr:colOff>556944</xdr:colOff>
      <xdr:row>186</xdr:row>
      <xdr:rowOff>146135</xdr:rowOff>
    </xdr:to>
    <xdr:grpSp>
      <xdr:nvGrpSpPr>
        <xdr:cNvPr id="10" name="Group 9"/>
        <xdr:cNvGrpSpPr/>
      </xdr:nvGrpSpPr>
      <xdr:grpSpPr>
        <a:xfrm>
          <a:off x="10047553" y="28814698"/>
          <a:ext cx="7047172" cy="4788000"/>
          <a:chOff x="10047553" y="28814698"/>
          <a:chExt cx="7047172" cy="4788000"/>
        </a:xfrm>
      </xdr:grpSpPr>
      <xdr:graphicFrame macro="">
        <xdr:nvGraphicFramePr>
          <xdr:cNvPr id="13" name="Chart 12"/>
          <xdr:cNvGraphicFramePr>
            <a:graphicFrameLocks/>
          </xdr:cNvGraphicFramePr>
        </xdr:nvGraphicFramePr>
        <xdr:xfrm>
          <a:off x="10047553" y="28814698"/>
          <a:ext cx="7047172" cy="4788000"/>
        </xdr:xfrm>
        <a:graphic>
          <a:graphicData uri="http://schemas.openxmlformats.org/drawingml/2006/chart">
            <c:chart xmlns:c="http://schemas.openxmlformats.org/drawingml/2006/chart" xmlns:r="http://schemas.openxmlformats.org/officeDocument/2006/relationships" r:id="rId10"/>
          </a:graphicData>
        </a:graphic>
      </xdr:graphicFrame>
      <xdr:sp macro="" textlink="">
        <xdr:nvSpPr>
          <xdr:cNvPr id="14" name="TextBox 1"/>
          <xdr:cNvSpPr txBox="1"/>
        </xdr:nvSpPr>
        <xdr:spPr>
          <a:xfrm>
            <a:off x="12435649" y="32770909"/>
            <a:ext cx="1125541" cy="182725"/>
          </a:xfrm>
          <a:prstGeom prst="rect">
            <a:avLst/>
          </a:prstGeom>
        </xdr:spPr>
        <xdr:txBody>
          <a:bodyPr wrap="square" lIns="0" tIns="0" rIns="0" bIns="0"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en-GB" sz="1000"/>
              <a:t>657</a:t>
            </a:r>
            <a:r>
              <a:rPr lang="en-GB" sz="1000" baseline="0"/>
              <a:t> 369</a:t>
            </a:r>
            <a:r>
              <a:rPr lang="en-GB" sz="1000"/>
              <a:t> 000</a:t>
            </a:r>
          </a:p>
        </xdr:txBody>
      </xdr:sp>
      <xdr:sp macro="" textlink="">
        <xdr:nvSpPr>
          <xdr:cNvPr id="15" name="TextBox 1"/>
          <xdr:cNvSpPr txBox="1"/>
        </xdr:nvSpPr>
        <xdr:spPr>
          <a:xfrm>
            <a:off x="13552102" y="32771596"/>
            <a:ext cx="1122995" cy="182725"/>
          </a:xfrm>
          <a:prstGeom prst="rect">
            <a:avLst/>
          </a:prstGeom>
        </xdr:spPr>
        <xdr:txBody>
          <a:bodyPr wrap="square" lIns="0" tIns="0" rIns="0" bIns="0"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en-GB" sz="1000"/>
              <a:t>2 204 806 000</a:t>
            </a:r>
          </a:p>
        </xdr:txBody>
      </xdr:sp>
      <xdr:sp macro="" textlink="">
        <xdr:nvSpPr>
          <xdr:cNvPr id="16" name="TextBox 1"/>
          <xdr:cNvSpPr txBox="1"/>
        </xdr:nvSpPr>
        <xdr:spPr>
          <a:xfrm>
            <a:off x="14668787" y="32770910"/>
            <a:ext cx="1130635" cy="182725"/>
          </a:xfrm>
          <a:prstGeom prst="rect">
            <a:avLst/>
          </a:prstGeom>
        </xdr:spPr>
        <xdr:txBody>
          <a:bodyPr wrap="square" lIns="0" tIns="0" rIns="0" bIns="0"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en-GB" sz="1000"/>
              <a:t>519 918 000</a:t>
            </a:r>
          </a:p>
        </xdr:txBody>
      </xdr:sp>
      <xdr:sp macro="" textlink="">
        <xdr:nvSpPr>
          <xdr:cNvPr id="17" name="TextBox 1"/>
          <xdr:cNvSpPr txBox="1"/>
        </xdr:nvSpPr>
        <xdr:spPr>
          <a:xfrm>
            <a:off x="15795890" y="32768676"/>
            <a:ext cx="1130635" cy="182725"/>
          </a:xfrm>
          <a:prstGeom prst="rect">
            <a:avLst/>
          </a:prstGeom>
        </xdr:spPr>
        <xdr:txBody>
          <a:bodyPr wrap="square" lIns="0" tIns="0" rIns="0" bIns="0"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en-GB" sz="1000"/>
              <a:t>624 884 000</a:t>
            </a:r>
          </a:p>
        </xdr:txBody>
      </xdr:sp>
      <xdr:sp macro="" textlink="">
        <xdr:nvSpPr>
          <xdr:cNvPr id="18" name="TextBox 1"/>
          <xdr:cNvSpPr txBox="1"/>
        </xdr:nvSpPr>
        <xdr:spPr>
          <a:xfrm>
            <a:off x="12463498" y="32917189"/>
            <a:ext cx="1125541" cy="177409"/>
          </a:xfrm>
          <a:prstGeom prst="rect">
            <a:avLst/>
          </a:prstGeom>
        </xdr:spPr>
        <xdr:txBody>
          <a:bodyPr wrap="square" lIns="0" tIns="0" rIns="0" bIns="0"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en-GB" sz="1000"/>
              <a:t>474 649</a:t>
            </a:r>
          </a:p>
        </xdr:txBody>
      </xdr:sp>
      <xdr:sp macro="" textlink="">
        <xdr:nvSpPr>
          <xdr:cNvPr id="20" name="TextBox 1"/>
          <xdr:cNvSpPr txBox="1"/>
        </xdr:nvSpPr>
        <xdr:spPr>
          <a:xfrm>
            <a:off x="13562894" y="32953960"/>
            <a:ext cx="1122995" cy="177409"/>
          </a:xfrm>
          <a:prstGeom prst="rect">
            <a:avLst/>
          </a:prstGeom>
        </xdr:spPr>
        <xdr:txBody>
          <a:bodyPr wrap="square" lIns="0" tIns="0" rIns="0" bIns="0"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en-GB" sz="1000"/>
              <a:t>189 860</a:t>
            </a:r>
          </a:p>
        </xdr:txBody>
      </xdr:sp>
      <xdr:sp macro="" textlink="">
        <xdr:nvSpPr>
          <xdr:cNvPr id="21" name="TextBox 1"/>
          <xdr:cNvSpPr txBox="1"/>
        </xdr:nvSpPr>
        <xdr:spPr>
          <a:xfrm>
            <a:off x="14663810" y="32946376"/>
            <a:ext cx="1130635" cy="177409"/>
          </a:xfrm>
          <a:prstGeom prst="rect">
            <a:avLst/>
          </a:prstGeom>
        </xdr:spPr>
        <xdr:txBody>
          <a:bodyPr wrap="square" lIns="0" tIns="0" rIns="0" bIns="0"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en-GB" sz="1000"/>
              <a:t>37 972</a:t>
            </a:r>
          </a:p>
        </xdr:txBody>
      </xdr:sp>
      <xdr:sp macro="" textlink="">
        <xdr:nvSpPr>
          <xdr:cNvPr id="22" name="TextBox 1"/>
          <xdr:cNvSpPr txBox="1"/>
        </xdr:nvSpPr>
        <xdr:spPr>
          <a:xfrm>
            <a:off x="15798030" y="32940622"/>
            <a:ext cx="1130635" cy="176802"/>
          </a:xfrm>
          <a:prstGeom prst="rect">
            <a:avLst/>
          </a:prstGeom>
        </xdr:spPr>
        <xdr:txBody>
          <a:bodyPr wrap="square" lIns="0" tIns="0" rIns="0" bIns="0"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en-GB" sz="1000"/>
              <a:t>9 493</a:t>
            </a:r>
          </a:p>
        </xdr:txBody>
      </xdr:sp>
    </xdr:grpSp>
    <xdr:clientData/>
  </xdr:twoCellAnchor>
</xdr:wsDr>
</file>

<file path=xl/drawings/drawing6.xml><?xml version="1.0" encoding="utf-8"?>
<c:userShapes xmlns:c="http://schemas.openxmlformats.org/drawingml/2006/chart">
  <cdr:relSizeAnchor xmlns:cdr="http://schemas.openxmlformats.org/drawingml/2006/chartDrawing">
    <cdr:from>
      <cdr:x>0</cdr:x>
      <cdr:y>0</cdr:y>
    </cdr:from>
    <cdr:to>
      <cdr:x>0.99042</cdr:x>
      <cdr:y>0.18219</cdr:y>
    </cdr:to>
    <cdr:sp macro="" textlink="">
      <cdr:nvSpPr>
        <cdr:cNvPr id="2" name="TextBox 1"/>
        <cdr:cNvSpPr txBox="1"/>
      </cdr:nvSpPr>
      <cdr:spPr>
        <a:xfrm xmlns:a="http://schemas.openxmlformats.org/drawingml/2006/main">
          <a:off x="0" y="0"/>
          <a:ext cx="5018758" cy="430887"/>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xmlns:a="http://schemas.openxmlformats.org/drawingml/2006/main">
          <a:r>
            <a:rPr lang="en-US" sz="1100" b="1" dirty="0" smtClean="0"/>
            <a:t>Figure 1: Fewer children</a:t>
          </a:r>
          <a:r>
            <a:rPr lang="en-US" sz="1100" b="1" baseline="0" dirty="0" smtClean="0"/>
            <a:t> receiving treatment as a result of the savings choices (compared to current baseline)</a:t>
          </a:r>
          <a:endParaRPr lang="en-US" sz="1100" b="1" dirty="0"/>
        </a:p>
      </cdr:txBody>
    </cdr:sp>
  </cdr:relSizeAnchor>
</c:userShapes>
</file>

<file path=xl/drawings/drawing7.xml><?xml version="1.0" encoding="utf-8"?>
<c:userShapes xmlns:c="http://schemas.openxmlformats.org/drawingml/2006/chart">
  <cdr:relSizeAnchor xmlns:cdr="http://schemas.openxmlformats.org/drawingml/2006/chartDrawing">
    <cdr:from>
      <cdr:x>0</cdr:x>
      <cdr:y>0</cdr:y>
    </cdr:from>
    <cdr:to>
      <cdr:x>1</cdr:x>
      <cdr:y>0.18135</cdr:y>
    </cdr:to>
    <cdr:sp macro="" textlink="">
      <cdr:nvSpPr>
        <cdr:cNvPr id="2" name="TextBox 1"/>
        <cdr:cNvSpPr txBox="1"/>
      </cdr:nvSpPr>
      <cdr:spPr>
        <a:xfrm xmlns:a="http://schemas.openxmlformats.org/drawingml/2006/main">
          <a:off x="0" y="0"/>
          <a:ext cx="4910900" cy="430888"/>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1" dirty="0" smtClean="0"/>
            <a:t>Figure 2: Fewer staff</a:t>
          </a:r>
          <a:r>
            <a:rPr lang="en-US" sz="1100" b="1" baseline="0" dirty="0" smtClean="0"/>
            <a:t> receiving malnutrition training as a result of cost savings (compared to current baseline)</a:t>
          </a:r>
          <a:endParaRPr lang="en-US" sz="1100" b="1" dirty="0"/>
        </a:p>
      </cdr:txBody>
    </cdr:sp>
  </cdr:relSizeAnchor>
</c:userShapes>
</file>

<file path=xl/drawings/drawing8.xml><?xml version="1.0" encoding="utf-8"?>
<c:userShapes xmlns:c="http://schemas.openxmlformats.org/drawingml/2006/chart">
  <cdr:relSizeAnchor xmlns:cdr="http://schemas.openxmlformats.org/drawingml/2006/chartDrawing">
    <cdr:from>
      <cdr:x>0.01925</cdr:x>
      <cdr:y>0.82002</cdr:y>
    </cdr:from>
    <cdr:to>
      <cdr:x>0.1807</cdr:x>
      <cdr:y>0.86473</cdr:y>
    </cdr:to>
    <cdr:sp macro="" textlink="">
      <cdr:nvSpPr>
        <cdr:cNvPr id="2" name="TextBox 1"/>
        <cdr:cNvSpPr txBox="1"/>
      </cdr:nvSpPr>
      <cdr:spPr>
        <a:xfrm xmlns:a="http://schemas.openxmlformats.org/drawingml/2006/main">
          <a:off x="135651" y="3926246"/>
          <a:ext cx="1137766" cy="214072"/>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pPr algn="r"/>
          <a:r>
            <a:rPr lang="en-GB" sz="1000"/>
            <a:t>Total estimated cost</a:t>
          </a:r>
        </a:p>
      </cdr:txBody>
    </cdr:sp>
  </cdr:relSizeAnchor>
  <cdr:relSizeAnchor xmlns:cdr="http://schemas.openxmlformats.org/drawingml/2006/chartDrawing">
    <cdr:from>
      <cdr:x>0.03632</cdr:x>
      <cdr:y>0.85476</cdr:y>
    </cdr:from>
    <cdr:to>
      <cdr:x>0.18052</cdr:x>
      <cdr:y>0.90052</cdr:y>
    </cdr:to>
    <cdr:sp macro="" textlink="">
      <cdr:nvSpPr>
        <cdr:cNvPr id="4" name="TextBox 3"/>
        <cdr:cNvSpPr txBox="1"/>
      </cdr:nvSpPr>
      <cdr:spPr>
        <a:xfrm xmlns:a="http://schemas.openxmlformats.org/drawingml/2006/main">
          <a:off x="255950" y="4092597"/>
          <a:ext cx="1016202" cy="21909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pPr algn="r"/>
          <a:r>
            <a:rPr lang="en-GB" sz="1000"/>
            <a:t>No. of children</a:t>
          </a:r>
        </a:p>
      </cdr:txBody>
    </cdr:sp>
  </cdr:relSizeAnchor>
  <cdr:relSizeAnchor xmlns:cdr="http://schemas.openxmlformats.org/drawingml/2006/chartDrawing">
    <cdr:from>
      <cdr:x>0.17614</cdr:x>
      <cdr:y>0.82061</cdr:y>
    </cdr:from>
    <cdr:to>
      <cdr:x>0.33629</cdr:x>
      <cdr:y>0.85956</cdr:y>
    </cdr:to>
    <cdr:sp macro="" textlink="">
      <cdr:nvSpPr>
        <cdr:cNvPr id="5" name="TextBox 4"/>
        <cdr:cNvSpPr txBox="1"/>
      </cdr:nvSpPr>
      <cdr:spPr>
        <a:xfrm xmlns:a="http://schemas.openxmlformats.org/drawingml/2006/main">
          <a:off x="1241293" y="3929088"/>
          <a:ext cx="1128604" cy="186492"/>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pPr algn="ctr"/>
          <a:r>
            <a:rPr lang="en-GB" sz="1000"/>
            <a:t>1 382 026 000</a:t>
          </a:r>
        </a:p>
      </cdr:txBody>
    </cdr:sp>
  </cdr:relSizeAnchor>
  <cdr:relSizeAnchor xmlns:cdr="http://schemas.openxmlformats.org/drawingml/2006/chartDrawing">
    <cdr:from>
      <cdr:x>0.1941</cdr:x>
      <cdr:y>0.86035</cdr:y>
    </cdr:from>
    <cdr:to>
      <cdr:x>0.35424</cdr:x>
      <cdr:y>0.8993</cdr:y>
    </cdr:to>
    <cdr:sp macro="" textlink="">
      <cdr:nvSpPr>
        <cdr:cNvPr id="6" name="TextBox 1"/>
        <cdr:cNvSpPr txBox="1"/>
      </cdr:nvSpPr>
      <cdr:spPr>
        <a:xfrm xmlns:a="http://schemas.openxmlformats.org/drawingml/2006/main">
          <a:off x="1367821" y="4119347"/>
          <a:ext cx="1128604" cy="186492"/>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t>4 746 494</a:t>
          </a:r>
        </a:p>
      </cdr:txBody>
    </cdr:sp>
  </cdr:relSizeAnchor>
</c:userShapes>
</file>

<file path=xl/drawings/drawing9.xml><?xml version="1.0" encoding="utf-8"?>
<xdr:wsDr xmlns:xdr="http://schemas.openxmlformats.org/drawingml/2006/spreadsheetDrawing" xmlns:a="http://schemas.openxmlformats.org/drawingml/2006/main">
  <xdr:twoCellAnchor>
    <xdr:from>
      <xdr:col>5</xdr:col>
      <xdr:colOff>352424</xdr:colOff>
      <xdr:row>47</xdr:row>
      <xdr:rowOff>381000</xdr:rowOff>
    </xdr:from>
    <xdr:to>
      <xdr:col>11</xdr:col>
      <xdr:colOff>142874</xdr:colOff>
      <xdr:row>54</xdr:row>
      <xdr:rowOff>114300</xdr:rowOff>
    </xdr:to>
    <xdr:sp macro="" textlink="">
      <xdr:nvSpPr>
        <xdr:cNvPr id="2" name="TextBox 1"/>
        <xdr:cNvSpPr txBox="1"/>
      </xdr:nvSpPr>
      <xdr:spPr>
        <a:xfrm>
          <a:off x="7791449" y="15725775"/>
          <a:ext cx="3819525" cy="1466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ZA" sz="1100"/>
            <a:t>Some issues with adherence to treatment</a:t>
          </a:r>
          <a:r>
            <a:rPr lang="en-ZA" sz="1100" baseline="0"/>
            <a:t> for growth faltering or acute malnutrition:  food stuffs given are shared amongst household members so the child does not recover and moves to the next stage of severity of malnutrition or is not rehabilitated and relapses.  This can be prevented through inpatient treatment which allows for close monitoring of treatment, but is more expensive</a:t>
          </a:r>
          <a:endParaRPr lang="en-ZA"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tthewtownshend/Library/Containers/com.apple.mail/Data/Library/Mail%20Downloads/9BC33ED4-2F26-43B0-9763-C8023A1EFA32/2015.04.24%20Nutrition%20Costing%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tthewtownshend/Library/Containers/com.apple.mail/Data/Library/Mail%20Downloads/A839D18A-8A80-4E1A-8E5E-757F950C4CDD/2015.03.30%20Nutrition%20Costing%20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Name val="Contents"/>
      <sheetName val="Budget Choices"/>
      <sheetName val="Summary"/>
      <sheetName val="Catg-all"/>
      <sheetName val="Catg-Health"/>
      <sheetName val="Catg-SWelfare"/>
      <sheetName val="Catg-Agric"/>
      <sheetName val="Intervention List"/>
      <sheetName val="Policy Questions"/>
      <sheetName val="Health - Flow"/>
      <sheetName val="NDOH"/>
      <sheetName val="PDOH"/>
      <sheetName val="Prev Treat"/>
      <sheetName val="Acute Prevalence"/>
      <sheetName val="Acute Treat"/>
      <sheetName val="Med-Prices"/>
      <sheetName val="DM&amp;Metros"/>
      <sheetName val="NDSD"/>
      <sheetName val="PDSD"/>
      <sheetName val="SASSA"/>
      <sheetName val="Agriculture"/>
      <sheetName val="GenAssumptions"/>
      <sheetName val="H&amp;S Demand"/>
      <sheetName val="Agric Demand"/>
      <sheetName val="District"/>
      <sheetName val="Municipal"/>
      <sheetName val="IES"/>
      <sheetName val="Lists"/>
      <sheetName val="Maths Acute Treatment"/>
      <sheetName val="Scenar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76">
          <cell r="D276" t="str">
            <v>Growth Monitoring and Feeding</v>
          </cell>
        </row>
        <row r="277">
          <cell r="D277" t="str">
            <v>Moderate Acute Malnutrition</v>
          </cell>
        </row>
        <row r="278">
          <cell r="D278" t="str">
            <v>SAM without medical complications</v>
          </cell>
        </row>
        <row r="279">
          <cell r="D279" t="str">
            <v>SAM with medical complications</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Name val="Scenario"/>
      <sheetName val="Summary"/>
      <sheetName val="Catg-all"/>
      <sheetName val="Catg-Health"/>
      <sheetName val="Catg-SWelfare"/>
      <sheetName val="Catg-Agric"/>
      <sheetName val="Intervention List"/>
      <sheetName val="Policy Questions"/>
      <sheetName val="Health - Flow"/>
      <sheetName val="NDOH"/>
      <sheetName val="PDOH"/>
      <sheetName val="GenAssumptions"/>
      <sheetName val="Prev Treat"/>
      <sheetName val="Acute Treat"/>
      <sheetName val="Med-Prices"/>
      <sheetName val="Prevalence"/>
      <sheetName val="DM&amp;Metros"/>
      <sheetName val="NDSD"/>
      <sheetName val="PDSD"/>
      <sheetName val="SASSA"/>
      <sheetName val="Agriculture"/>
      <sheetName val="H&amp;S Demand"/>
      <sheetName val="Agric Demand"/>
      <sheetName val="District"/>
      <sheetName val="Municipal"/>
      <sheetName val="IES"/>
      <sheetName val="Lists"/>
      <sheetName val="Maths Acute Treat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4"/>
  <sheetViews>
    <sheetView showGridLines="0" workbookViewId="0">
      <selection activeCell="H9" sqref="H9"/>
    </sheetView>
  </sheetViews>
  <sheetFormatPr defaultColWidth="8.85546875" defaultRowHeight="15" x14ac:dyDescent="0.25"/>
  <cols>
    <col min="10" max="11" width="9.7109375" customWidth="1"/>
  </cols>
  <sheetData>
    <row r="1" spans="2:20" ht="26.25" x14ac:dyDescent="0.4">
      <c r="D1" s="1124"/>
      <c r="E1" s="1125"/>
      <c r="F1" s="1125"/>
      <c r="G1" s="1125"/>
      <c r="H1" s="1125"/>
      <c r="I1" s="1125"/>
      <c r="J1" s="1125"/>
      <c r="K1" s="1125"/>
      <c r="L1" s="1125"/>
      <c r="M1" s="1125"/>
      <c r="N1" s="1125"/>
      <c r="O1" s="1125"/>
      <c r="P1" s="1125"/>
      <c r="Q1" s="1125"/>
      <c r="R1" s="1125"/>
      <c r="S1" s="1125"/>
      <c r="T1" s="1125"/>
    </row>
    <row r="2" spans="2:20" ht="27" x14ac:dyDescent="0.35">
      <c r="H2" s="405" t="s">
        <v>1022</v>
      </c>
    </row>
    <row r="4" spans="2:20" ht="20.25" x14ac:dyDescent="0.3">
      <c r="E4" s="406"/>
      <c r="F4" s="406"/>
      <c r="G4" s="406"/>
      <c r="H4" s="407" t="s">
        <v>1029</v>
      </c>
      <c r="I4" s="406"/>
      <c r="J4" s="406"/>
      <c r="K4" s="406"/>
    </row>
    <row r="5" spans="2:20" ht="20.25" x14ac:dyDescent="0.3">
      <c r="E5" s="406"/>
      <c r="F5" s="406"/>
      <c r="G5" s="406"/>
      <c r="H5" s="408"/>
      <c r="I5" s="406"/>
      <c r="J5" s="406"/>
      <c r="K5" s="406"/>
    </row>
    <row r="6" spans="2:20" ht="27" x14ac:dyDescent="0.35">
      <c r="H6" s="409" t="s">
        <v>1023</v>
      </c>
    </row>
    <row r="7" spans="2:20" x14ac:dyDescent="0.25">
      <c r="H7" s="410"/>
    </row>
    <row r="8" spans="2:20" ht="18.75" x14ac:dyDescent="0.3">
      <c r="G8" s="106"/>
      <c r="H8" s="411" t="s">
        <v>1794</v>
      </c>
      <c r="I8" s="106"/>
    </row>
    <row r="9" spans="2:20" x14ac:dyDescent="0.25">
      <c r="H9" s="412" t="s">
        <v>1795</v>
      </c>
    </row>
    <row r="10" spans="2:20" ht="15.75" thickBot="1" x14ac:dyDescent="0.3">
      <c r="E10" s="1126" t="s">
        <v>1024</v>
      </c>
      <c r="F10" s="1126"/>
      <c r="G10" s="1126"/>
      <c r="H10" s="1126"/>
      <c r="I10" s="1126"/>
      <c r="J10" s="1126"/>
      <c r="K10" s="1126"/>
    </row>
    <row r="12" spans="2:20" ht="28.5" customHeight="1" x14ac:dyDescent="0.25">
      <c r="I12" s="1127" t="s">
        <v>1025</v>
      </c>
      <c r="J12" s="1127"/>
      <c r="K12" s="1127"/>
      <c r="L12" s="413"/>
      <c r="M12" s="413"/>
      <c r="N12" s="413"/>
      <c r="O12" s="413"/>
    </row>
    <row r="13" spans="2:20" s="414" customFormat="1" ht="26.25" x14ac:dyDescent="0.4">
      <c r="B13"/>
      <c r="C13"/>
      <c r="D13"/>
      <c r="E13"/>
      <c r="F13"/>
      <c r="G13"/>
      <c r="H13"/>
      <c r="I13" s="1128" t="s">
        <v>1026</v>
      </c>
      <c r="J13" s="1128"/>
      <c r="K13" s="1128"/>
      <c r="L13"/>
      <c r="M13"/>
      <c r="N13"/>
      <c r="O13"/>
      <c r="P13"/>
      <c r="Q13"/>
      <c r="R13"/>
      <c r="S13"/>
      <c r="T13"/>
    </row>
    <row r="14" spans="2:20" s="414" customFormat="1" ht="15" customHeight="1" x14ac:dyDescent="0.4">
      <c r="B14"/>
      <c r="C14"/>
      <c r="D14"/>
      <c r="E14"/>
      <c r="F14"/>
      <c r="G14"/>
      <c r="H14"/>
      <c r="I14" s="415" t="s">
        <v>1027</v>
      </c>
      <c r="J14"/>
      <c r="K14"/>
      <c r="L14"/>
      <c r="M14"/>
      <c r="N14"/>
      <c r="O14"/>
      <c r="P14"/>
      <c r="Q14"/>
      <c r="R14"/>
      <c r="S14"/>
      <c r="T14"/>
    </row>
    <row r="15" spans="2:20" s="414" customFormat="1" ht="15" customHeight="1" x14ac:dyDescent="0.4">
      <c r="B15"/>
      <c r="C15"/>
      <c r="D15"/>
      <c r="E15"/>
      <c r="F15"/>
      <c r="G15"/>
      <c r="H15"/>
      <c r="I15" s="415" t="s">
        <v>1028</v>
      </c>
      <c r="J15"/>
      <c r="K15"/>
      <c r="L15"/>
      <c r="M15"/>
      <c r="N15"/>
      <c r="O15"/>
      <c r="P15"/>
      <c r="Q15"/>
      <c r="R15"/>
      <c r="S15"/>
      <c r="T15"/>
    </row>
    <row r="16" spans="2:20" ht="15" customHeight="1" x14ac:dyDescent="0.25"/>
    <row r="17" spans="1:11" x14ac:dyDescent="0.25">
      <c r="D17" s="416"/>
    </row>
    <row r="18" spans="1:11" x14ac:dyDescent="0.25">
      <c r="D18" s="416"/>
    </row>
    <row r="19" spans="1:11" x14ac:dyDescent="0.25">
      <c r="A19" s="74"/>
      <c r="B19" s="74"/>
      <c r="C19" s="74"/>
      <c r="D19" s="74"/>
      <c r="J19" s="74"/>
      <c r="K19" s="74"/>
    </row>
    <row r="24" spans="1:11" x14ac:dyDescent="0.25">
      <c r="G24" s="417"/>
    </row>
  </sheetData>
  <mergeCells count="4">
    <mergeCell ref="D1:T1"/>
    <mergeCell ref="E10:K10"/>
    <mergeCell ref="I12:K12"/>
    <mergeCell ref="I13:K13"/>
  </mergeCells>
  <pageMargins left="0.7" right="0.7" top="0.75" bottom="0.75" header="0.3" footer="0.3"/>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O35"/>
  <sheetViews>
    <sheetView showGridLines="0" topLeftCell="C1" workbookViewId="0">
      <pane xSplit="2" ySplit="6" topLeftCell="E13" activePane="bottomRight" state="frozen"/>
      <selection activeCell="H37" sqref="H37"/>
      <selection pane="topRight" activeCell="H37" sqref="H37"/>
      <selection pane="bottomLeft" activeCell="H37" sqref="H37"/>
      <selection pane="bottomRight" activeCell="H37" sqref="H37"/>
    </sheetView>
  </sheetViews>
  <sheetFormatPr defaultColWidth="8.85546875" defaultRowHeight="12.75" x14ac:dyDescent="0.2"/>
  <cols>
    <col min="1" max="2" width="0" style="5" hidden="1" customWidth="1"/>
    <col min="3" max="3" width="8.85546875" style="389"/>
    <col min="4" max="4" width="30" style="5" bestFit="1" customWidth="1"/>
    <col min="5" max="9" width="17.7109375" style="5" customWidth="1"/>
    <col min="10" max="10" width="16.85546875" style="5" hidden="1" customWidth="1"/>
    <col min="11" max="12" width="8.85546875" style="5"/>
    <col min="13" max="13" width="14" style="366" bestFit="1" customWidth="1"/>
    <col min="14" max="15" width="12.85546875" style="366" bestFit="1" customWidth="1"/>
    <col min="16" max="16384" width="8.85546875" style="5"/>
  </cols>
  <sheetData>
    <row r="1" spans="1:15" ht="23.25" x14ac:dyDescent="0.35">
      <c r="B1" s="422"/>
      <c r="D1" s="109" t="s">
        <v>1012</v>
      </c>
      <c r="E1" s="109"/>
      <c r="F1" s="109"/>
      <c r="G1" s="109"/>
      <c r="H1" s="109"/>
      <c r="I1" s="109"/>
      <c r="J1" s="109"/>
    </row>
    <row r="2" spans="1:15" x14ac:dyDescent="0.2">
      <c r="D2" s="419" t="str">
        <f>Summary!B4</f>
        <v>South Africa</v>
      </c>
      <c r="E2" s="5" t="s">
        <v>1337</v>
      </c>
    </row>
    <row r="3" spans="1:15" hidden="1" x14ac:dyDescent="0.2">
      <c r="D3" s="5">
        <f>IF(D2="South Africa",0,1)</f>
        <v>0</v>
      </c>
    </row>
    <row r="4" spans="1:15" hidden="1" x14ac:dyDescent="0.2">
      <c r="E4" s="288"/>
      <c r="F4" s="289"/>
      <c r="G4" s="290"/>
      <c r="H4" s="291"/>
      <c r="I4" s="291"/>
      <c r="J4" s="292"/>
    </row>
    <row r="5" spans="1:15" x14ac:dyDescent="0.2">
      <c r="E5" s="1130" t="s">
        <v>381</v>
      </c>
      <c r="F5" s="1130"/>
      <c r="G5" s="1130"/>
      <c r="H5" s="28" t="s">
        <v>382</v>
      </c>
      <c r="I5" s="29" t="s">
        <v>383</v>
      </c>
      <c r="J5" s="607" t="s">
        <v>1289</v>
      </c>
    </row>
    <row r="6" spans="1:15" x14ac:dyDescent="0.2">
      <c r="E6" s="404" t="s">
        <v>385</v>
      </c>
      <c r="F6" s="404" t="s">
        <v>386</v>
      </c>
      <c r="G6" s="404" t="s">
        <v>1033</v>
      </c>
      <c r="H6" s="28" t="s">
        <v>385</v>
      </c>
      <c r="I6" s="29" t="s">
        <v>385</v>
      </c>
      <c r="J6" s="29" t="s">
        <v>385</v>
      </c>
    </row>
    <row r="7" spans="1:15" x14ac:dyDescent="0.2">
      <c r="B7" s="5" t="s">
        <v>984</v>
      </c>
      <c r="D7" s="423" t="s">
        <v>945</v>
      </c>
      <c r="E7" s="424">
        <f>SUMIF(Agriculture!$R:$R,$B7,Agriculture!H:H)</f>
        <v>485734.91441860469</v>
      </c>
      <c r="F7" s="424">
        <f>SUMIF(Agriculture!$R:$R,$B7,Agriculture!I:I)</f>
        <v>517613.41877023259</v>
      </c>
      <c r="G7" s="424">
        <f>SUMIF(Agriculture!$R:$R,$B7,Agriculture!J:J)</f>
        <v>551585.82440906798</v>
      </c>
      <c r="H7" s="424">
        <f>SUMIF(Agriculture!$R:$R,$B7,Agriculture!K:K)</f>
        <v>485734.91441860469</v>
      </c>
      <c r="I7" s="424">
        <f>SUMIF(Agriculture!$R:$R,$B7,Agriculture!L:L)</f>
        <v>485734.91441860469</v>
      </c>
      <c r="J7" s="424">
        <f>SUMIF(Agriculture!$R:$R,$B7,Agriculture!M:M)</f>
        <v>485734.91441860469</v>
      </c>
      <c r="M7" s="366">
        <f>E7-SUM(E8:E11)</f>
        <v>0</v>
      </c>
      <c r="N7" s="366">
        <f>F7-SUM(F8:F11)</f>
        <v>0</v>
      </c>
      <c r="O7" s="366">
        <f>G7-SUM(G8:G11)</f>
        <v>0</v>
      </c>
    </row>
    <row r="8" spans="1:15" x14ac:dyDescent="0.2">
      <c r="A8" s="5" t="str">
        <f>CONCATENATE(B8,$B$7)</f>
        <v>COEPM</v>
      </c>
      <c r="B8" s="260" t="s">
        <v>865</v>
      </c>
      <c r="D8" s="6" t="s">
        <v>596</v>
      </c>
      <c r="E8" s="215">
        <f>SUMIF(Agriculture!$S:$S,$A8,Agriculture!H:H)-$D$3*Agriculture!H9</f>
        <v>467734.91441860469</v>
      </c>
      <c r="F8" s="215">
        <f>SUMIF(Agriculture!$S:$S,$A8,Agriculture!I:I)-$D$3*Agriculture!I9</f>
        <v>498605.41877023259</v>
      </c>
      <c r="G8" s="215">
        <f>SUMIF(Agriculture!$S:$S,$A8,Agriculture!J:J)-$D$3*Agriculture!J9</f>
        <v>531513.37640906801</v>
      </c>
      <c r="H8" s="215">
        <f>SUMIF(Agriculture!$S:$S,$A8,Agriculture!K:K)-$D$3*Agriculture!K9</f>
        <v>467734.91441860469</v>
      </c>
      <c r="I8" s="215">
        <f>SUMIF(Agriculture!$S:$S,$A8,Agriculture!L:L)-$D$3*Agriculture!L9</f>
        <v>467734.91441860469</v>
      </c>
      <c r="J8" s="215">
        <f>SUMIF(Agriculture!$S:$S,$A8,Agriculture!M:M)-$D$3*Agriculture!M9</f>
        <v>467734.91441860469</v>
      </c>
    </row>
    <row r="9" spans="1:15" x14ac:dyDescent="0.2">
      <c r="A9" s="5" t="str">
        <f t="shared" ref="A9:A11" si="0">CONCATENATE(B9,$B$7)</f>
        <v>GSPM</v>
      </c>
      <c r="B9" s="260" t="s">
        <v>866</v>
      </c>
      <c r="D9" s="6" t="s">
        <v>597</v>
      </c>
      <c r="E9" s="215">
        <f>SUMIF(Agriculture!$S:$S,$A9,Agriculture!H:H)-$D$3*Agriculture!H10</f>
        <v>18000</v>
      </c>
      <c r="F9" s="215">
        <f>SUMIF(Agriculture!$S:$S,$A9,Agriculture!I:I)-$D$3*Agriculture!I10</f>
        <v>19008</v>
      </c>
      <c r="G9" s="215">
        <f>SUMIF(Agriculture!$S:$S,$A9,Agriculture!J:J)-$D$3*Agriculture!J10</f>
        <v>20072.448</v>
      </c>
      <c r="H9" s="215">
        <f>SUMIF(Agriculture!$S:$S,$A9,Agriculture!K:K)-$D$3*Agriculture!K10</f>
        <v>18000</v>
      </c>
      <c r="I9" s="215">
        <f>SUMIF(Agriculture!$S:$S,$A9,Agriculture!L:L)-$D$3*Agriculture!L10</f>
        <v>18000</v>
      </c>
      <c r="J9" s="215">
        <f>SUMIF(Agriculture!$S:$S,$A9,Agriculture!M:M)-$D$3*Agriculture!M10</f>
        <v>18000</v>
      </c>
    </row>
    <row r="10" spans="1:15" x14ac:dyDescent="0.2">
      <c r="A10" s="5" t="str">
        <f t="shared" si="0"/>
        <v>MSPM</v>
      </c>
      <c r="B10" s="260" t="s">
        <v>864</v>
      </c>
      <c r="D10" s="6" t="s">
        <v>998</v>
      </c>
      <c r="E10" s="215">
        <f>SUMIF(Agriculture!$S:$S,$A10,Agriculture!H:H)</f>
        <v>0</v>
      </c>
      <c r="F10" s="215">
        <f>SUMIF(Agriculture!$S:$S,$A10,Agriculture!I:I)</f>
        <v>0</v>
      </c>
      <c r="G10" s="215">
        <f>SUMIF(Agriculture!$S:$S,$A10,Agriculture!J:J)</f>
        <v>0</v>
      </c>
      <c r="H10" s="215">
        <f>SUMIF(Agriculture!$S:$S,$A10,Agriculture!K:K)</f>
        <v>0</v>
      </c>
      <c r="I10" s="215">
        <f>SUMIF(Agriculture!$S:$S,$A10,Agriculture!L:L)</f>
        <v>0</v>
      </c>
      <c r="J10" s="215">
        <f>SUMIF(Agriculture!$S:$S,$A10,Agriculture!M:M)</f>
        <v>0</v>
      </c>
    </row>
    <row r="11" spans="1:15" x14ac:dyDescent="0.2">
      <c r="A11" s="5" t="str">
        <f t="shared" si="0"/>
        <v>TSPM</v>
      </c>
      <c r="B11" s="260" t="s">
        <v>992</v>
      </c>
      <c r="D11" s="6" t="s">
        <v>756</v>
      </c>
      <c r="E11" s="215">
        <f>SUMIF(Agriculture!$S:$S,$A11,Agriculture!H:H)</f>
        <v>0</v>
      </c>
      <c r="F11" s="215">
        <f>SUMIF(Agriculture!$S:$S,$A11,Agriculture!I:I)</f>
        <v>0</v>
      </c>
      <c r="G11" s="215">
        <f>SUMIF(Agriculture!$S:$S,$A11,Agriculture!J:J)</f>
        <v>0</v>
      </c>
      <c r="H11" s="215">
        <f>SUMIF(Agriculture!$S:$S,$A11,Agriculture!K:K)</f>
        <v>0</v>
      </c>
      <c r="I11" s="215">
        <f>SUMIF(Agriculture!$S:$S,$A11,Agriculture!L:L)</f>
        <v>0</v>
      </c>
      <c r="J11" s="215">
        <f>SUMIF(Agriculture!$S:$S,$A11,Agriculture!M:M)</f>
        <v>0</v>
      </c>
    </row>
    <row r="12" spans="1:15" x14ac:dyDescent="0.2">
      <c r="B12" s="5" t="s">
        <v>985</v>
      </c>
      <c r="D12" s="423" t="s">
        <v>946</v>
      </c>
      <c r="E12" s="424">
        <f>SUMIF(Agriculture!$R:$R,$B12,Agriculture!H:H)</f>
        <v>704000</v>
      </c>
      <c r="F12" s="424">
        <f>SUMIF(Agriculture!$R:$R,$B12,Agriculture!I:I)</f>
        <v>743424</v>
      </c>
      <c r="G12" s="424">
        <f>SUMIF(Agriculture!$R:$R,$B12,Agriculture!J:J)</f>
        <v>785055.74399999995</v>
      </c>
      <c r="H12" s="424">
        <f>SUMIF(Agriculture!$R:$R,$B12,Agriculture!K:K)</f>
        <v>704000</v>
      </c>
      <c r="I12" s="424">
        <f>SUMIF(Agriculture!$R:$R,$B12,Agriculture!L:L)</f>
        <v>704000</v>
      </c>
      <c r="J12" s="424">
        <f>SUMIF(Agriculture!$R:$R,$B12,Agriculture!M:M)</f>
        <v>704000</v>
      </c>
      <c r="M12" s="366">
        <f>E12-SUM(E13:E16)</f>
        <v>0</v>
      </c>
      <c r="N12" s="366">
        <f t="shared" ref="N12" si="1">F12-SUM(F13:F16)</f>
        <v>0</v>
      </c>
      <c r="O12" s="366">
        <f t="shared" ref="O12" si="2">G12-SUM(G13:G16)</f>
        <v>0</v>
      </c>
    </row>
    <row r="13" spans="1:15" x14ac:dyDescent="0.2">
      <c r="A13" s="5" t="str">
        <f>CONCATENATE(B13,$B$12)</f>
        <v>COEEC</v>
      </c>
      <c r="B13" s="260" t="s">
        <v>865</v>
      </c>
      <c r="D13" s="6" t="s">
        <v>596</v>
      </c>
      <c r="E13" s="215">
        <f>SUMIF(Agriculture!$S:$S,$A13,Agriculture!H:H)</f>
        <v>0</v>
      </c>
      <c r="F13" s="215">
        <f>SUMIF(Agriculture!$S:$S,$A13,Agriculture!I:I)</f>
        <v>0</v>
      </c>
      <c r="G13" s="215">
        <f>SUMIF(Agriculture!$S:$S,$A13,Agriculture!J:J)</f>
        <v>0</v>
      </c>
      <c r="H13" s="215">
        <f>SUMIF(Agriculture!$S:$S,$A13,Agriculture!K:K)</f>
        <v>0</v>
      </c>
      <c r="I13" s="215">
        <f>SUMIF(Agriculture!$S:$S,$A13,Agriculture!L:L)</f>
        <v>0</v>
      </c>
      <c r="J13" s="215">
        <f>SUMIF(Agriculture!$S:$S,$A13,Agriculture!M:M)</f>
        <v>0</v>
      </c>
    </row>
    <row r="14" spans="1:15" x14ac:dyDescent="0.2">
      <c r="A14" s="5" t="str">
        <f t="shared" ref="A14:A16" si="3">CONCATENATE(B14,$B$12)</f>
        <v>GSEC</v>
      </c>
      <c r="B14" s="260" t="s">
        <v>866</v>
      </c>
      <c r="D14" s="6" t="s">
        <v>597</v>
      </c>
      <c r="E14" s="215">
        <f>SUMIF(Agriculture!$S:$S,$A14,Agriculture!H:H)</f>
        <v>704000</v>
      </c>
      <c r="F14" s="215">
        <f>SUMIF(Agriculture!$S:$S,$A14,Agriculture!I:I)</f>
        <v>743424</v>
      </c>
      <c r="G14" s="215">
        <f>SUMIF(Agriculture!$S:$S,$A14,Agriculture!J:J)</f>
        <v>785055.74399999995</v>
      </c>
      <c r="H14" s="215">
        <f>SUMIF(Agriculture!$S:$S,$A14,Agriculture!K:K)</f>
        <v>704000</v>
      </c>
      <c r="I14" s="215">
        <f>SUMIF(Agriculture!$S:$S,$A14,Agriculture!L:L)</f>
        <v>704000</v>
      </c>
      <c r="J14" s="215">
        <f>SUMIF(Agriculture!$S:$S,$A14,Agriculture!M:M)</f>
        <v>704000</v>
      </c>
    </row>
    <row r="15" spans="1:15" x14ac:dyDescent="0.2">
      <c r="A15" s="5" t="str">
        <f t="shared" si="3"/>
        <v>MSEC</v>
      </c>
      <c r="B15" s="260" t="s">
        <v>864</v>
      </c>
      <c r="D15" s="6" t="s">
        <v>998</v>
      </c>
      <c r="E15" s="215">
        <f>SUMIF(Agriculture!$S:$S,$A15,Agriculture!H:H)</f>
        <v>0</v>
      </c>
      <c r="F15" s="215">
        <f>SUMIF(Agriculture!$S:$S,$A15,Agriculture!I:I)</f>
        <v>0</v>
      </c>
      <c r="G15" s="215">
        <f>SUMIF(Agriculture!$S:$S,$A15,Agriculture!J:J)</f>
        <v>0</v>
      </c>
      <c r="H15" s="215">
        <f>SUMIF(Agriculture!$S:$S,$A15,Agriculture!K:K)</f>
        <v>0</v>
      </c>
      <c r="I15" s="215">
        <f>SUMIF(Agriculture!$S:$S,$A15,Agriculture!L:L)</f>
        <v>0</v>
      </c>
      <c r="J15" s="215">
        <f>SUMIF(Agriculture!$S:$S,$A15,Agriculture!M:M)</f>
        <v>0</v>
      </c>
    </row>
    <row r="16" spans="1:15" x14ac:dyDescent="0.2">
      <c r="A16" s="5" t="str">
        <f t="shared" si="3"/>
        <v>TSEC</v>
      </c>
      <c r="B16" s="260" t="s">
        <v>992</v>
      </c>
      <c r="D16" s="6" t="s">
        <v>756</v>
      </c>
      <c r="E16" s="215">
        <f>SUMIF(Agriculture!$S:$S,$A16,Agriculture!H:H)</f>
        <v>0</v>
      </c>
      <c r="F16" s="215">
        <f>SUMIF(Agriculture!$S:$S,$A16,Agriculture!I:I)</f>
        <v>0</v>
      </c>
      <c r="G16" s="215">
        <f>SUMIF(Agriculture!$S:$S,$A16,Agriculture!J:J)</f>
        <v>0</v>
      </c>
      <c r="H16" s="215">
        <f>SUMIF(Agriculture!$S:$S,$A16,Agriculture!K:K)</f>
        <v>0</v>
      </c>
      <c r="I16" s="215">
        <f>SUMIF(Agriculture!$S:$S,$A16,Agriculture!L:L)</f>
        <v>0</v>
      </c>
      <c r="J16" s="215">
        <f>SUMIF(Agriculture!$S:$S,$A16,Agriculture!M:M)</f>
        <v>0</v>
      </c>
    </row>
    <row r="17" spans="1:15" x14ac:dyDescent="0.2">
      <c r="B17" s="5" t="s">
        <v>986</v>
      </c>
      <c r="D17" s="423" t="s">
        <v>947</v>
      </c>
      <c r="E17" s="424">
        <f>SUMIF(Agriculture!$R:$R,$B17,Agriculture!H:H)</f>
        <v>0</v>
      </c>
      <c r="F17" s="424">
        <f>SUMIF(Agriculture!$R:$R,$B17,Agriculture!I:I)</f>
        <v>0</v>
      </c>
      <c r="G17" s="424">
        <f>SUMIF(Agriculture!$R:$R,$B17,Agriculture!J:J)</f>
        <v>0</v>
      </c>
      <c r="H17" s="424">
        <f>SUMIF(Agriculture!$R:$R,$B17,Agriculture!K:K)</f>
        <v>0</v>
      </c>
      <c r="I17" s="424">
        <f>SUMIF(Agriculture!$R:$R,$B17,Agriculture!L:L)</f>
        <v>0</v>
      </c>
      <c r="J17" s="424">
        <f>SUMIF(Agriculture!$R:$R,$B17,Agriculture!M:M)</f>
        <v>0</v>
      </c>
      <c r="M17" s="366">
        <f>E17-SUM(E18:E21)</f>
        <v>0</v>
      </c>
      <c r="N17" s="366">
        <f t="shared" ref="N17" si="4">F17-SUM(F18:F21)</f>
        <v>0</v>
      </c>
      <c r="O17" s="366">
        <f t="shared" ref="O17" si="5">G17-SUM(G18:G21)</f>
        <v>0</v>
      </c>
    </row>
    <row r="18" spans="1:15" x14ac:dyDescent="0.2">
      <c r="A18" s="5" t="str">
        <f>CONCATENATE(B18,$B$17)</f>
        <v>COEPI</v>
      </c>
      <c r="B18" s="260" t="s">
        <v>865</v>
      </c>
      <c r="D18" s="6" t="s">
        <v>596</v>
      </c>
      <c r="E18" s="215">
        <f>SUMIF(Agriculture!$S:$S,$A18,Agriculture!H:H)</f>
        <v>0</v>
      </c>
      <c r="F18" s="215">
        <f>SUMIF(Agriculture!$S:$S,$A18,Agriculture!I:I)</f>
        <v>0</v>
      </c>
      <c r="G18" s="215">
        <f>SUMIF(Agriculture!$S:$S,$A18,Agriculture!J:J)</f>
        <v>0</v>
      </c>
      <c r="H18" s="215">
        <f>SUMIF(Agriculture!$S:$S,$A18,Agriculture!K:K)</f>
        <v>0</v>
      </c>
      <c r="I18" s="215">
        <f>SUMIF(Agriculture!$S:$S,$A18,Agriculture!L:L)</f>
        <v>0</v>
      </c>
      <c r="J18" s="215">
        <f>SUMIF(Agriculture!$S:$S,$A18,Agriculture!M:M)</f>
        <v>0</v>
      </c>
    </row>
    <row r="19" spans="1:15" x14ac:dyDescent="0.2">
      <c r="A19" s="5" t="str">
        <f t="shared" ref="A19:A21" si="6">CONCATENATE(B19,$B$17)</f>
        <v>GSPI</v>
      </c>
      <c r="B19" s="260" t="s">
        <v>866</v>
      </c>
      <c r="D19" s="6" t="s">
        <v>597</v>
      </c>
      <c r="E19" s="215">
        <f>SUMIF(Agriculture!$S:$S,$A19,Agriculture!H:H)</f>
        <v>0</v>
      </c>
      <c r="F19" s="215">
        <f>SUMIF(Agriculture!$S:$S,$A19,Agriculture!I:I)</f>
        <v>0</v>
      </c>
      <c r="G19" s="215">
        <f>SUMIF(Agriculture!$S:$S,$A19,Agriculture!J:J)</f>
        <v>0</v>
      </c>
      <c r="H19" s="215">
        <f>SUMIF(Agriculture!$S:$S,$A19,Agriculture!K:K)</f>
        <v>0</v>
      </c>
      <c r="I19" s="215">
        <f>SUMIF(Agriculture!$S:$S,$A19,Agriculture!L:L)</f>
        <v>0</v>
      </c>
      <c r="J19" s="215">
        <f>SUMIF(Agriculture!$S:$S,$A19,Agriculture!M:M)</f>
        <v>0</v>
      </c>
    </row>
    <row r="20" spans="1:15" x14ac:dyDescent="0.2">
      <c r="A20" s="5" t="str">
        <f t="shared" si="6"/>
        <v>MSPI</v>
      </c>
      <c r="B20" s="260" t="s">
        <v>864</v>
      </c>
      <c r="D20" s="6" t="s">
        <v>998</v>
      </c>
      <c r="E20" s="215">
        <f>SUMIF(Agriculture!$S:$S,$A20,Agriculture!H:H)</f>
        <v>0</v>
      </c>
      <c r="F20" s="215">
        <f>SUMIF(Agriculture!$S:$S,$A20,Agriculture!I:I)</f>
        <v>0</v>
      </c>
      <c r="G20" s="215">
        <f>SUMIF(Agriculture!$S:$S,$A20,Agriculture!J:J)</f>
        <v>0</v>
      </c>
      <c r="H20" s="215">
        <f>SUMIF(Agriculture!$S:$S,$A20,Agriculture!K:K)</f>
        <v>0</v>
      </c>
      <c r="I20" s="215">
        <f>SUMIF(Agriculture!$S:$S,$A20,Agriculture!L:L)</f>
        <v>0</v>
      </c>
      <c r="J20" s="215">
        <f>SUMIF(Agriculture!$S:$S,$A20,Agriculture!M:M)</f>
        <v>0</v>
      </c>
    </row>
    <row r="21" spans="1:15" x14ac:dyDescent="0.2">
      <c r="A21" s="5" t="str">
        <f t="shared" si="6"/>
        <v>TSPI</v>
      </c>
      <c r="B21" s="260" t="s">
        <v>992</v>
      </c>
      <c r="D21" s="6" t="s">
        <v>756</v>
      </c>
      <c r="E21" s="215">
        <f>SUMIF(Agriculture!$S:$S,$A21,Agriculture!H:H)</f>
        <v>0</v>
      </c>
      <c r="F21" s="215">
        <f>SUMIF(Agriculture!$S:$S,$A21,Agriculture!I:I)</f>
        <v>0</v>
      </c>
      <c r="G21" s="215">
        <f>SUMIF(Agriculture!$S:$S,$A21,Agriculture!J:J)</f>
        <v>0</v>
      </c>
      <c r="H21" s="215">
        <f>SUMIF(Agriculture!$S:$S,$A21,Agriculture!K:K)</f>
        <v>0</v>
      </c>
      <c r="I21" s="215">
        <f>SUMIF(Agriculture!$S:$S,$A21,Agriculture!L:L)</f>
        <v>0</v>
      </c>
      <c r="J21" s="215">
        <f>SUMIF(Agriculture!$S:$S,$A21,Agriculture!M:M)</f>
        <v>0</v>
      </c>
    </row>
    <row r="22" spans="1:15" x14ac:dyDescent="0.2">
      <c r="B22" s="5" t="s">
        <v>987</v>
      </c>
      <c r="D22" s="423" t="s">
        <v>948</v>
      </c>
      <c r="E22" s="424">
        <f>SUMIF(Agriculture!$R:$R,$B22,Agriculture!H:H)</f>
        <v>0</v>
      </c>
      <c r="F22" s="424">
        <f>SUMIF(Agriculture!$R:$R,$B22,Agriculture!I:I)</f>
        <v>0</v>
      </c>
      <c r="G22" s="424">
        <f>SUMIF(Agriculture!$R:$R,$B22,Agriculture!J:J)</f>
        <v>0</v>
      </c>
      <c r="H22" s="424">
        <f>SUMIF(Agriculture!$R:$R,$B22,Agriculture!K:K)</f>
        <v>0</v>
      </c>
      <c r="I22" s="424">
        <f>SUMIF(Agriculture!$R:$R,$B22,Agriculture!L:L)</f>
        <v>0</v>
      </c>
      <c r="J22" s="424">
        <f>SUMIF(Agriculture!$R:$R,$B22,Agriculture!M:M)</f>
        <v>0</v>
      </c>
      <c r="M22" s="366">
        <f>E22-SUM(E23:E26)</f>
        <v>0</v>
      </c>
      <c r="N22" s="366">
        <f t="shared" ref="N22" si="7">F22-SUM(F23:F26)</f>
        <v>0</v>
      </c>
      <c r="O22" s="366">
        <f t="shared" ref="O22" si="8">G22-SUM(G23:G26)</f>
        <v>0</v>
      </c>
    </row>
    <row r="23" spans="1:15" x14ac:dyDescent="0.2">
      <c r="A23" s="5" t="str">
        <f>CONCATENATE(B23,$B$22)</f>
        <v>COECI</v>
      </c>
      <c r="B23" s="260" t="s">
        <v>865</v>
      </c>
      <c r="D23" s="6" t="s">
        <v>596</v>
      </c>
      <c r="E23" s="215">
        <f>SUMIF(Agriculture!$S:$S,$A23,Agriculture!H:H)</f>
        <v>0</v>
      </c>
      <c r="F23" s="215">
        <f>SUMIF(Agriculture!$S:$S,$A23,Agriculture!I:I)</f>
        <v>0</v>
      </c>
      <c r="G23" s="215">
        <f>SUMIF(Agriculture!$S:$S,$A23,Agriculture!J:J)</f>
        <v>0</v>
      </c>
      <c r="H23" s="215">
        <f>SUMIF(Agriculture!$S:$S,$A23,Agriculture!K:K)</f>
        <v>0</v>
      </c>
      <c r="I23" s="215">
        <f>SUMIF(Agriculture!$S:$S,$A23,Agriculture!L:L)</f>
        <v>0</v>
      </c>
      <c r="J23" s="215">
        <f>SUMIF(Agriculture!$S:$S,$A23,Agriculture!M:M)</f>
        <v>0</v>
      </c>
    </row>
    <row r="24" spans="1:15" x14ac:dyDescent="0.2">
      <c r="A24" s="5" t="str">
        <f t="shared" ref="A24:A26" si="9">CONCATENATE(B24,$B$22)</f>
        <v>GSCI</v>
      </c>
      <c r="B24" s="260" t="s">
        <v>866</v>
      </c>
      <c r="D24" s="6" t="s">
        <v>597</v>
      </c>
      <c r="E24" s="215">
        <f>SUMIF(Agriculture!$S:$S,$A24,Agriculture!H:H)</f>
        <v>0</v>
      </c>
      <c r="F24" s="215">
        <f>SUMIF(Agriculture!$S:$S,$A24,Agriculture!I:I)</f>
        <v>0</v>
      </c>
      <c r="G24" s="215">
        <f>SUMIF(Agriculture!$S:$S,$A24,Agriculture!J:J)</f>
        <v>0</v>
      </c>
      <c r="H24" s="215">
        <f>SUMIF(Agriculture!$S:$S,$A24,Agriculture!K:K)</f>
        <v>0</v>
      </c>
      <c r="I24" s="215">
        <f>SUMIF(Agriculture!$S:$S,$A24,Agriculture!L:L)</f>
        <v>0</v>
      </c>
      <c r="J24" s="215">
        <f>SUMIF(Agriculture!$S:$S,$A24,Agriculture!M:M)</f>
        <v>0</v>
      </c>
    </row>
    <row r="25" spans="1:15" x14ac:dyDescent="0.2">
      <c r="A25" s="5" t="str">
        <f t="shared" si="9"/>
        <v>MSCI</v>
      </c>
      <c r="B25" s="260" t="s">
        <v>864</v>
      </c>
      <c r="D25" s="6" t="s">
        <v>998</v>
      </c>
      <c r="E25" s="215">
        <f>SUMIF(Agriculture!$S:$S,$A25,Agriculture!H:H)</f>
        <v>0</v>
      </c>
      <c r="F25" s="215">
        <f>SUMIF(Agriculture!$S:$S,$A25,Agriculture!I:I)</f>
        <v>0</v>
      </c>
      <c r="G25" s="215">
        <f>SUMIF(Agriculture!$S:$S,$A25,Agriculture!J:J)</f>
        <v>0</v>
      </c>
      <c r="H25" s="215">
        <f>SUMIF(Agriculture!$S:$S,$A25,Agriculture!K:K)</f>
        <v>0</v>
      </c>
      <c r="I25" s="215">
        <f>SUMIF(Agriculture!$S:$S,$A25,Agriculture!L:L)</f>
        <v>0</v>
      </c>
      <c r="J25" s="215">
        <f>SUMIF(Agriculture!$S:$S,$A25,Agriculture!M:M)</f>
        <v>0</v>
      </c>
    </row>
    <row r="26" spans="1:15" x14ac:dyDescent="0.2">
      <c r="A26" s="5" t="str">
        <f t="shared" si="9"/>
        <v>TSCI</v>
      </c>
      <c r="B26" s="260" t="s">
        <v>992</v>
      </c>
      <c r="D26" s="6" t="s">
        <v>756</v>
      </c>
      <c r="E26" s="215">
        <f>SUMIF(Agriculture!$S:$S,$A26,Agriculture!H:H)</f>
        <v>0</v>
      </c>
      <c r="F26" s="215">
        <f>SUMIF(Agriculture!$S:$S,$A26,Agriculture!I:I)</f>
        <v>0</v>
      </c>
      <c r="G26" s="215">
        <f>SUMIF(Agriculture!$S:$S,$A26,Agriculture!J:J)</f>
        <v>0</v>
      </c>
      <c r="H26" s="215">
        <f>SUMIF(Agriculture!$S:$S,$A26,Agriculture!K:K)</f>
        <v>0</v>
      </c>
      <c r="I26" s="215">
        <f>SUMIF(Agriculture!$S:$S,$A26,Agriculture!L:L)</f>
        <v>0</v>
      </c>
      <c r="J26" s="215">
        <f>SUMIF(Agriculture!$S:$S,$A26,Agriculture!M:M)</f>
        <v>0</v>
      </c>
    </row>
    <row r="27" spans="1:15" x14ac:dyDescent="0.2">
      <c r="B27" s="5" t="s">
        <v>988</v>
      </c>
      <c r="D27" s="423" t="s">
        <v>949</v>
      </c>
      <c r="E27" s="424">
        <f>SUMIF(NDOH!$R:$R,$B27,NDOH!H:H)+SUMIF(PDOH!$R:$R,$B27,PDOH!H:H)+SUMIF('DM&amp;Metros'!$R:$R,$B27,'DM&amp;Metros'!H:H)+SUMIF(NDSD!$R:$R,$B27,NDSD!H:H)+SUMIF(PDSD!$R:$R,$B27,PDSD!H:H)+SUMIF(SASSA!$R:$R,$B27,SASSA!H:H)+SUMIF(Agriculture!$R:$R,$B27,Agriculture!H:H)</f>
        <v>29244880.954610541</v>
      </c>
      <c r="F27" s="424">
        <f>SUMIF(NDOH!$R:$R,$B27,NDOH!I:I)+SUMIF(PDOH!$R:$R,$B27,PDOH!I:I)+SUMIF('DM&amp;Metros'!$R:$R,$B27,'DM&amp;Metros'!I:I)+SUMIF(NDSD!$R:$R,$B27,NDSD!I:I)+SUMIF(PDSD!$R:$R,$B27,PDSD!I:I)+SUMIF(SASSA!$R:$R,$B27,SASSA!I:I)+SUMIF(Agriculture!$R:$R,$B27,Agriculture!I:I)</f>
        <v>31012443.794648942</v>
      </c>
      <c r="G27" s="424">
        <f>SUMIF(NDOH!$R:$R,$B27,NDOH!J:J)+SUMIF(PDOH!$R:$R,$B27,PDOH!J:J)+SUMIF('DM&amp;Metros'!$R:$R,$B27,'DM&amp;Metros'!J:J)+SUMIF(NDSD!$R:$R,$B27,NDSD!J:J)+SUMIF(PDSD!$R:$R,$B27,PDSD!J:J)+SUMIF(SASSA!$R:$R,$B27,SASSA!J:J)+SUMIF(Agriculture!$R:$R,$B27,Agriculture!J:J)</f>
        <v>32887560.221163787</v>
      </c>
      <c r="H27" s="424">
        <f>SUMIF(NDOH!$R:$R,$B27,NDOH!K:K)+SUMIF(PDOH!$R:$R,$B27,PDOH!K:K)+SUMIF('DM&amp;Metros'!$R:$R,$B27,'DM&amp;Metros'!K:K)+SUMIF(NDSD!$R:$R,$B27,NDSD!K:K)+SUMIF(PDSD!$R:$R,$B27,PDSD!K:K)+SUMIF(SASSA!$R:$R,$B27,SASSA!K:K)+SUMIF(Agriculture!$R:$R,$B27,Agriculture!K:K)</f>
        <v>29244880.954610541</v>
      </c>
      <c r="I27" s="424">
        <f>SUMIF(NDOH!$R:$R,$B27,NDOH!L:L)+SUMIF(PDOH!$R:$R,$B27,PDOH!L:L)+SUMIF('DM&amp;Metros'!$R:$R,$B27,'DM&amp;Metros'!L:L)+SUMIF(NDSD!$R:$R,$B27,NDSD!L:L)+SUMIF(PDSD!$R:$R,$B27,PDSD!L:L)+SUMIF(SASSA!$R:$R,$B27,SASSA!L:L)+SUMIF(Agriculture!$R:$R,$B27,Agriculture!L:L)</f>
        <v>29244880.954610541</v>
      </c>
      <c r="J27" s="424">
        <f>SUMIF(NDOH!$R:$R,$B27,NDOH!M:M)+SUMIF(PDOH!$R:$R,$B27,PDOH!M:M)+SUMIF('DM&amp;Metros'!$R:$R,$B27,'DM&amp;Metros'!M:M)+SUMIF(NDSD!$R:$R,$B27,NDSD!M:M)+SUMIF(PDSD!$R:$R,$B27,PDSD!M:M)+SUMIF(SASSA!$R:$R,$B27,SASSA!M:M)+SUMIF(Agriculture!$R:$R,$B27,Agriculture!M:M)</f>
        <v>29244880.954610541</v>
      </c>
      <c r="M27" s="366">
        <f>E27-SUM(E28:E31)</f>
        <v>0</v>
      </c>
      <c r="N27" s="366">
        <f t="shared" ref="N27" si="10">F27-SUM(F28:F31)</f>
        <v>0</v>
      </c>
      <c r="O27" s="366">
        <f t="shared" ref="O27" si="11">G27-SUM(G28:G31)</f>
        <v>0</v>
      </c>
    </row>
    <row r="28" spans="1:15" x14ac:dyDescent="0.2">
      <c r="A28" s="5" t="str">
        <f>CONCATENATE(B28,$B$27)</f>
        <v>COENSP</v>
      </c>
      <c r="B28" s="260" t="s">
        <v>865</v>
      </c>
      <c r="D28" s="6" t="s">
        <v>596</v>
      </c>
      <c r="E28" s="215">
        <f>SUMIF(Agriculture!$S:$S,$A28,Agriculture!H:H)</f>
        <v>12984950.65802088</v>
      </c>
      <c r="F28" s="215">
        <f>SUMIF(Agriculture!$S:$S,$A28,Agriculture!I:I)</f>
        <v>13841957.401450258</v>
      </c>
      <c r="G28" s="215">
        <f>SUMIF(Agriculture!$S:$S,$A28,Agriculture!J:J)</f>
        <v>14755526.589945979</v>
      </c>
      <c r="H28" s="215">
        <f>SUMIF(Agriculture!$S:$S,$A28,Agriculture!K:K)</f>
        <v>12984950.65802088</v>
      </c>
      <c r="I28" s="215">
        <f>SUMIF(Agriculture!$S:$S,$A28,Agriculture!L:L)</f>
        <v>12984950.65802088</v>
      </c>
      <c r="J28" s="215">
        <f>SUMIF(Agriculture!$S:$S,$A28,Agriculture!M:M)</f>
        <v>12984950.65802088</v>
      </c>
    </row>
    <row r="29" spans="1:15" x14ac:dyDescent="0.2">
      <c r="A29" s="5" t="str">
        <f t="shared" ref="A29:A31" si="12">CONCATENATE(B29,$B$27)</f>
        <v>GSNSP</v>
      </c>
      <c r="B29" s="260" t="s">
        <v>866</v>
      </c>
      <c r="D29" s="6" t="s">
        <v>597</v>
      </c>
      <c r="E29" s="215">
        <f>SUMIF(Agriculture!$S:$S,$A29,Agriculture!H:H)</f>
        <v>16259930.29658966</v>
      </c>
      <c r="F29" s="215">
        <f>SUMIF(Agriculture!$S:$S,$A29,Agriculture!I:I)</f>
        <v>17170486.393198684</v>
      </c>
      <c r="G29" s="215">
        <f>SUMIF(Agriculture!$S:$S,$A29,Agriculture!J:J)</f>
        <v>18132033.631217811</v>
      </c>
      <c r="H29" s="215">
        <f>SUMIF(Agriculture!$S:$S,$A29,Agriculture!K:K)</f>
        <v>16259930.29658966</v>
      </c>
      <c r="I29" s="215">
        <f>SUMIF(Agriculture!$S:$S,$A29,Agriculture!L:L)</f>
        <v>16259930.29658966</v>
      </c>
      <c r="J29" s="215">
        <f>SUMIF(Agriculture!$S:$S,$A29,Agriculture!M:M)</f>
        <v>16259930.29658966</v>
      </c>
    </row>
    <row r="30" spans="1:15" x14ac:dyDescent="0.2">
      <c r="A30" s="5" t="str">
        <f t="shared" si="12"/>
        <v>MSNSP</v>
      </c>
      <c r="B30" s="260" t="s">
        <v>864</v>
      </c>
      <c r="D30" s="6" t="s">
        <v>998</v>
      </c>
      <c r="E30" s="215">
        <f>SUMIF(Agriculture!$S:$S,$A30,Agriculture!H:H)</f>
        <v>0</v>
      </c>
      <c r="F30" s="215">
        <f>SUMIF(Agriculture!$S:$S,$A30,Agriculture!I:I)</f>
        <v>0</v>
      </c>
      <c r="G30" s="215">
        <f>SUMIF(Agriculture!$S:$S,$A30,Agriculture!J:J)</f>
        <v>0</v>
      </c>
      <c r="H30" s="215">
        <f>SUMIF(Agriculture!$S:$S,$A30,Agriculture!K:K)</f>
        <v>0</v>
      </c>
      <c r="I30" s="215">
        <f>SUMIF(Agriculture!$S:$S,$A30,Agriculture!L:L)</f>
        <v>0</v>
      </c>
      <c r="J30" s="215">
        <f>SUMIF(Agriculture!$S:$S,$A30,Agriculture!M:M)</f>
        <v>0</v>
      </c>
    </row>
    <row r="31" spans="1:15" x14ac:dyDescent="0.2">
      <c r="A31" s="5" t="str">
        <f t="shared" si="12"/>
        <v>TSNSP</v>
      </c>
      <c r="B31" s="260" t="s">
        <v>992</v>
      </c>
      <c r="D31" s="6" t="s">
        <v>756</v>
      </c>
      <c r="E31" s="215">
        <f>SUMIF(Agriculture!$S:$S,$A31,Agriculture!H:H)</f>
        <v>0</v>
      </c>
      <c r="F31" s="215">
        <f>SUMIF(Agriculture!$S:$S,$A31,Agriculture!I:I)</f>
        <v>0</v>
      </c>
      <c r="G31" s="215">
        <f>SUMIF(Agriculture!$S:$S,$A31,Agriculture!J:J)</f>
        <v>0</v>
      </c>
      <c r="H31" s="215">
        <f>SUMIF(Agriculture!$S:$S,$A31,Agriculture!K:K)</f>
        <v>0</v>
      </c>
      <c r="I31" s="215">
        <f>SUMIF(Agriculture!$S:$S,$A31,Agriculture!L:L)</f>
        <v>0</v>
      </c>
      <c r="J31" s="215">
        <f>SUMIF(Agriculture!$S:$S,$A31,Agriculture!M:M)</f>
        <v>0</v>
      </c>
    </row>
    <row r="35" spans="5:10" x14ac:dyDescent="0.2">
      <c r="E35" s="239">
        <f>E27+E22+E17+E12+E7</f>
        <v>30434615.869029146</v>
      </c>
      <c r="F35" s="239">
        <f t="shared" ref="F35:J35" si="13">F27+F22+F17+F12+F7</f>
        <v>32273481.213419173</v>
      </c>
      <c r="G35" s="239">
        <f t="shared" si="13"/>
        <v>34224201.789572857</v>
      </c>
      <c r="H35" s="239">
        <f t="shared" si="13"/>
        <v>30434615.869029146</v>
      </c>
      <c r="I35" s="239">
        <f t="shared" ref="I35" si="14">I27+I22+I17+I12+I7</f>
        <v>30434615.869029146</v>
      </c>
      <c r="J35" s="239">
        <f t="shared" si="13"/>
        <v>30434615.869029146</v>
      </c>
    </row>
  </sheetData>
  <mergeCells count="1">
    <mergeCell ref="E5:G5"/>
  </mergeCells>
  <pageMargins left="0.7" right="0.7" top="0.75" bottom="0.75" header="0.3" footer="0.3"/>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2:E26"/>
  <sheetViews>
    <sheetView showGridLines="0" topLeftCell="A7" workbookViewId="0">
      <selection activeCell="H37" sqref="H37"/>
    </sheetView>
  </sheetViews>
  <sheetFormatPr defaultColWidth="8.85546875" defaultRowHeight="15" x14ac:dyDescent="0.25"/>
  <cols>
    <col min="1" max="1" width="1.85546875" style="92" customWidth="1"/>
    <col min="2" max="2" width="39.42578125" style="125" customWidth="1"/>
    <col min="3" max="3" width="12.7109375" style="92" customWidth="1"/>
    <col min="4" max="4" width="40.85546875" style="94" customWidth="1"/>
    <col min="5" max="5" width="40.85546875" style="92" customWidth="1"/>
    <col min="6" max="16384" width="8.85546875" style="92"/>
  </cols>
  <sheetData>
    <row r="2" spans="2:5" ht="23.25" x14ac:dyDescent="0.35">
      <c r="B2" s="109" t="s">
        <v>676</v>
      </c>
      <c r="C2" s="110"/>
      <c r="D2" s="110"/>
      <c r="E2" s="110"/>
    </row>
    <row r="4" spans="2:5" s="127" customFormat="1" x14ac:dyDescent="0.25">
      <c r="B4" s="132" t="s">
        <v>498</v>
      </c>
      <c r="C4" s="133" t="s">
        <v>678</v>
      </c>
      <c r="D4" s="132" t="s">
        <v>677</v>
      </c>
      <c r="E4" s="132" t="s">
        <v>585</v>
      </c>
    </row>
    <row r="5" spans="2:5" x14ac:dyDescent="0.25">
      <c r="B5" s="93" t="s">
        <v>668</v>
      </c>
      <c r="C5" s="98"/>
      <c r="D5" s="93"/>
      <c r="E5" s="126"/>
    </row>
    <row r="6" spans="2:5" s="107" customFormat="1" ht="62.25" customHeight="1" x14ac:dyDescent="0.25">
      <c r="B6" s="108" t="s">
        <v>502</v>
      </c>
      <c r="C6" s="128" t="s">
        <v>500</v>
      </c>
      <c r="D6" s="102" t="s">
        <v>531</v>
      </c>
      <c r="E6" s="102" t="s">
        <v>983</v>
      </c>
    </row>
    <row r="7" spans="2:5" s="107" customFormat="1" ht="28.5" x14ac:dyDescent="0.25">
      <c r="B7" s="108" t="s">
        <v>503</v>
      </c>
      <c r="C7" s="128" t="s">
        <v>500</v>
      </c>
      <c r="D7" s="108" t="s">
        <v>533</v>
      </c>
      <c r="E7" s="102" t="s">
        <v>587</v>
      </c>
    </row>
    <row r="8" spans="2:5" s="107" customFormat="1" ht="45.75" customHeight="1" x14ac:dyDescent="0.25">
      <c r="B8" s="108" t="s">
        <v>517</v>
      </c>
      <c r="C8" s="128" t="s">
        <v>518</v>
      </c>
      <c r="D8" s="102" t="s">
        <v>529</v>
      </c>
      <c r="E8" s="102" t="s">
        <v>672</v>
      </c>
    </row>
    <row r="9" spans="2:5" s="107" customFormat="1" ht="42.75" x14ac:dyDescent="0.25">
      <c r="B9" s="108" t="s">
        <v>513</v>
      </c>
      <c r="C9" s="108" t="s">
        <v>514</v>
      </c>
      <c r="D9" s="102" t="s">
        <v>673</v>
      </c>
      <c r="E9" s="102"/>
    </row>
    <row r="10" spans="2:5" s="107" customFormat="1" x14ac:dyDescent="0.25">
      <c r="B10" s="129" t="s">
        <v>669</v>
      </c>
      <c r="C10" s="130"/>
      <c r="D10" s="129"/>
      <c r="E10" s="131"/>
    </row>
    <row r="11" spans="2:5" s="107" customFormat="1" ht="42.75" x14ac:dyDescent="0.25">
      <c r="B11" s="108" t="s">
        <v>510</v>
      </c>
      <c r="C11" s="128" t="s">
        <v>500</v>
      </c>
      <c r="D11" s="102" t="s">
        <v>526</v>
      </c>
      <c r="E11" s="102" t="s">
        <v>591</v>
      </c>
    </row>
    <row r="12" spans="2:5" s="107" customFormat="1" ht="48.75" customHeight="1" x14ac:dyDescent="0.25">
      <c r="B12" s="108" t="s">
        <v>501</v>
      </c>
      <c r="C12" s="128" t="s">
        <v>500</v>
      </c>
      <c r="D12" s="102" t="s">
        <v>530</v>
      </c>
      <c r="E12" s="102" t="s">
        <v>586</v>
      </c>
    </row>
    <row r="13" spans="2:5" s="107" customFormat="1" ht="42.75" x14ac:dyDescent="0.25">
      <c r="B13" s="108" t="s">
        <v>512</v>
      </c>
      <c r="C13" s="128" t="s">
        <v>500</v>
      </c>
      <c r="D13" s="102" t="s">
        <v>526</v>
      </c>
      <c r="E13" s="102" t="s">
        <v>591</v>
      </c>
    </row>
    <row r="14" spans="2:5" s="107" customFormat="1" ht="28.5" x14ac:dyDescent="0.25">
      <c r="B14" s="108" t="s">
        <v>504</v>
      </c>
      <c r="C14" s="128" t="s">
        <v>500</v>
      </c>
      <c r="D14" s="101" t="s">
        <v>532</v>
      </c>
      <c r="E14" s="102" t="s">
        <v>588</v>
      </c>
    </row>
    <row r="15" spans="2:5" s="107" customFormat="1" ht="28.5" x14ac:dyDescent="0.25">
      <c r="B15" s="108" t="s">
        <v>516</v>
      </c>
      <c r="C15" s="128" t="s">
        <v>500</v>
      </c>
      <c r="D15" s="101" t="s">
        <v>528</v>
      </c>
      <c r="E15" s="102" t="s">
        <v>592</v>
      </c>
    </row>
    <row r="16" spans="2:5" s="107" customFormat="1" ht="57" x14ac:dyDescent="0.25">
      <c r="B16" s="108" t="s">
        <v>508</v>
      </c>
      <c r="C16" s="128" t="s">
        <v>500</v>
      </c>
      <c r="D16" s="102" t="s">
        <v>524</v>
      </c>
      <c r="E16" s="102" t="s">
        <v>674</v>
      </c>
    </row>
    <row r="17" spans="2:5" s="107" customFormat="1" ht="42.75" x14ac:dyDescent="0.25">
      <c r="B17" s="108" t="s">
        <v>505</v>
      </c>
      <c r="C17" s="128" t="s">
        <v>506</v>
      </c>
      <c r="D17" s="102" t="s">
        <v>522</v>
      </c>
      <c r="E17" s="102" t="s">
        <v>675</v>
      </c>
    </row>
    <row r="18" spans="2:5" s="107" customFormat="1" ht="42.75" x14ac:dyDescent="0.25">
      <c r="B18" s="108" t="s">
        <v>507</v>
      </c>
      <c r="C18" s="128" t="s">
        <v>506</v>
      </c>
      <c r="D18" s="102" t="s">
        <v>523</v>
      </c>
      <c r="E18" s="102" t="s">
        <v>589</v>
      </c>
    </row>
    <row r="19" spans="2:5" s="107" customFormat="1" x14ac:dyDescent="0.25">
      <c r="B19" s="129" t="s">
        <v>670</v>
      </c>
      <c r="C19" s="130"/>
      <c r="D19" s="129"/>
      <c r="E19" s="131"/>
    </row>
    <row r="20" spans="2:5" s="107" customFormat="1" ht="42.75" x14ac:dyDescent="0.25">
      <c r="B20" s="108" t="s">
        <v>520</v>
      </c>
      <c r="C20" s="128" t="s">
        <v>500</v>
      </c>
      <c r="D20" s="102" t="s">
        <v>536</v>
      </c>
      <c r="E20" s="102" t="s">
        <v>672</v>
      </c>
    </row>
    <row r="21" spans="2:5" s="107" customFormat="1" ht="42.75" x14ac:dyDescent="0.25">
      <c r="B21" s="108" t="s">
        <v>519</v>
      </c>
      <c r="C21" s="128" t="s">
        <v>500</v>
      </c>
      <c r="D21" s="102" t="s">
        <v>537</v>
      </c>
      <c r="E21" s="102" t="s">
        <v>672</v>
      </c>
    </row>
    <row r="22" spans="2:5" s="107" customFormat="1" ht="42.75" x14ac:dyDescent="0.25">
      <c r="B22" s="108" t="s">
        <v>515</v>
      </c>
      <c r="C22" s="128" t="s">
        <v>500</v>
      </c>
      <c r="D22" s="102" t="s">
        <v>527</v>
      </c>
      <c r="E22" s="102" t="s">
        <v>672</v>
      </c>
    </row>
    <row r="23" spans="2:5" s="107" customFormat="1" ht="13.5" customHeight="1" x14ac:dyDescent="0.25">
      <c r="B23" s="129" t="s">
        <v>671</v>
      </c>
      <c r="C23" s="130"/>
      <c r="D23" s="129"/>
      <c r="E23" s="131"/>
    </row>
    <row r="24" spans="2:5" s="107" customFormat="1" ht="42.75" x14ac:dyDescent="0.25">
      <c r="B24" s="108" t="s">
        <v>509</v>
      </c>
      <c r="C24" s="128" t="s">
        <v>40</v>
      </c>
      <c r="D24" s="102" t="s">
        <v>525</v>
      </c>
      <c r="E24" s="102" t="s">
        <v>590</v>
      </c>
    </row>
    <row r="25" spans="2:5" s="107" customFormat="1" ht="42.75" x14ac:dyDescent="0.25">
      <c r="B25" s="108" t="s">
        <v>511</v>
      </c>
      <c r="C25" s="128" t="s">
        <v>40</v>
      </c>
      <c r="D25" s="102" t="s">
        <v>525</v>
      </c>
      <c r="E25" s="102" t="s">
        <v>590</v>
      </c>
    </row>
    <row r="26" spans="2:5" s="107" customFormat="1" ht="28.5" x14ac:dyDescent="0.25">
      <c r="B26" s="108" t="s">
        <v>499</v>
      </c>
      <c r="C26" s="128" t="s">
        <v>500</v>
      </c>
      <c r="D26" s="101" t="s">
        <v>521</v>
      </c>
      <c r="E26" s="101"/>
    </row>
  </sheetData>
  <pageMargins left="0.23622047244094491" right="0.23622047244094491" top="0.74803149606299213" bottom="0.74803149606299213" header="0.31496062992125984" footer="0.31496062992125984"/>
  <pageSetup paperSize="9" scale="70" orientation="portrait" horizontalDpi="0" verticalDpi="0"/>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2:I83"/>
  <sheetViews>
    <sheetView showGridLines="0" workbookViewId="0">
      <pane ySplit="5" topLeftCell="A42" activePane="bottomLeft" state="frozen"/>
      <selection activeCell="H37" sqref="H37"/>
      <selection pane="bottomLeft" activeCell="H37" sqref="H37"/>
    </sheetView>
  </sheetViews>
  <sheetFormatPr defaultColWidth="8.85546875" defaultRowHeight="14.25" x14ac:dyDescent="0.2"/>
  <cols>
    <col min="1" max="1" width="4" style="91" customWidth="1"/>
    <col min="2" max="2" width="9" style="91" customWidth="1"/>
    <col min="3" max="5" width="32.85546875" style="91" customWidth="1"/>
    <col min="6" max="7" width="8.85546875" style="91"/>
    <col min="8" max="8" width="14.7109375" style="91" bestFit="1" customWidth="1"/>
    <col min="9" max="16384" width="8.85546875" style="91"/>
  </cols>
  <sheetData>
    <row r="2" spans="2:9" ht="23.25" x14ac:dyDescent="0.35">
      <c r="B2" s="109" t="s">
        <v>1338</v>
      </c>
      <c r="C2" s="110"/>
      <c r="D2" s="110"/>
      <c r="E2" s="110"/>
    </row>
    <row r="3" spans="2:9" ht="5.25" customHeight="1" x14ac:dyDescent="0.2"/>
    <row r="4" spans="2:9" ht="5.25" customHeight="1" x14ac:dyDescent="0.2"/>
    <row r="5" spans="2:9" ht="30" x14ac:dyDescent="0.2">
      <c r="B5" s="103" t="s">
        <v>559</v>
      </c>
      <c r="C5" s="103" t="s">
        <v>556</v>
      </c>
      <c r="D5" s="104" t="s">
        <v>603</v>
      </c>
      <c r="E5" s="104" t="s">
        <v>558</v>
      </c>
    </row>
    <row r="6" spans="2:9" ht="15" x14ac:dyDescent="0.25">
      <c r="B6" s="111" t="s">
        <v>599</v>
      </c>
      <c r="C6" s="111"/>
      <c r="D6" s="111"/>
      <c r="E6" s="111"/>
    </row>
    <row r="7" spans="2:9" ht="15" x14ac:dyDescent="0.25">
      <c r="B7" s="95" t="s">
        <v>600</v>
      </c>
    </row>
    <row r="8" spans="2:9" s="5" customFormat="1" ht="51" x14ac:dyDescent="0.2">
      <c r="B8" s="113" t="s">
        <v>1</v>
      </c>
      <c r="C8" s="114" t="s">
        <v>604</v>
      </c>
      <c r="D8" s="114" t="s">
        <v>614</v>
      </c>
      <c r="E8" s="114" t="s">
        <v>616</v>
      </c>
      <c r="F8" s="91"/>
      <c r="G8" s="91"/>
      <c r="H8" s="91"/>
      <c r="I8" s="91"/>
    </row>
    <row r="9" spans="2:9" s="5" customFormat="1" ht="25.5" x14ac:dyDescent="0.2">
      <c r="B9" s="113"/>
      <c r="C9" s="117" t="s">
        <v>606</v>
      </c>
      <c r="D9" s="114" t="s">
        <v>618</v>
      </c>
      <c r="E9" s="114" t="s">
        <v>619</v>
      </c>
      <c r="F9" s="91"/>
      <c r="G9" s="91"/>
      <c r="H9" s="91"/>
      <c r="I9" s="91"/>
    </row>
    <row r="10" spans="2:9" s="5" customFormat="1" ht="25.5" x14ac:dyDescent="0.2">
      <c r="B10" s="113"/>
      <c r="C10" s="117" t="s">
        <v>607</v>
      </c>
      <c r="D10" s="114" t="s">
        <v>620</v>
      </c>
      <c r="E10" s="114" t="s">
        <v>621</v>
      </c>
      <c r="F10" s="91"/>
      <c r="G10" s="91"/>
      <c r="H10" s="91"/>
      <c r="I10" s="91"/>
    </row>
    <row r="11" spans="2:9" s="5" customFormat="1" ht="25.5" x14ac:dyDescent="0.2">
      <c r="B11" s="113"/>
      <c r="C11" s="117" t="s">
        <v>608</v>
      </c>
      <c r="D11" s="114" t="s">
        <v>620</v>
      </c>
      <c r="E11" s="114" t="s">
        <v>621</v>
      </c>
      <c r="F11" s="91"/>
      <c r="G11" s="91"/>
      <c r="H11" s="91"/>
      <c r="I11" s="91"/>
    </row>
    <row r="12" spans="2:9" s="5" customFormat="1" x14ac:dyDescent="0.2">
      <c r="B12" s="113"/>
      <c r="C12" s="117" t="s">
        <v>609</v>
      </c>
      <c r="D12" s="114" t="s">
        <v>622</v>
      </c>
      <c r="E12" s="114"/>
      <c r="F12" s="91"/>
      <c r="G12" s="91"/>
      <c r="H12" s="91"/>
      <c r="I12" s="91"/>
    </row>
    <row r="13" spans="2:9" s="5" customFormat="1" ht="38.25" x14ac:dyDescent="0.2">
      <c r="B13" s="113" t="s">
        <v>560</v>
      </c>
      <c r="C13" s="114" t="s">
        <v>605</v>
      </c>
      <c r="D13" s="114" t="s">
        <v>615</v>
      </c>
      <c r="E13" s="114" t="s">
        <v>617</v>
      </c>
      <c r="F13" s="91"/>
      <c r="G13" s="91"/>
      <c r="H13" s="91"/>
      <c r="I13" s="91"/>
    </row>
    <row r="14" spans="2:9" s="5" customFormat="1" ht="25.5" x14ac:dyDescent="0.2">
      <c r="B14" s="113"/>
      <c r="C14" s="117" t="s">
        <v>611</v>
      </c>
      <c r="D14" s="114" t="s">
        <v>618</v>
      </c>
      <c r="E14" s="114" t="s">
        <v>619</v>
      </c>
      <c r="F14" s="91"/>
      <c r="G14" s="91"/>
      <c r="H14" s="91"/>
      <c r="I14" s="91"/>
    </row>
    <row r="15" spans="2:9" s="5" customFormat="1" ht="25.5" x14ac:dyDescent="0.2">
      <c r="B15" s="113"/>
      <c r="C15" s="117" t="s">
        <v>607</v>
      </c>
      <c r="D15" s="114" t="s">
        <v>620</v>
      </c>
      <c r="E15" s="114" t="s">
        <v>621</v>
      </c>
      <c r="F15" s="91"/>
      <c r="G15" s="91"/>
      <c r="H15" s="91"/>
      <c r="I15" s="91"/>
    </row>
    <row r="16" spans="2:9" s="5" customFormat="1" ht="25.5" x14ac:dyDescent="0.2">
      <c r="B16" s="113"/>
      <c r="C16" s="117" t="s">
        <v>608</v>
      </c>
      <c r="D16" s="114" t="s">
        <v>620</v>
      </c>
      <c r="E16" s="114" t="s">
        <v>621</v>
      </c>
    </row>
    <row r="17" spans="2:6" s="5" customFormat="1" ht="12.75" x14ac:dyDescent="0.2">
      <c r="B17" s="113"/>
      <c r="C17" s="117" t="s">
        <v>609</v>
      </c>
      <c r="D17" s="114" t="s">
        <v>622</v>
      </c>
      <c r="E17" s="114"/>
    </row>
    <row r="19" spans="2:6" ht="15" x14ac:dyDescent="0.25">
      <c r="B19" s="111" t="s">
        <v>601</v>
      </c>
      <c r="C19" s="111"/>
      <c r="D19" s="111"/>
      <c r="E19" s="111"/>
    </row>
    <row r="20" spans="2:6" ht="15" x14ac:dyDescent="0.25">
      <c r="B20" s="95" t="s">
        <v>602</v>
      </c>
    </row>
    <row r="21" spans="2:6" s="5" customFormat="1" ht="25.5" x14ac:dyDescent="0.2">
      <c r="B21" s="113" t="s">
        <v>1</v>
      </c>
      <c r="C21" s="114" t="s">
        <v>610</v>
      </c>
      <c r="D21" s="114" t="s">
        <v>624</v>
      </c>
      <c r="E21" s="114"/>
    </row>
    <row r="22" spans="2:6" s="5" customFormat="1" ht="25.5" x14ac:dyDescent="0.2">
      <c r="B22" s="113"/>
      <c r="C22" s="114" t="s">
        <v>613</v>
      </c>
      <c r="D22" s="114" t="s">
        <v>625</v>
      </c>
      <c r="E22" s="114"/>
    </row>
    <row r="23" spans="2:6" s="5" customFormat="1" ht="25.5" x14ac:dyDescent="0.2">
      <c r="B23" s="113"/>
      <c r="C23" s="114" t="s">
        <v>612</v>
      </c>
      <c r="D23" s="114" t="s">
        <v>626</v>
      </c>
      <c r="E23" s="114"/>
    </row>
    <row r="24" spans="2:6" s="5" customFormat="1" ht="25.5" x14ac:dyDescent="0.2">
      <c r="B24" s="113"/>
      <c r="C24" s="114" t="s">
        <v>623</v>
      </c>
      <c r="D24" s="114" t="s">
        <v>630</v>
      </c>
      <c r="E24" s="114"/>
    </row>
    <row r="25" spans="2:6" s="5" customFormat="1" ht="38.25" x14ac:dyDescent="0.2">
      <c r="B25" s="113" t="s">
        <v>560</v>
      </c>
      <c r="C25" s="114" t="s">
        <v>627</v>
      </c>
      <c r="D25" s="114" t="s">
        <v>628</v>
      </c>
      <c r="E25" s="114" t="s">
        <v>629</v>
      </c>
    </row>
    <row r="26" spans="2:6" s="5" customFormat="1" ht="25.5" x14ac:dyDescent="0.2">
      <c r="B26" s="113"/>
      <c r="C26" s="114" t="s">
        <v>610</v>
      </c>
      <c r="D26" s="114"/>
      <c r="E26" s="114"/>
    </row>
    <row r="27" spans="2:6" s="5" customFormat="1" ht="12.75" x14ac:dyDescent="0.2">
      <c r="B27" s="113"/>
      <c r="C27" s="114" t="s">
        <v>613</v>
      </c>
      <c r="D27" s="114"/>
      <c r="E27" s="114"/>
    </row>
    <row r="28" spans="2:6" s="5" customFormat="1" ht="12.75" x14ac:dyDescent="0.2">
      <c r="B28" s="113"/>
      <c r="C28" s="114" t="s">
        <v>612</v>
      </c>
      <c r="D28" s="114"/>
      <c r="E28" s="114"/>
    </row>
    <row r="29" spans="2:6" ht="25.5" x14ac:dyDescent="0.2">
      <c r="B29" s="113"/>
      <c r="C29" s="114" t="s">
        <v>623</v>
      </c>
      <c r="D29" s="114"/>
      <c r="E29" s="114"/>
    </row>
    <row r="31" spans="2:6" ht="15" x14ac:dyDescent="0.25">
      <c r="B31" s="111" t="s">
        <v>0</v>
      </c>
      <c r="C31" s="112"/>
      <c r="D31" s="112"/>
      <c r="E31" s="112"/>
    </row>
    <row r="32" spans="2:6" s="4" customFormat="1" ht="15" x14ac:dyDescent="0.25">
      <c r="B32" s="95" t="s">
        <v>593</v>
      </c>
      <c r="C32" s="95"/>
      <c r="D32" s="95"/>
      <c r="E32" s="91"/>
      <c r="F32" s="96"/>
    </row>
    <row r="33" spans="2:6" s="4" customFormat="1" ht="38.25" x14ac:dyDescent="0.2">
      <c r="B33" s="115" t="s">
        <v>1</v>
      </c>
      <c r="C33" s="114" t="s">
        <v>631</v>
      </c>
      <c r="D33" s="116" t="s">
        <v>634</v>
      </c>
      <c r="E33" s="116"/>
      <c r="F33" s="97" t="s">
        <v>633</v>
      </c>
    </row>
    <row r="34" spans="2:6" s="4" customFormat="1" ht="89.25" x14ac:dyDescent="0.2">
      <c r="B34" s="115"/>
      <c r="C34" s="114" t="s">
        <v>658</v>
      </c>
      <c r="D34" s="116" t="s">
        <v>636</v>
      </c>
      <c r="E34" s="116"/>
      <c r="F34" s="96"/>
    </row>
    <row r="35" spans="2:6" s="5" customFormat="1" ht="89.25" x14ac:dyDescent="0.2">
      <c r="B35" s="115"/>
      <c r="C35" s="114" t="s">
        <v>632</v>
      </c>
      <c r="D35" s="116" t="s">
        <v>679</v>
      </c>
      <c r="E35" s="116"/>
    </row>
    <row r="36" spans="2:6" s="5" customFormat="1" ht="12.75" x14ac:dyDescent="0.2">
      <c r="B36" s="118" t="s">
        <v>560</v>
      </c>
      <c r="C36" s="139" t="s">
        <v>637</v>
      </c>
      <c r="D36" s="140"/>
    </row>
    <row r="37" spans="2:6" s="5" customFormat="1" ht="63.75" x14ac:dyDescent="0.2">
      <c r="B37" s="113"/>
      <c r="C37" s="117" t="s">
        <v>640</v>
      </c>
      <c r="D37" s="114" t="s">
        <v>638</v>
      </c>
      <c r="E37" s="114" t="s">
        <v>639</v>
      </c>
    </row>
    <row r="38" spans="2:6" ht="25.5" x14ac:dyDescent="0.2">
      <c r="B38" s="113"/>
      <c r="C38" s="117" t="s">
        <v>645</v>
      </c>
      <c r="D38" s="114"/>
      <c r="E38" s="114"/>
    </row>
    <row r="39" spans="2:6" ht="25.5" x14ac:dyDescent="0.2">
      <c r="B39" s="113"/>
      <c r="C39" s="117" t="s">
        <v>641</v>
      </c>
      <c r="D39" s="114"/>
      <c r="E39" s="114"/>
    </row>
    <row r="40" spans="2:6" ht="54.75" customHeight="1" x14ac:dyDescent="0.2">
      <c r="B40" s="113"/>
      <c r="C40" s="119" t="s">
        <v>642</v>
      </c>
      <c r="D40" s="114" t="s">
        <v>680</v>
      </c>
      <c r="E40" s="114" t="s">
        <v>644</v>
      </c>
    </row>
    <row r="41" spans="2:6" ht="25.5" x14ac:dyDescent="0.2">
      <c r="B41" s="113"/>
      <c r="C41" s="117" t="s">
        <v>417</v>
      </c>
      <c r="D41" s="114"/>
      <c r="E41" s="114"/>
    </row>
    <row r="42" spans="2:6" x14ac:dyDescent="0.2">
      <c r="B42" s="113"/>
      <c r="C42" s="117" t="s">
        <v>643</v>
      </c>
      <c r="D42" s="114"/>
      <c r="E42" s="114"/>
    </row>
    <row r="43" spans="2:6" x14ac:dyDescent="0.2">
      <c r="B43" s="113"/>
      <c r="C43" s="117" t="s">
        <v>659</v>
      </c>
      <c r="D43" s="114"/>
      <c r="E43" s="114"/>
    </row>
    <row r="44" spans="2:6" ht="14.25" customHeight="1" x14ac:dyDescent="0.2">
      <c r="B44" s="113"/>
      <c r="C44" s="138" t="s">
        <v>681</v>
      </c>
      <c r="D44" s="113"/>
      <c r="E44" s="114"/>
    </row>
    <row r="45" spans="2:6" s="5" customFormat="1" ht="25.5" x14ac:dyDescent="0.2">
      <c r="B45" s="113"/>
      <c r="C45" s="118" t="s">
        <v>563</v>
      </c>
      <c r="D45" s="123" t="s">
        <v>660</v>
      </c>
      <c r="E45" s="114"/>
    </row>
    <row r="46" spans="2:6" s="5" customFormat="1" ht="63.75" x14ac:dyDescent="0.2">
      <c r="B46" s="113"/>
      <c r="C46" s="114" t="s">
        <v>661</v>
      </c>
      <c r="D46" s="114" t="s">
        <v>662</v>
      </c>
      <c r="E46" s="114" t="s">
        <v>561</v>
      </c>
    </row>
    <row r="47" spans="2:6" s="5" customFormat="1" ht="38.25" x14ac:dyDescent="0.2">
      <c r="B47" s="113"/>
      <c r="C47" s="114" t="s">
        <v>663</v>
      </c>
      <c r="D47" s="114" t="s">
        <v>662</v>
      </c>
      <c r="E47" s="114" t="s">
        <v>664</v>
      </c>
    </row>
    <row r="48" spans="2:6" s="5" customFormat="1" ht="51" x14ac:dyDescent="0.2">
      <c r="B48" s="113"/>
      <c r="C48" s="114" t="s">
        <v>635</v>
      </c>
      <c r="D48" s="114" t="s">
        <v>665</v>
      </c>
      <c r="E48" s="114" t="s">
        <v>562</v>
      </c>
    </row>
    <row r="49" spans="2:5" x14ac:dyDescent="0.2">
      <c r="B49" s="113"/>
      <c r="C49" s="134" t="s">
        <v>670</v>
      </c>
      <c r="D49" s="114"/>
      <c r="E49" s="114"/>
    </row>
    <row r="50" spans="2:5" x14ac:dyDescent="0.2">
      <c r="B50" s="113"/>
      <c r="C50" s="134"/>
      <c r="D50" s="114"/>
      <c r="E50" s="114"/>
    </row>
    <row r="51" spans="2:5" x14ac:dyDescent="0.2">
      <c r="B51" s="113"/>
      <c r="C51" s="134"/>
      <c r="D51" s="114"/>
      <c r="E51" s="114"/>
    </row>
    <row r="52" spans="2:5" x14ac:dyDescent="0.2">
      <c r="B52" s="113"/>
      <c r="C52" s="134"/>
      <c r="D52" s="114"/>
      <c r="E52" s="114"/>
    </row>
    <row r="53" spans="2:5" x14ac:dyDescent="0.2">
      <c r="B53" s="113"/>
      <c r="C53" s="114" t="s">
        <v>682</v>
      </c>
      <c r="D53" s="114"/>
      <c r="E53" s="114"/>
    </row>
    <row r="54" spans="2:5" x14ac:dyDescent="0.2">
      <c r="B54" s="135"/>
      <c r="C54" s="136"/>
      <c r="D54" s="137"/>
      <c r="E54" s="137"/>
    </row>
    <row r="55" spans="2:5" ht="15" x14ac:dyDescent="0.25">
      <c r="B55" s="111" t="s">
        <v>22</v>
      </c>
      <c r="C55" s="112"/>
      <c r="D55" s="112"/>
      <c r="E55" s="112"/>
    </row>
    <row r="56" spans="2:5" ht="15" x14ac:dyDescent="0.25">
      <c r="B56" s="95" t="s">
        <v>564</v>
      </c>
    </row>
    <row r="57" spans="2:5" s="5" customFormat="1" ht="25.5" x14ac:dyDescent="0.2">
      <c r="B57" s="114" t="s">
        <v>666</v>
      </c>
      <c r="C57" s="114" t="s">
        <v>631</v>
      </c>
      <c r="D57" s="114"/>
      <c r="E57" s="114"/>
    </row>
    <row r="58" spans="2:5" s="5" customFormat="1" ht="12.75" x14ac:dyDescent="0.2">
      <c r="B58" s="114"/>
      <c r="C58" s="114" t="s">
        <v>658</v>
      </c>
      <c r="D58" s="114"/>
      <c r="E58" s="114"/>
    </row>
    <row r="59" spans="2:5" x14ac:dyDescent="0.2">
      <c r="B59" s="114"/>
      <c r="C59" s="114" t="s">
        <v>632</v>
      </c>
      <c r="D59" s="114"/>
      <c r="E59" s="114"/>
    </row>
    <row r="60" spans="2:5" x14ac:dyDescent="0.2">
      <c r="B60" s="114" t="s">
        <v>683</v>
      </c>
      <c r="C60" s="139" t="s">
        <v>637</v>
      </c>
      <c r="D60" s="113"/>
      <c r="E60" s="114"/>
    </row>
    <row r="61" spans="2:5" ht="25.5" x14ac:dyDescent="0.2">
      <c r="B61" s="114"/>
      <c r="C61" s="114" t="s">
        <v>631</v>
      </c>
      <c r="D61" s="114"/>
      <c r="E61" s="114"/>
    </row>
    <row r="62" spans="2:5" s="5" customFormat="1" ht="33" customHeight="1" x14ac:dyDescent="0.2">
      <c r="B62" s="114"/>
      <c r="C62" s="114" t="s">
        <v>658</v>
      </c>
      <c r="D62" s="114"/>
      <c r="E62" s="114"/>
    </row>
    <row r="63" spans="2:5" s="5" customFormat="1" ht="12.75" x14ac:dyDescent="0.2">
      <c r="B63" s="114"/>
      <c r="C63" s="124" t="s">
        <v>681</v>
      </c>
      <c r="D63" s="114"/>
      <c r="E63" s="114"/>
    </row>
    <row r="64" spans="2:5" x14ac:dyDescent="0.2">
      <c r="B64" s="114"/>
      <c r="C64" s="113" t="s">
        <v>667</v>
      </c>
      <c r="D64" s="114"/>
      <c r="E64" s="114"/>
    </row>
    <row r="65" spans="2:5" ht="63.75" x14ac:dyDescent="0.2">
      <c r="B65" s="114"/>
      <c r="C65" s="113" t="s">
        <v>565</v>
      </c>
      <c r="D65" s="114" t="s">
        <v>566</v>
      </c>
      <c r="E65" s="114" t="s">
        <v>567</v>
      </c>
    </row>
    <row r="66" spans="2:5" ht="51" x14ac:dyDescent="0.2">
      <c r="B66" s="113"/>
      <c r="C66" s="113" t="s">
        <v>568</v>
      </c>
      <c r="D66" s="114" t="s">
        <v>569</v>
      </c>
      <c r="E66" s="114" t="s">
        <v>570</v>
      </c>
    </row>
    <row r="67" spans="2:5" ht="38.25" x14ac:dyDescent="0.2">
      <c r="B67" s="113"/>
      <c r="C67" s="114" t="s">
        <v>580</v>
      </c>
      <c r="D67" s="114" t="s">
        <v>581</v>
      </c>
      <c r="E67" s="114" t="s">
        <v>582</v>
      </c>
    </row>
    <row r="68" spans="2:5" ht="14.25" customHeight="1" x14ac:dyDescent="0.2">
      <c r="B68" s="113"/>
      <c r="C68" s="114" t="s">
        <v>583</v>
      </c>
      <c r="D68" s="114" t="s">
        <v>684</v>
      </c>
      <c r="E68" s="114" t="s">
        <v>584</v>
      </c>
    </row>
    <row r="70" spans="2:5" ht="15" x14ac:dyDescent="0.25">
      <c r="B70" s="111" t="s">
        <v>33</v>
      </c>
      <c r="C70" s="112"/>
      <c r="D70" s="112"/>
      <c r="E70" s="112"/>
    </row>
    <row r="71" spans="2:5" ht="15" x14ac:dyDescent="0.25">
      <c r="B71" s="95" t="s">
        <v>575</v>
      </c>
    </row>
    <row r="72" spans="2:5" ht="30" x14ac:dyDescent="0.2">
      <c r="B72" s="103" t="s">
        <v>559</v>
      </c>
      <c r="C72" s="103" t="s">
        <v>556</v>
      </c>
      <c r="D72" s="104" t="s">
        <v>557</v>
      </c>
      <c r="E72" s="104" t="s">
        <v>558</v>
      </c>
    </row>
    <row r="73" spans="2:5" ht="15" x14ac:dyDescent="0.2">
      <c r="B73" s="114" t="s">
        <v>33</v>
      </c>
      <c r="C73" s="139" t="s">
        <v>685</v>
      </c>
      <c r="D73" s="142"/>
      <c r="E73" s="142"/>
    </row>
    <row r="74" spans="2:5" ht="25.5" x14ac:dyDescent="0.2">
      <c r="B74" s="141"/>
      <c r="C74" s="114" t="s">
        <v>686</v>
      </c>
      <c r="D74" s="142"/>
      <c r="E74" s="142"/>
    </row>
    <row r="75" spans="2:5" ht="15" x14ac:dyDescent="0.2">
      <c r="B75" s="141"/>
      <c r="C75" s="114" t="s">
        <v>658</v>
      </c>
      <c r="D75" s="142"/>
      <c r="E75" s="142"/>
    </row>
    <row r="76" spans="2:5" ht="15" x14ac:dyDescent="0.2">
      <c r="B76" s="141"/>
      <c r="C76" s="124" t="s">
        <v>681</v>
      </c>
      <c r="D76" s="142"/>
      <c r="E76" s="142"/>
    </row>
    <row r="77" spans="2:5" ht="51" x14ac:dyDescent="0.2">
      <c r="B77" s="141"/>
      <c r="C77" s="113" t="s">
        <v>571</v>
      </c>
      <c r="D77" s="114" t="s">
        <v>572</v>
      </c>
      <c r="E77" s="114" t="s">
        <v>573</v>
      </c>
    </row>
    <row r="78" spans="2:5" ht="38.25" x14ac:dyDescent="0.2">
      <c r="B78" s="113"/>
      <c r="C78" s="114" t="s">
        <v>574</v>
      </c>
      <c r="D78" s="114" t="s">
        <v>576</v>
      </c>
      <c r="E78" s="114" t="s">
        <v>577</v>
      </c>
    </row>
    <row r="80" spans="2:5" ht="15" x14ac:dyDescent="0.25">
      <c r="B80" s="111" t="s">
        <v>578</v>
      </c>
      <c r="C80" s="112"/>
      <c r="D80" s="112"/>
      <c r="E80" s="112"/>
    </row>
    <row r="81" spans="2:5" ht="15" x14ac:dyDescent="0.25">
      <c r="B81" s="95" t="s">
        <v>579</v>
      </c>
    </row>
    <row r="82" spans="2:5" ht="25.5" x14ac:dyDescent="0.2">
      <c r="B82" s="114" t="s">
        <v>578</v>
      </c>
      <c r="C82" s="1133" t="s">
        <v>594</v>
      </c>
      <c r="D82" s="1134"/>
      <c r="E82" s="1135"/>
    </row>
    <row r="83" spans="2:5" x14ac:dyDescent="0.2">
      <c r="B83" s="113"/>
      <c r="C83" s="114"/>
      <c r="D83" s="114"/>
      <c r="E83" s="114"/>
    </row>
  </sheetData>
  <mergeCells count="1">
    <mergeCell ref="C82:E82"/>
  </mergeCells>
  <pageMargins left="0.7" right="0.7" top="0.75" bottom="0.75" header="0.3" footer="0.3"/>
  <pageSetup paperSize="9" scale="78" orientation="portrait" horizontalDpi="0" verticalDpi="0"/>
  <rowBreaks count="2" manualBreakCount="2">
    <brk id="30" max="4" man="1"/>
    <brk id="54" max="4" man="1"/>
  </rowBreaks>
  <drawing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106"/>
  <sheetViews>
    <sheetView showGridLines="0" zoomScale="70" zoomScaleNormal="70" zoomScalePageLayoutView="80" workbookViewId="0">
      <pane ySplit="2" topLeftCell="A15" activePane="bottomLeft" state="frozen"/>
      <selection activeCell="H37" sqref="H37"/>
      <selection pane="bottomLeft" activeCell="H37" sqref="H37"/>
    </sheetView>
  </sheetViews>
  <sheetFormatPr defaultColWidth="8.85546875" defaultRowHeight="15" x14ac:dyDescent="0.25"/>
  <cols>
    <col min="1" max="1" width="2" customWidth="1"/>
    <col min="2" max="2" width="3.42578125" customWidth="1"/>
    <col min="3" max="3" width="8.42578125" customWidth="1"/>
  </cols>
  <sheetData>
    <row r="1" spans="1:1" ht="33.75" x14ac:dyDescent="0.5">
      <c r="A1" s="677" t="s">
        <v>1092</v>
      </c>
    </row>
    <row r="4" spans="1:1" s="454" customFormat="1" x14ac:dyDescent="0.25"/>
    <row r="5" spans="1:1" s="454" customFormat="1" x14ac:dyDescent="0.25"/>
    <row r="6" spans="1:1" s="454" customFormat="1" x14ac:dyDescent="0.25"/>
    <row r="7" spans="1:1" s="454" customFormat="1" x14ac:dyDescent="0.25"/>
    <row r="8" spans="1:1" s="454" customFormat="1" x14ac:dyDescent="0.25"/>
    <row r="9" spans="1:1" s="454" customFormat="1" x14ac:dyDescent="0.25"/>
    <row r="10" spans="1:1" s="454" customFormat="1" x14ac:dyDescent="0.25"/>
    <row r="11" spans="1:1" s="454" customFormat="1" x14ac:dyDescent="0.25"/>
    <row r="12" spans="1:1" s="454" customFormat="1" x14ac:dyDescent="0.25"/>
    <row r="13" spans="1:1" s="454" customFormat="1" x14ac:dyDescent="0.25"/>
    <row r="14" spans="1:1" s="454" customFormat="1" x14ac:dyDescent="0.25"/>
    <row r="15" spans="1:1" s="454" customFormat="1" x14ac:dyDescent="0.25"/>
    <row r="16" spans="1:1" s="454" customFormat="1" x14ac:dyDescent="0.25"/>
    <row r="17" s="453" customFormat="1" x14ac:dyDescent="0.25"/>
    <row r="18" s="453" customFormat="1" x14ac:dyDescent="0.25"/>
    <row r="19" s="453" customFormat="1" x14ac:dyDescent="0.25"/>
    <row r="20" s="453" customFormat="1" x14ac:dyDescent="0.25"/>
    <row r="21" s="453" customFormat="1" x14ac:dyDescent="0.25"/>
    <row r="22" s="453" customFormat="1" x14ac:dyDescent="0.25"/>
    <row r="23" s="453" customFormat="1" x14ac:dyDescent="0.25"/>
    <row r="24" s="453" customFormat="1" x14ac:dyDescent="0.25"/>
    <row r="25" s="453" customFormat="1" x14ac:dyDescent="0.25"/>
    <row r="26" s="453" customFormat="1" x14ac:dyDescent="0.25"/>
    <row r="27" s="453" customFormat="1" x14ac:dyDescent="0.25"/>
    <row r="28" s="453" customFormat="1" x14ac:dyDescent="0.25"/>
    <row r="29" s="453" customFormat="1" x14ac:dyDescent="0.25"/>
    <row r="30" s="453" customFormat="1" x14ac:dyDescent="0.25"/>
    <row r="31" s="453" customFormat="1" x14ac:dyDescent="0.25"/>
    <row r="32" s="453" customFormat="1" x14ac:dyDescent="0.25"/>
    <row r="33" s="453" customFormat="1" x14ac:dyDescent="0.25"/>
    <row r="34" s="453" customFormat="1" x14ac:dyDescent="0.25"/>
    <row r="35" s="454" customFormat="1" x14ac:dyDescent="0.25"/>
    <row r="36" s="454" customFormat="1" x14ac:dyDescent="0.25"/>
    <row r="37" s="454" customFormat="1" x14ac:dyDescent="0.25"/>
    <row r="38" s="454" customFormat="1" x14ac:dyDescent="0.25"/>
    <row r="39" s="454" customFormat="1" x14ac:dyDescent="0.25"/>
    <row r="40" s="454" customFormat="1" x14ac:dyDescent="0.25"/>
    <row r="41" s="454" customFormat="1" x14ac:dyDescent="0.25"/>
    <row r="42" s="454" customFormat="1" x14ac:dyDescent="0.25"/>
    <row r="43" s="454" customFormat="1" x14ac:dyDescent="0.25"/>
    <row r="44" s="454" customFormat="1" x14ac:dyDescent="0.25"/>
    <row r="45" s="454" customFormat="1" x14ac:dyDescent="0.25"/>
    <row r="46" s="454" customFormat="1" x14ac:dyDescent="0.25"/>
    <row r="47" s="453" customFormat="1" x14ac:dyDescent="0.25"/>
    <row r="48" s="453" customFormat="1" x14ac:dyDescent="0.25"/>
    <row r="49" s="453" customFormat="1" x14ac:dyDescent="0.25"/>
    <row r="50" s="453" customFormat="1" x14ac:dyDescent="0.25"/>
    <row r="51" s="453" customFormat="1" x14ac:dyDescent="0.25"/>
    <row r="52" s="453" customFormat="1" x14ac:dyDescent="0.25"/>
    <row r="53" s="453" customFormat="1" x14ac:dyDescent="0.25"/>
    <row r="54" s="453" customFormat="1" x14ac:dyDescent="0.25"/>
    <row r="55" s="453" customFormat="1" x14ac:dyDescent="0.25"/>
    <row r="56" s="453" customFormat="1" x14ac:dyDescent="0.25"/>
    <row r="57" s="453" customFormat="1" x14ac:dyDescent="0.25"/>
    <row r="58" s="455" customFormat="1" x14ac:dyDescent="0.25"/>
    <row r="59" s="455" customFormat="1" x14ac:dyDescent="0.25"/>
    <row r="60" s="455" customFormat="1" x14ac:dyDescent="0.25"/>
    <row r="61" s="455" customFormat="1" x14ac:dyDescent="0.25"/>
    <row r="62" s="455" customFormat="1" x14ac:dyDescent="0.25"/>
    <row r="63" s="455" customFormat="1" x14ac:dyDescent="0.25"/>
    <row r="64" s="455" customFormat="1" x14ac:dyDescent="0.25"/>
    <row r="65" s="455" customFormat="1" x14ac:dyDescent="0.25"/>
    <row r="66" s="455" customFormat="1" x14ac:dyDescent="0.25"/>
    <row r="67" s="455" customFormat="1" x14ac:dyDescent="0.25"/>
    <row r="68" s="455" customFormat="1" x14ac:dyDescent="0.25"/>
    <row r="69" s="455" customFormat="1" x14ac:dyDescent="0.25"/>
    <row r="70" s="455" customFormat="1" x14ac:dyDescent="0.25"/>
    <row r="71" s="453" customFormat="1" x14ac:dyDescent="0.25"/>
    <row r="72" s="453" customFormat="1" x14ac:dyDescent="0.25"/>
    <row r="73" s="453" customFormat="1" x14ac:dyDescent="0.25"/>
    <row r="74" s="453" customFormat="1" x14ac:dyDescent="0.25"/>
    <row r="75" s="453" customFormat="1" x14ac:dyDescent="0.25"/>
    <row r="76" s="455" customFormat="1" x14ac:dyDescent="0.25"/>
    <row r="77" s="455" customFormat="1" x14ac:dyDescent="0.25"/>
    <row r="78" s="455" customFormat="1" x14ac:dyDescent="0.25"/>
    <row r="79" s="455" customFormat="1" x14ac:dyDescent="0.25"/>
    <row r="80" s="455" customFormat="1" x14ac:dyDescent="0.25"/>
    <row r="81" s="455" customFormat="1" x14ac:dyDescent="0.25"/>
    <row r="82" s="455" customFormat="1" x14ac:dyDescent="0.25"/>
    <row r="83" s="455" customFormat="1" x14ac:dyDescent="0.25"/>
    <row r="84" s="455" customFormat="1" x14ac:dyDescent="0.25"/>
    <row r="85" s="455" customFormat="1" x14ac:dyDescent="0.25"/>
    <row r="86" s="455" customFormat="1" x14ac:dyDescent="0.25"/>
    <row r="87" s="455" customFormat="1" x14ac:dyDescent="0.25"/>
    <row r="88" s="455" customFormat="1" x14ac:dyDescent="0.25"/>
    <row r="89" s="455" customFormat="1" x14ac:dyDescent="0.25"/>
    <row r="90" s="455" customFormat="1" x14ac:dyDescent="0.25"/>
    <row r="91" s="455" customFormat="1" x14ac:dyDescent="0.25"/>
    <row r="92" s="453" customFormat="1" x14ac:dyDescent="0.25"/>
    <row r="93" s="453" customFormat="1" x14ac:dyDescent="0.25"/>
    <row r="94" s="453" customFormat="1" x14ac:dyDescent="0.25"/>
    <row r="95" s="453" customFormat="1" x14ac:dyDescent="0.25"/>
    <row r="96" s="453" customFormat="1" x14ac:dyDescent="0.25"/>
    <row r="97" s="453" customFormat="1" x14ac:dyDescent="0.25"/>
    <row r="98" s="453" customFormat="1" x14ac:dyDescent="0.25"/>
    <row r="99" s="453" customFormat="1" x14ac:dyDescent="0.25"/>
    <row r="100" s="453" customFormat="1" x14ac:dyDescent="0.25"/>
    <row r="101" s="453" customFormat="1" x14ac:dyDescent="0.25"/>
    <row r="102" s="453" customFormat="1" x14ac:dyDescent="0.25"/>
    <row r="103" s="453" customFormat="1" x14ac:dyDescent="0.25"/>
    <row r="104" s="453" customFormat="1" x14ac:dyDescent="0.25"/>
    <row r="105" s="453" customFormat="1" x14ac:dyDescent="0.25"/>
    <row r="106" s="453" customFormat="1" x14ac:dyDescent="0.25"/>
  </sheetData>
  <pageMargins left="0.7" right="0.7" top="0.75" bottom="0.75" header="0.3" footer="0.3"/>
  <pageSetup paperSize="9" orientation="portrait" horizontalDpi="0" verticalDpi="0"/>
  <drawing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K101"/>
  <sheetViews>
    <sheetView showGridLines="0" topLeftCell="B1" workbookViewId="0">
      <pane ySplit="4" topLeftCell="A5" activePane="bottomLeft" state="frozen"/>
      <selection activeCell="H37" sqref="H37"/>
      <selection pane="bottomLeft" activeCell="B20" sqref="B20"/>
    </sheetView>
  </sheetViews>
  <sheetFormatPr defaultColWidth="8.85546875" defaultRowHeight="15" x14ac:dyDescent="0.25"/>
  <cols>
    <col min="1" max="1" width="3.140625" style="35" customWidth="1"/>
    <col min="2" max="2" width="72.42578125" style="35" customWidth="1"/>
    <col min="3" max="3" width="5.140625" style="35" customWidth="1"/>
    <col min="4" max="4" width="19.7109375" style="35" customWidth="1"/>
    <col min="5" max="7" width="16.140625" style="35" customWidth="1"/>
    <col min="8" max="8" width="17.42578125" style="35" customWidth="1"/>
    <col min="9" max="9" width="16.140625" style="35" customWidth="1"/>
    <col min="11" max="11" width="6.28515625" style="35" customWidth="1"/>
    <col min="12" max="16384" width="8.85546875" style="35"/>
  </cols>
  <sheetData>
    <row r="2" spans="2:9" ht="20.25" x14ac:dyDescent="0.25">
      <c r="B2" s="30" t="s">
        <v>387</v>
      </c>
      <c r="C2" s="30"/>
      <c r="D2" s="30"/>
      <c r="E2" s="31"/>
      <c r="F2" s="32"/>
      <c r="G2" s="33"/>
      <c r="H2" s="34"/>
      <c r="I2" s="34"/>
    </row>
    <row r="3" spans="2:9" ht="25.5" x14ac:dyDescent="0.25">
      <c r="D3" s="1136" t="s">
        <v>1816</v>
      </c>
      <c r="E3" s="1136"/>
      <c r="F3" s="1136"/>
      <c r="G3" s="1089" t="s">
        <v>1814</v>
      </c>
      <c r="H3" s="1088" t="s">
        <v>1759</v>
      </c>
      <c r="I3" s="607" t="s">
        <v>1796</v>
      </c>
    </row>
    <row r="4" spans="2:9" x14ac:dyDescent="0.25">
      <c r="D4" s="404" t="s">
        <v>385</v>
      </c>
      <c r="E4" s="404" t="s">
        <v>386</v>
      </c>
      <c r="F4" s="404" t="s">
        <v>1033</v>
      </c>
      <c r="G4" s="28" t="s">
        <v>385</v>
      </c>
      <c r="H4" s="29" t="s">
        <v>385</v>
      </c>
      <c r="I4" s="29" t="s">
        <v>385</v>
      </c>
    </row>
    <row r="5" spans="2:9" x14ac:dyDescent="0.25">
      <c r="B5" s="36" t="s">
        <v>388</v>
      </c>
      <c r="C5" s="37"/>
      <c r="D5" s="37"/>
      <c r="E5" s="38"/>
      <c r="F5" s="39"/>
      <c r="G5" s="577" t="s">
        <v>1244</v>
      </c>
      <c r="H5" s="577"/>
      <c r="I5" s="577"/>
    </row>
    <row r="6" spans="2:9" x14ac:dyDescent="0.25">
      <c r="B6" s="40" t="s">
        <v>389</v>
      </c>
      <c r="C6" s="40"/>
      <c r="D6" s="41"/>
      <c r="E6" s="42">
        <v>5.6000000000000001E-2</v>
      </c>
      <c r="F6" s="43">
        <v>5.6000000000000001E-2</v>
      </c>
      <c r="G6" s="43">
        <v>0</v>
      </c>
      <c r="H6" s="43">
        <v>0</v>
      </c>
      <c r="I6" s="43">
        <v>0</v>
      </c>
    </row>
    <row r="7" spans="2:9" x14ac:dyDescent="0.25">
      <c r="B7" s="40" t="s">
        <v>809</v>
      </c>
      <c r="C7" s="40"/>
      <c r="D7" s="41"/>
      <c r="E7" s="42">
        <v>0.09</v>
      </c>
      <c r="F7" s="43">
        <v>0.09</v>
      </c>
      <c r="G7" s="43">
        <v>0</v>
      </c>
      <c r="H7" s="43">
        <v>0</v>
      </c>
      <c r="I7" s="43">
        <v>0</v>
      </c>
    </row>
    <row r="8" spans="2:9" x14ac:dyDescent="0.25">
      <c r="B8" s="40" t="s">
        <v>390</v>
      </c>
      <c r="C8" s="40"/>
      <c r="D8" s="41"/>
      <c r="E8" s="43">
        <v>6.6000000000000003E-2</v>
      </c>
      <c r="F8" s="43">
        <v>6.6000000000000003E-2</v>
      </c>
      <c r="G8" s="43">
        <v>0</v>
      </c>
      <c r="H8" s="43">
        <v>0</v>
      </c>
      <c r="I8" s="43">
        <v>0</v>
      </c>
    </row>
    <row r="9" spans="2:9" x14ac:dyDescent="0.25">
      <c r="B9" s="44"/>
      <c r="C9" s="44"/>
      <c r="D9" s="44"/>
      <c r="E9" s="45"/>
      <c r="F9" s="44"/>
      <c r="G9" s="46"/>
      <c r="H9" s="47"/>
      <c r="I9" s="47"/>
    </row>
    <row r="10" spans="2:9" x14ac:dyDescent="0.25">
      <c r="B10" s="37" t="s">
        <v>391</v>
      </c>
      <c r="C10" s="37"/>
      <c r="D10" s="37"/>
      <c r="E10" s="39"/>
      <c r="F10" s="39"/>
      <c r="G10" s="39"/>
      <c r="H10" s="39"/>
      <c r="I10" s="39"/>
    </row>
    <row r="11" spans="2:9" ht="33" customHeight="1" x14ac:dyDescent="0.25">
      <c r="B11" s="48" t="s">
        <v>392</v>
      </c>
      <c r="C11" s="48"/>
      <c r="D11" s="49"/>
      <c r="E11" s="49">
        <v>0.25</v>
      </c>
      <c r="F11" s="49">
        <v>0.25</v>
      </c>
      <c r="G11" s="49">
        <v>0.25</v>
      </c>
      <c r="H11" s="49">
        <v>0.25</v>
      </c>
      <c r="I11" s="49">
        <v>0.25</v>
      </c>
    </row>
    <row r="12" spans="2:9" ht="26.25" x14ac:dyDescent="0.25">
      <c r="B12" s="48" t="s">
        <v>393</v>
      </c>
      <c r="C12" s="48"/>
      <c r="D12" s="49"/>
      <c r="E12" s="49">
        <v>0.05</v>
      </c>
      <c r="F12" s="49">
        <v>0.05</v>
      </c>
      <c r="G12" s="49">
        <v>0.05</v>
      </c>
      <c r="H12" s="49">
        <v>0.05</v>
      </c>
      <c r="I12" s="49">
        <v>0.05</v>
      </c>
    </row>
    <row r="13" spans="2:9" x14ac:dyDescent="0.25">
      <c r="B13" s="44"/>
      <c r="C13" s="44"/>
      <c r="D13" s="44"/>
      <c r="E13" s="45"/>
      <c r="F13" s="44"/>
      <c r="G13" s="46"/>
      <c r="H13" s="47"/>
      <c r="I13" s="47"/>
    </row>
    <row r="14" spans="2:9" x14ac:dyDescent="0.25">
      <c r="B14" s="37" t="s">
        <v>394</v>
      </c>
      <c r="C14" s="37"/>
      <c r="D14" s="39" t="s">
        <v>395</v>
      </c>
      <c r="E14" s="39"/>
      <c r="F14" s="39"/>
      <c r="G14" s="39"/>
      <c r="H14" s="39"/>
      <c r="I14" s="39"/>
    </row>
    <row r="15" spans="2:9" x14ac:dyDescent="0.25">
      <c r="B15" s="40" t="s">
        <v>396</v>
      </c>
      <c r="C15" s="40"/>
      <c r="D15" s="50">
        <v>1353732</v>
      </c>
      <c r="E15" s="146">
        <f>D15*(1+E$8)</f>
        <v>1443078.3120000002</v>
      </c>
      <c r="F15" s="146">
        <f t="shared" ref="F15:F22" si="0">E15*(1+F$8)</f>
        <v>1538321.4805920003</v>
      </c>
      <c r="G15" s="146">
        <f>D15*(1+G$8)</f>
        <v>1353732</v>
      </c>
      <c r="H15" s="146">
        <f t="shared" ref="H15:H22" si="1">D15*(1+H$8)</f>
        <v>1353732</v>
      </c>
      <c r="I15" s="944">
        <f>D15</f>
        <v>1353732</v>
      </c>
    </row>
    <row r="16" spans="2:9" x14ac:dyDescent="0.25">
      <c r="B16" s="40" t="s">
        <v>2</v>
      </c>
      <c r="C16" s="40"/>
      <c r="D16" s="50">
        <v>1181469</v>
      </c>
      <c r="E16" s="146">
        <f t="shared" ref="E16:E22" si="2">D16*(1+E$8)</f>
        <v>1259445.9540000001</v>
      </c>
      <c r="F16" s="146">
        <f t="shared" si="0"/>
        <v>1342569.3869640003</v>
      </c>
      <c r="G16" s="146">
        <f t="shared" ref="G16:G22" si="3">D16*(1+G$8)</f>
        <v>1181469</v>
      </c>
      <c r="H16" s="146">
        <f t="shared" si="1"/>
        <v>1181469</v>
      </c>
      <c r="I16" s="944">
        <f t="shared" ref="I16:I40" si="4">D16</f>
        <v>1181469</v>
      </c>
    </row>
    <row r="17" spans="2:9" x14ac:dyDescent="0.25">
      <c r="B17" s="40" t="s">
        <v>397</v>
      </c>
      <c r="C17" s="40"/>
      <c r="D17" s="50">
        <v>964902</v>
      </c>
      <c r="E17" s="146">
        <f t="shared" si="2"/>
        <v>1028585.532</v>
      </c>
      <c r="F17" s="146">
        <f t="shared" si="0"/>
        <v>1096472.1771120001</v>
      </c>
      <c r="G17" s="146">
        <f t="shared" si="3"/>
        <v>964902</v>
      </c>
      <c r="H17" s="146">
        <f t="shared" si="1"/>
        <v>964902</v>
      </c>
      <c r="I17" s="944">
        <f t="shared" si="4"/>
        <v>964902</v>
      </c>
    </row>
    <row r="18" spans="2:9" x14ac:dyDescent="0.25">
      <c r="B18" s="40" t="s">
        <v>398</v>
      </c>
      <c r="C18" s="40"/>
      <c r="D18" s="50">
        <v>630822</v>
      </c>
      <c r="E18" s="146">
        <f t="shared" si="2"/>
        <v>672456.25200000009</v>
      </c>
      <c r="F18" s="146">
        <f t="shared" si="0"/>
        <v>716838.3646320001</v>
      </c>
      <c r="G18" s="146">
        <f t="shared" si="3"/>
        <v>630822</v>
      </c>
      <c r="H18" s="146">
        <f t="shared" si="1"/>
        <v>630822</v>
      </c>
      <c r="I18" s="944">
        <f t="shared" si="4"/>
        <v>630822</v>
      </c>
    </row>
    <row r="19" spans="2:9" x14ac:dyDescent="0.25">
      <c r="B19" s="40" t="s">
        <v>5</v>
      </c>
      <c r="C19" s="40"/>
      <c r="D19" s="50">
        <v>337998</v>
      </c>
      <c r="E19" s="146">
        <f t="shared" si="2"/>
        <v>360305.86800000002</v>
      </c>
      <c r="F19" s="146">
        <f t="shared" si="0"/>
        <v>384086.05528800003</v>
      </c>
      <c r="G19" s="146">
        <f t="shared" si="3"/>
        <v>337998</v>
      </c>
      <c r="H19" s="146">
        <f t="shared" si="1"/>
        <v>337998</v>
      </c>
      <c r="I19" s="944">
        <f t="shared" si="4"/>
        <v>337998</v>
      </c>
    </row>
    <row r="20" spans="2:9" x14ac:dyDescent="0.25">
      <c r="B20" s="40" t="s">
        <v>399</v>
      </c>
      <c r="C20" s="40"/>
      <c r="D20" s="50">
        <v>227802</v>
      </c>
      <c r="E20" s="146">
        <f t="shared" si="2"/>
        <v>242836.932</v>
      </c>
      <c r="F20" s="146">
        <f t="shared" si="0"/>
        <v>258864.16951200002</v>
      </c>
      <c r="G20" s="146">
        <f t="shared" si="3"/>
        <v>227802</v>
      </c>
      <c r="H20" s="146">
        <f t="shared" si="1"/>
        <v>227802</v>
      </c>
      <c r="I20" s="944">
        <f t="shared" si="4"/>
        <v>227802</v>
      </c>
    </row>
    <row r="21" spans="2:9" x14ac:dyDescent="0.25">
      <c r="B21" s="40" t="s">
        <v>400</v>
      </c>
      <c r="C21" s="40"/>
      <c r="D21" s="50">
        <v>148584</v>
      </c>
      <c r="E21" s="146">
        <f t="shared" si="2"/>
        <v>158390.54399999999</v>
      </c>
      <c r="F21" s="146">
        <f t="shared" si="0"/>
        <v>168844.319904</v>
      </c>
      <c r="G21" s="146">
        <f t="shared" si="3"/>
        <v>148584</v>
      </c>
      <c r="H21" s="146">
        <f t="shared" si="1"/>
        <v>148584</v>
      </c>
      <c r="I21" s="944">
        <f t="shared" si="4"/>
        <v>148584</v>
      </c>
    </row>
    <row r="22" spans="2:9" x14ac:dyDescent="0.25">
      <c r="B22" s="40" t="s">
        <v>401</v>
      </c>
      <c r="C22" s="40"/>
      <c r="D22" s="50">
        <v>87330</v>
      </c>
      <c r="E22" s="146">
        <f t="shared" si="2"/>
        <v>93093.78</v>
      </c>
      <c r="F22" s="146">
        <f t="shared" si="0"/>
        <v>99237.96948</v>
      </c>
      <c r="G22" s="146">
        <f t="shared" si="3"/>
        <v>87330</v>
      </c>
      <c r="H22" s="146">
        <f t="shared" si="1"/>
        <v>87330</v>
      </c>
      <c r="I22" s="944">
        <f t="shared" si="4"/>
        <v>87330</v>
      </c>
    </row>
    <row r="23" spans="2:9" x14ac:dyDescent="0.25">
      <c r="E23" s="40"/>
      <c r="F23" s="40"/>
      <c r="G23" s="40"/>
      <c r="I23" s="944">
        <f t="shared" si="4"/>
        <v>0</v>
      </c>
    </row>
    <row r="24" spans="2:9" x14ac:dyDescent="0.25">
      <c r="B24" s="40" t="s">
        <v>1718</v>
      </c>
      <c r="D24" s="50">
        <v>98307</v>
      </c>
      <c r="E24" s="146">
        <f t="shared" ref="E24:E25" si="5">D24*(1+E$8)</f>
        <v>104795.262</v>
      </c>
      <c r="F24" s="146">
        <f t="shared" ref="F24:F25" si="6">E24*(1+F$8)</f>
        <v>111711.74929200001</v>
      </c>
      <c r="G24" s="146">
        <f t="shared" ref="G24:G25" si="7">D24*(1+G$8)</f>
        <v>98307</v>
      </c>
      <c r="H24" s="146">
        <f t="shared" ref="H24:H25" si="8">D24*(1+H$8)</f>
        <v>98307</v>
      </c>
      <c r="I24" s="944">
        <f t="shared" si="4"/>
        <v>98307</v>
      </c>
    </row>
    <row r="25" spans="2:9" x14ac:dyDescent="0.25">
      <c r="B25" s="40" t="s">
        <v>1681</v>
      </c>
      <c r="C25" s="40"/>
      <c r="D25" s="50">
        <v>139797</v>
      </c>
      <c r="E25" s="146">
        <f t="shared" si="5"/>
        <v>149023.60200000001</v>
      </c>
      <c r="F25" s="146">
        <f t="shared" si="6"/>
        <v>158859.15973200003</v>
      </c>
      <c r="G25" s="146">
        <f t="shared" si="7"/>
        <v>139797</v>
      </c>
      <c r="H25" s="146">
        <f t="shared" si="8"/>
        <v>139797</v>
      </c>
      <c r="I25" s="944">
        <f t="shared" si="4"/>
        <v>139797</v>
      </c>
    </row>
    <row r="26" spans="2:9" x14ac:dyDescent="0.25">
      <c r="B26" s="40" t="s">
        <v>1717</v>
      </c>
      <c r="C26" s="40"/>
      <c r="D26" s="50">
        <v>189003</v>
      </c>
      <c r="E26" s="146">
        <f t="shared" ref="E26:E36" si="9">D26*(1+E$8)</f>
        <v>201477.198</v>
      </c>
      <c r="F26" s="146">
        <f t="shared" ref="F26:F36" si="10">E26*(1+F$8)</f>
        <v>214774.69306800002</v>
      </c>
      <c r="G26" s="146">
        <f>D26*(1+G$8)</f>
        <v>189003</v>
      </c>
      <c r="H26" s="146">
        <f t="shared" ref="H26:H40" si="11">D26*(1+H$8)</f>
        <v>189003</v>
      </c>
      <c r="I26" s="944">
        <f t="shared" si="4"/>
        <v>189003</v>
      </c>
    </row>
    <row r="27" spans="2:9" x14ac:dyDescent="0.25">
      <c r="B27" s="40" t="s">
        <v>1145</v>
      </c>
      <c r="C27" s="40"/>
      <c r="D27" s="50">
        <v>212157</v>
      </c>
      <c r="E27" s="146">
        <f t="shared" si="9"/>
        <v>226159.36200000002</v>
      </c>
      <c r="F27" s="146">
        <f t="shared" si="10"/>
        <v>241085.87989200003</v>
      </c>
      <c r="G27" s="146">
        <f t="shared" ref="G27:G40" si="12">D27*(1+G$8)</f>
        <v>212157</v>
      </c>
      <c r="H27" s="146">
        <f t="shared" si="11"/>
        <v>212157</v>
      </c>
      <c r="I27" s="944">
        <f t="shared" si="4"/>
        <v>212157</v>
      </c>
    </row>
    <row r="28" spans="2:9" x14ac:dyDescent="0.25">
      <c r="B28" s="40" t="s">
        <v>878</v>
      </c>
      <c r="C28" s="40"/>
      <c r="D28" s="50">
        <v>320298</v>
      </c>
      <c r="E28" s="146">
        <f t="shared" si="9"/>
        <v>341437.66800000001</v>
      </c>
      <c r="F28" s="146">
        <f t="shared" si="10"/>
        <v>363972.55408800003</v>
      </c>
      <c r="G28" s="146">
        <f t="shared" si="12"/>
        <v>320298</v>
      </c>
      <c r="H28" s="146">
        <f t="shared" si="11"/>
        <v>320298</v>
      </c>
      <c r="I28" s="944">
        <f t="shared" si="4"/>
        <v>320298</v>
      </c>
    </row>
    <row r="29" spans="2:9" x14ac:dyDescent="0.25">
      <c r="B29" s="65" t="s">
        <v>419</v>
      </c>
      <c r="C29" s="40"/>
      <c r="D29" s="50">
        <v>383244</v>
      </c>
      <c r="E29" s="146">
        <f t="shared" si="9"/>
        <v>408538.10400000005</v>
      </c>
      <c r="F29" s="146">
        <f t="shared" si="10"/>
        <v>435501.61886400008</v>
      </c>
      <c r="G29" s="146">
        <f t="shared" si="12"/>
        <v>383244</v>
      </c>
      <c r="H29" s="146">
        <f t="shared" si="11"/>
        <v>383244</v>
      </c>
      <c r="I29" s="944">
        <f t="shared" si="4"/>
        <v>383244</v>
      </c>
    </row>
    <row r="30" spans="2:9" x14ac:dyDescent="0.25">
      <c r="B30" s="40" t="s">
        <v>1335</v>
      </c>
      <c r="C30" s="40"/>
      <c r="D30" s="50">
        <v>155001</v>
      </c>
      <c r="E30" s="146">
        <f t="shared" ref="E30" si="13">D30*(1+E$8)</f>
        <v>165231.06600000002</v>
      </c>
      <c r="F30" s="146">
        <f t="shared" ref="F30" si="14">E30*(1+F$8)</f>
        <v>176136.31635600002</v>
      </c>
      <c r="G30" s="146">
        <f t="shared" si="12"/>
        <v>155001</v>
      </c>
      <c r="H30" s="146">
        <f t="shared" si="11"/>
        <v>155001</v>
      </c>
      <c r="I30" s="944">
        <f t="shared" si="4"/>
        <v>155001</v>
      </c>
    </row>
    <row r="31" spans="2:9" x14ac:dyDescent="0.25">
      <c r="B31" s="65" t="s">
        <v>1149</v>
      </c>
      <c r="C31" s="40"/>
      <c r="D31" s="50">
        <v>356838</v>
      </c>
      <c r="E31" s="146">
        <f t="shared" si="9"/>
        <v>380389.30800000002</v>
      </c>
      <c r="F31" s="146">
        <f t="shared" si="10"/>
        <v>405495.00232800003</v>
      </c>
      <c r="G31" s="146">
        <f t="shared" si="12"/>
        <v>356838</v>
      </c>
      <c r="H31" s="146">
        <f t="shared" si="11"/>
        <v>356838</v>
      </c>
      <c r="I31" s="944">
        <f t="shared" si="4"/>
        <v>356838</v>
      </c>
    </row>
    <row r="32" spans="2:9" x14ac:dyDescent="0.25">
      <c r="B32" s="40" t="s">
        <v>421</v>
      </c>
      <c r="C32" s="40"/>
      <c r="D32" s="50">
        <v>383244</v>
      </c>
      <c r="E32" s="146">
        <f t="shared" si="9"/>
        <v>408538.10400000005</v>
      </c>
      <c r="F32" s="146">
        <f t="shared" si="10"/>
        <v>435501.61886400008</v>
      </c>
      <c r="G32" s="146">
        <f t="shared" si="12"/>
        <v>383244</v>
      </c>
      <c r="H32" s="146">
        <f t="shared" si="11"/>
        <v>383244</v>
      </c>
      <c r="I32" s="944">
        <f t="shared" si="4"/>
        <v>383244</v>
      </c>
    </row>
    <row r="33" spans="2:11" x14ac:dyDescent="0.25">
      <c r="B33" s="40" t="s">
        <v>716</v>
      </c>
      <c r="C33" s="40"/>
      <c r="D33" s="50">
        <v>416850</v>
      </c>
      <c r="E33" s="146">
        <f t="shared" si="9"/>
        <v>444362.10000000003</v>
      </c>
      <c r="F33" s="146">
        <f t="shared" si="10"/>
        <v>473689.99860000005</v>
      </c>
      <c r="G33" s="146">
        <f t="shared" si="12"/>
        <v>416850</v>
      </c>
      <c r="H33" s="146">
        <f t="shared" si="11"/>
        <v>416850</v>
      </c>
      <c r="I33" s="944">
        <f t="shared" si="4"/>
        <v>416850</v>
      </c>
    </row>
    <row r="34" spans="2:11" x14ac:dyDescent="0.25">
      <c r="B34" s="40" t="s">
        <v>715</v>
      </c>
      <c r="C34" s="40"/>
      <c r="D34" s="50">
        <v>455490</v>
      </c>
      <c r="E34" s="146">
        <f t="shared" si="9"/>
        <v>485552.34</v>
      </c>
      <c r="F34" s="146">
        <f t="shared" si="10"/>
        <v>517598.79444000003</v>
      </c>
      <c r="G34" s="146">
        <f t="shared" si="12"/>
        <v>455490</v>
      </c>
      <c r="H34" s="146">
        <f t="shared" si="11"/>
        <v>455490</v>
      </c>
      <c r="I34" s="944">
        <f t="shared" si="4"/>
        <v>455490</v>
      </c>
    </row>
    <row r="35" spans="2:11" x14ac:dyDescent="0.25">
      <c r="B35" s="40" t="s">
        <v>1192</v>
      </c>
      <c r="C35" s="40"/>
      <c r="D35" s="50">
        <v>285417</v>
      </c>
      <c r="E35" s="146">
        <f t="shared" ref="E35" si="15">D35*(1+E$8)</f>
        <v>304254.522</v>
      </c>
      <c r="F35" s="146">
        <f t="shared" ref="F35" si="16">E35*(1+F$8)</f>
        <v>324335.32045200001</v>
      </c>
      <c r="G35" s="146">
        <f t="shared" si="12"/>
        <v>285417</v>
      </c>
      <c r="H35" s="146">
        <f t="shared" si="11"/>
        <v>285417</v>
      </c>
      <c r="I35" s="944">
        <f t="shared" si="4"/>
        <v>285417</v>
      </c>
    </row>
    <row r="36" spans="2:11" x14ac:dyDescent="0.25">
      <c r="B36" s="40" t="s">
        <v>420</v>
      </c>
      <c r="C36" s="40"/>
      <c r="D36" s="50">
        <v>852147</v>
      </c>
      <c r="E36" s="146">
        <f t="shared" si="9"/>
        <v>908388.70200000005</v>
      </c>
      <c r="F36" s="146">
        <f t="shared" si="10"/>
        <v>968342.35633200011</v>
      </c>
      <c r="G36" s="146">
        <f t="shared" si="12"/>
        <v>852147</v>
      </c>
      <c r="H36" s="146">
        <f t="shared" si="11"/>
        <v>852147</v>
      </c>
      <c r="I36" s="944">
        <f t="shared" si="4"/>
        <v>852147</v>
      </c>
    </row>
    <row r="37" spans="2:11" x14ac:dyDescent="0.25">
      <c r="B37" s="65" t="s">
        <v>1146</v>
      </c>
      <c r="C37" s="40"/>
      <c r="D37" s="50">
        <v>580398</v>
      </c>
      <c r="E37" s="146">
        <f t="shared" ref="E37:E40" si="17">D37*(1+E$8)</f>
        <v>618704.26800000004</v>
      </c>
      <c r="F37" s="146">
        <f t="shared" ref="F37:F40" si="18">E37*(1+F$8)</f>
        <v>659538.74968800007</v>
      </c>
      <c r="G37" s="146">
        <f t="shared" si="12"/>
        <v>580398</v>
      </c>
      <c r="H37" s="146">
        <f t="shared" si="11"/>
        <v>580398</v>
      </c>
      <c r="I37" s="944">
        <f t="shared" si="4"/>
        <v>580398</v>
      </c>
    </row>
    <row r="38" spans="2:11" x14ac:dyDescent="0.25">
      <c r="B38" s="65" t="s">
        <v>1147</v>
      </c>
      <c r="C38" s="40"/>
      <c r="D38" s="50">
        <v>781710</v>
      </c>
      <c r="E38" s="146">
        <f t="shared" si="17"/>
        <v>833302.8600000001</v>
      </c>
      <c r="F38" s="146">
        <f t="shared" si="18"/>
        <v>888300.8487600002</v>
      </c>
      <c r="G38" s="146">
        <f t="shared" si="12"/>
        <v>781710</v>
      </c>
      <c r="H38" s="146">
        <f t="shared" si="11"/>
        <v>781710</v>
      </c>
      <c r="I38" s="944">
        <f t="shared" si="4"/>
        <v>781710</v>
      </c>
    </row>
    <row r="39" spans="2:11" x14ac:dyDescent="0.25">
      <c r="B39" s="65" t="s">
        <v>48</v>
      </c>
      <c r="D39" s="50">
        <v>1331964</v>
      </c>
      <c r="E39" s="146">
        <f t="shared" si="17"/>
        <v>1419873.6240000001</v>
      </c>
      <c r="F39" s="146">
        <f t="shared" si="18"/>
        <v>1513585.2831840001</v>
      </c>
      <c r="G39" s="146">
        <f t="shared" si="12"/>
        <v>1331964</v>
      </c>
      <c r="H39" s="146">
        <f t="shared" si="11"/>
        <v>1331964</v>
      </c>
      <c r="I39" s="944">
        <f t="shared" si="4"/>
        <v>1331964</v>
      </c>
    </row>
    <row r="40" spans="2:11" x14ac:dyDescent="0.25">
      <c r="B40" s="65" t="s">
        <v>1148</v>
      </c>
      <c r="D40" s="50">
        <v>1240191</v>
      </c>
      <c r="E40" s="146">
        <f t="shared" si="17"/>
        <v>1322043.6060000001</v>
      </c>
      <c r="F40" s="146">
        <f t="shared" si="18"/>
        <v>1409298.4839960001</v>
      </c>
      <c r="G40" s="146">
        <f t="shared" si="12"/>
        <v>1240191</v>
      </c>
      <c r="H40" s="146">
        <f t="shared" si="11"/>
        <v>1240191</v>
      </c>
      <c r="I40" s="944">
        <f t="shared" si="4"/>
        <v>1240191</v>
      </c>
    </row>
    <row r="41" spans="2:11" x14ac:dyDescent="0.25">
      <c r="B41" s="40"/>
      <c r="C41" s="40"/>
      <c r="E41" s="51"/>
      <c r="F41" s="52"/>
      <c r="G41" s="52"/>
      <c r="H41" s="52"/>
      <c r="I41" s="52"/>
    </row>
    <row r="42" spans="2:11" x14ac:dyDescent="0.25">
      <c r="B42" s="53" t="s">
        <v>391</v>
      </c>
      <c r="C42" s="53"/>
      <c r="D42" s="53"/>
      <c r="E42" s="363" t="s">
        <v>997</v>
      </c>
      <c r="F42" s="55"/>
      <c r="G42" s="56"/>
      <c r="H42" s="57"/>
      <c r="I42" s="57"/>
    </row>
    <row r="43" spans="2:11" x14ac:dyDescent="0.25">
      <c r="B43" s="58" t="s">
        <v>402</v>
      </c>
      <c r="C43" s="58"/>
      <c r="D43" s="59">
        <v>215</v>
      </c>
      <c r="E43" s="194">
        <f>D43</f>
        <v>215</v>
      </c>
      <c r="G43" s="60"/>
      <c r="H43" s="52"/>
      <c r="I43" s="52"/>
    </row>
    <row r="44" spans="2:11" x14ac:dyDescent="0.25">
      <c r="B44" s="58" t="s">
        <v>403</v>
      </c>
      <c r="C44" s="58"/>
      <c r="D44" s="61">
        <v>0.1</v>
      </c>
      <c r="E44" s="194">
        <f>E43*D44</f>
        <v>21.5</v>
      </c>
      <c r="G44" s="60"/>
      <c r="H44" s="52"/>
      <c r="I44" s="52"/>
    </row>
    <row r="45" spans="2:11" x14ac:dyDescent="0.25">
      <c r="B45" s="58" t="s">
        <v>404</v>
      </c>
      <c r="C45" s="58"/>
      <c r="D45" s="62"/>
      <c r="E45" s="194">
        <f>E43-E44</f>
        <v>193.5</v>
      </c>
      <c r="G45" s="60"/>
      <c r="H45" s="52"/>
      <c r="I45" s="52"/>
      <c r="K45" s="63"/>
    </row>
    <row r="46" spans="2:11" x14ac:dyDescent="0.25">
      <c r="B46" s="58" t="s">
        <v>734</v>
      </c>
      <c r="C46" s="58"/>
      <c r="D46" s="59">
        <v>8</v>
      </c>
      <c r="E46" s="194">
        <f>E45*D46</f>
        <v>1548</v>
      </c>
      <c r="G46" s="60"/>
      <c r="H46" s="52"/>
      <c r="I46" s="52"/>
      <c r="K46" s="63"/>
    </row>
    <row r="47" spans="2:11" x14ac:dyDescent="0.25">
      <c r="B47" s="58" t="s">
        <v>733</v>
      </c>
      <c r="C47" s="58"/>
      <c r="D47" s="62"/>
      <c r="E47" s="194">
        <f>E46*60</f>
        <v>92880</v>
      </c>
      <c r="G47" s="60"/>
      <c r="H47" s="52"/>
      <c r="I47" s="52"/>
      <c r="K47" s="63"/>
    </row>
    <row r="48" spans="2:11" x14ac:dyDescent="0.25">
      <c r="B48" s="40"/>
      <c r="C48" s="40"/>
      <c r="D48" s="40"/>
      <c r="E48" s="51"/>
      <c r="F48" s="52"/>
      <c r="G48" s="52"/>
      <c r="H48" s="52"/>
      <c r="I48" s="52"/>
    </row>
    <row r="49" spans="2:9" x14ac:dyDescent="0.25">
      <c r="B49" s="53" t="s">
        <v>700</v>
      </c>
      <c r="C49" s="53"/>
      <c r="D49" s="53"/>
      <c r="E49" s="54"/>
      <c r="F49" s="55"/>
      <c r="G49" s="56"/>
      <c r="H49" s="57"/>
      <c r="I49" s="57"/>
    </row>
    <row r="50" spans="2:9" x14ac:dyDescent="0.25">
      <c r="B50" s="40" t="s">
        <v>652</v>
      </c>
      <c r="D50" s="50">
        <v>12000</v>
      </c>
      <c r="E50" s="146">
        <f>D50*(1+E$6)</f>
        <v>12672</v>
      </c>
      <c r="F50" s="146">
        <f t="shared" ref="F50" si="19">E50*(1+F$6)</f>
        <v>13381.632000000001</v>
      </c>
      <c r="G50" s="146">
        <f>D50*(1+G$6)</f>
        <v>12000</v>
      </c>
      <c r="H50" s="146">
        <f>D50*(1+H$6)</f>
        <v>12000</v>
      </c>
      <c r="I50" s="146">
        <f>D50*(1+I$6)</f>
        <v>12000</v>
      </c>
    </row>
    <row r="51" spans="2:9" x14ac:dyDescent="0.25">
      <c r="B51" s="40" t="s">
        <v>653</v>
      </c>
      <c r="D51" s="50">
        <v>9000</v>
      </c>
      <c r="E51" s="146">
        <f t="shared" ref="E51:E52" si="20">D51*(1+E$6)</f>
        <v>9504</v>
      </c>
      <c r="F51" s="146">
        <f t="shared" ref="F51:F52" si="21">E51*(1+F$6)</f>
        <v>10036.224</v>
      </c>
      <c r="G51" s="146">
        <f t="shared" ref="G51:G54" si="22">D51*(1+G$6)</f>
        <v>9000</v>
      </c>
      <c r="H51" s="146">
        <f>D51*(1+H$6)</f>
        <v>9000</v>
      </c>
      <c r="I51" s="146">
        <f>D51*(1+I$6)</f>
        <v>9000</v>
      </c>
    </row>
    <row r="52" spans="2:9" x14ac:dyDescent="0.25">
      <c r="B52" s="40" t="s">
        <v>654</v>
      </c>
      <c r="D52" s="50">
        <v>250</v>
      </c>
      <c r="E52" s="146">
        <f t="shared" si="20"/>
        <v>264</v>
      </c>
      <c r="F52" s="146">
        <f t="shared" si="21"/>
        <v>278.78399999999999</v>
      </c>
      <c r="G52" s="146">
        <f>D52*(1+G$6)</f>
        <v>250</v>
      </c>
      <c r="H52" s="146">
        <f>D52*(1+H$6)</f>
        <v>250</v>
      </c>
      <c r="I52" s="146">
        <f>D52*(1+I$6)</f>
        <v>250</v>
      </c>
    </row>
    <row r="53" spans="2:9" x14ac:dyDescent="0.25">
      <c r="B53" s="65" t="s">
        <v>941</v>
      </c>
      <c r="D53" s="50">
        <v>2700</v>
      </c>
      <c r="E53" s="146">
        <f t="shared" ref="E53:E54" si="23">D53*(1+E$6)</f>
        <v>2851.2000000000003</v>
      </c>
      <c r="F53" s="146">
        <f t="shared" ref="F53:F54" si="24">E53*(1+F$6)</f>
        <v>3010.8672000000006</v>
      </c>
      <c r="G53" s="146">
        <f t="shared" si="22"/>
        <v>2700</v>
      </c>
      <c r="H53" s="146">
        <f>D53*(1+H$6)</f>
        <v>2700</v>
      </c>
      <c r="I53" s="146">
        <f>D53*(1+I$6)</f>
        <v>2700</v>
      </c>
    </row>
    <row r="54" spans="2:9" x14ac:dyDescent="0.25">
      <c r="B54" s="65" t="s">
        <v>942</v>
      </c>
      <c r="D54" s="50">
        <v>250</v>
      </c>
      <c r="E54" s="146">
        <f t="shared" si="23"/>
        <v>264</v>
      </c>
      <c r="F54" s="146">
        <f t="shared" si="24"/>
        <v>278.78399999999999</v>
      </c>
      <c r="G54" s="146">
        <f t="shared" si="22"/>
        <v>250</v>
      </c>
      <c r="H54" s="146">
        <f>D54*(1+H$6)</f>
        <v>250</v>
      </c>
      <c r="I54" s="146">
        <f>D54*(1+I$6)</f>
        <v>250</v>
      </c>
    </row>
    <row r="55" spans="2:9" x14ac:dyDescent="0.25">
      <c r="B55" s="5"/>
    </row>
    <row r="56" spans="2:9" x14ac:dyDescent="0.25">
      <c r="B56" s="53" t="s">
        <v>695</v>
      </c>
      <c r="C56" s="53"/>
      <c r="D56" s="53"/>
      <c r="E56" s="54"/>
      <c r="F56" s="55"/>
      <c r="G56" s="56"/>
      <c r="H56" s="57"/>
      <c r="I56" s="57"/>
    </row>
    <row r="57" spans="2:9" x14ac:dyDescent="0.25">
      <c r="B57" s="40" t="s">
        <v>696</v>
      </c>
      <c r="D57" s="50">
        <v>1350</v>
      </c>
      <c r="E57" s="146">
        <f>D57*(1+E$6)</f>
        <v>1425.6000000000001</v>
      </c>
      <c r="F57" s="146">
        <f t="shared" ref="F57" si="25">E57*(1+F$6)</f>
        <v>1505.4336000000003</v>
      </c>
      <c r="G57" s="146">
        <f>D57*(1+G$6)</f>
        <v>1350</v>
      </c>
      <c r="H57" s="146">
        <f>D57*(1+H$6)</f>
        <v>1350</v>
      </c>
      <c r="I57" s="146">
        <f>D57*(1+I$6)</f>
        <v>1350</v>
      </c>
    </row>
    <row r="58" spans="2:9" x14ac:dyDescent="0.25">
      <c r="B58" s="40" t="s">
        <v>697</v>
      </c>
      <c r="D58" s="50">
        <v>3500</v>
      </c>
      <c r="E58" s="146">
        <f t="shared" ref="E58:F60" si="26">D58*(1+E$6)</f>
        <v>3696</v>
      </c>
      <c r="F58" s="146">
        <f t="shared" si="26"/>
        <v>3902.9760000000001</v>
      </c>
      <c r="G58" s="146">
        <f t="shared" ref="G58:G60" si="27">D58*(1+G$6)</f>
        <v>3500</v>
      </c>
      <c r="H58" s="146">
        <f>D58*(1+H$6)</f>
        <v>3500</v>
      </c>
      <c r="I58" s="146">
        <f>D58*(1+I$6)</f>
        <v>3500</v>
      </c>
    </row>
    <row r="59" spans="2:9" x14ac:dyDescent="0.25">
      <c r="B59" s="40" t="s">
        <v>701</v>
      </c>
      <c r="D59" s="50">
        <v>800</v>
      </c>
      <c r="E59" s="146">
        <f t="shared" si="26"/>
        <v>844.80000000000007</v>
      </c>
      <c r="F59" s="146">
        <f t="shared" si="26"/>
        <v>892.10880000000009</v>
      </c>
      <c r="G59" s="146">
        <f t="shared" si="27"/>
        <v>800</v>
      </c>
      <c r="H59" s="146">
        <f>D59*(1+H$6)</f>
        <v>800</v>
      </c>
      <c r="I59" s="146">
        <f>D59*(1+I$6)</f>
        <v>800</v>
      </c>
    </row>
    <row r="60" spans="2:9" x14ac:dyDescent="0.25">
      <c r="B60" s="40" t="s">
        <v>738</v>
      </c>
      <c r="D60" s="195">
        <v>3.25</v>
      </c>
      <c r="E60" s="214">
        <f t="shared" si="26"/>
        <v>3.4320000000000004</v>
      </c>
      <c r="F60" s="214">
        <f t="shared" si="26"/>
        <v>3.6241920000000007</v>
      </c>
      <c r="G60" s="214">
        <f t="shared" si="27"/>
        <v>3.25</v>
      </c>
      <c r="H60" s="214">
        <f>D60*(1+H$6)</f>
        <v>3.25</v>
      </c>
      <c r="I60" s="214">
        <f>D60*(1+I$6)</f>
        <v>3.25</v>
      </c>
    </row>
    <row r="61" spans="2:9" x14ac:dyDescent="0.25">
      <c r="B61" s="40"/>
    </row>
    <row r="62" spans="2:9" x14ac:dyDescent="0.25">
      <c r="B62" s="53" t="s">
        <v>893</v>
      </c>
      <c r="C62" s="53"/>
      <c r="D62" s="53"/>
      <c r="E62" s="54"/>
      <c r="F62" s="55"/>
      <c r="G62" s="56"/>
      <c r="H62" s="57"/>
      <c r="I62" s="57"/>
    </row>
    <row r="63" spans="2:9" s="204" customFormat="1" x14ac:dyDescent="0.2">
      <c r="B63" s="199"/>
      <c r="C63" s="199"/>
      <c r="D63" s="199"/>
      <c r="E63" s="200"/>
      <c r="F63" s="201"/>
      <c r="G63" s="202"/>
      <c r="H63" s="203"/>
      <c r="I63" s="203"/>
    </row>
    <row r="64" spans="2:9" x14ac:dyDescent="0.25">
      <c r="B64" s="205" t="s">
        <v>752</v>
      </c>
    </row>
    <row r="65" spans="2:9" x14ac:dyDescent="0.25">
      <c r="B65" s="40" t="s">
        <v>718</v>
      </c>
      <c r="D65" s="50">
        <v>8500</v>
      </c>
      <c r="E65" s="146">
        <f>D65*(1+E$6)</f>
        <v>8976</v>
      </c>
      <c r="F65" s="146">
        <f t="shared" ref="F65" si="28">E65*(1+F$6)</f>
        <v>9478.6560000000009</v>
      </c>
      <c r="G65" s="146">
        <f>D65*(1+G$6)</f>
        <v>8500</v>
      </c>
      <c r="H65" s="146">
        <f>D65*(1+H$6)</f>
        <v>8500</v>
      </c>
      <c r="I65" s="146">
        <f>D65*(1+I$6)</f>
        <v>8500</v>
      </c>
    </row>
    <row r="66" spans="2:9" x14ac:dyDescent="0.25">
      <c r="B66" s="40" t="s">
        <v>754</v>
      </c>
      <c r="D66" s="144">
        <v>30</v>
      </c>
      <c r="E66" s="144">
        <v>30</v>
      </c>
      <c r="F66" s="144">
        <v>30</v>
      </c>
      <c r="G66" s="144">
        <v>30</v>
      </c>
      <c r="H66" s="144">
        <v>30</v>
      </c>
      <c r="I66" s="144">
        <v>30</v>
      </c>
    </row>
    <row r="67" spans="2:9" x14ac:dyDescent="0.25">
      <c r="B67" s="40" t="s">
        <v>698</v>
      </c>
      <c r="D67" s="50">
        <v>450</v>
      </c>
      <c r="E67" s="146">
        <f t="shared" ref="E67:F68" si="29">D67*(1+E$6)</f>
        <v>475.20000000000005</v>
      </c>
      <c r="F67" s="146">
        <f t="shared" si="29"/>
        <v>501.8112000000001</v>
      </c>
      <c r="G67" s="146">
        <f>D67*(1+G$6)</f>
        <v>450</v>
      </c>
      <c r="H67" s="146">
        <f>D67*(1+H$6)</f>
        <v>450</v>
      </c>
      <c r="I67" s="146">
        <f>D67*(1+I$6)</f>
        <v>450</v>
      </c>
    </row>
    <row r="68" spans="2:9" x14ac:dyDescent="0.25">
      <c r="B68" s="40" t="s">
        <v>699</v>
      </c>
      <c r="D68" s="50">
        <v>8000</v>
      </c>
      <c r="E68" s="146">
        <f t="shared" si="29"/>
        <v>8448</v>
      </c>
      <c r="F68" s="146">
        <f t="shared" si="29"/>
        <v>8921.0879999999997</v>
      </c>
      <c r="G68" s="146">
        <f>D68*(1+G$6)</f>
        <v>8000</v>
      </c>
      <c r="H68" s="146">
        <f>D68*(1+H$6)</f>
        <v>8000</v>
      </c>
      <c r="I68" s="146">
        <f>D68*(1+I$6)</f>
        <v>8000</v>
      </c>
    </row>
    <row r="69" spans="2:9" x14ac:dyDescent="0.25">
      <c r="B69" s="40" t="s">
        <v>753</v>
      </c>
      <c r="D69" s="145">
        <f>D66*D67+D68+D65</f>
        <v>30000</v>
      </c>
      <c r="E69" s="145">
        <f t="shared" ref="E69:I69" si="30">E66*E67+E68+E65</f>
        <v>31680</v>
      </c>
      <c r="F69" s="145">
        <f t="shared" si="30"/>
        <v>33454.080000000002</v>
      </c>
      <c r="G69" s="145">
        <f t="shared" si="30"/>
        <v>30000</v>
      </c>
      <c r="H69" s="145">
        <f t="shared" ref="H69" si="31">H66*H67+H68+H65</f>
        <v>30000</v>
      </c>
      <c r="I69" s="145">
        <f t="shared" si="30"/>
        <v>30000</v>
      </c>
    </row>
    <row r="70" spans="2:9" x14ac:dyDescent="0.25">
      <c r="B70" s="40"/>
      <c r="C70" s="40"/>
      <c r="D70" s="738"/>
      <c r="E70" s="40"/>
      <c r="F70" s="40"/>
      <c r="G70" s="40"/>
      <c r="H70" s="40"/>
      <c r="I70" s="40"/>
    </row>
    <row r="71" spans="2:9" x14ac:dyDescent="0.25">
      <c r="B71" s="205" t="s">
        <v>880</v>
      </c>
    </row>
    <row r="72" spans="2:9" x14ac:dyDescent="0.25">
      <c r="B72" s="40" t="s">
        <v>718</v>
      </c>
      <c r="D72" s="50">
        <v>3500</v>
      </c>
      <c r="E72" s="146">
        <f>D72*(1+E$6)</f>
        <v>3696</v>
      </c>
      <c r="F72" s="146">
        <f t="shared" ref="F72" si="32">E72*(1+F$6)</f>
        <v>3902.9760000000001</v>
      </c>
      <c r="G72" s="146">
        <f>D72*(1+G$6)</f>
        <v>3500</v>
      </c>
      <c r="H72" s="146">
        <f>D72*(1+H$6)</f>
        <v>3500</v>
      </c>
      <c r="I72" s="146">
        <f>D72*(1+I$6)</f>
        <v>3500</v>
      </c>
    </row>
    <row r="73" spans="2:9" x14ac:dyDescent="0.25">
      <c r="B73" s="40" t="s">
        <v>754</v>
      </c>
      <c r="D73" s="144">
        <v>30</v>
      </c>
      <c r="E73" s="144">
        <v>30</v>
      </c>
      <c r="F73" s="144">
        <v>30</v>
      </c>
      <c r="G73" s="144">
        <v>30</v>
      </c>
      <c r="H73" s="144">
        <v>30</v>
      </c>
      <c r="I73" s="144">
        <v>30</v>
      </c>
    </row>
    <row r="74" spans="2:9" x14ac:dyDescent="0.25">
      <c r="B74" s="40" t="s">
        <v>698</v>
      </c>
      <c r="D74" s="50">
        <v>150</v>
      </c>
      <c r="E74" s="146">
        <f t="shared" ref="E74:F74" si="33">D74*(1+E$6)</f>
        <v>158.4</v>
      </c>
      <c r="F74" s="146">
        <f t="shared" si="33"/>
        <v>167.27040000000002</v>
      </c>
      <c r="G74" s="146">
        <f>D74*(1+G$6)</f>
        <v>150</v>
      </c>
      <c r="H74" s="146">
        <f>D74*(1+H$6)</f>
        <v>150</v>
      </c>
      <c r="I74" s="146">
        <f>D74*(1+I$6)</f>
        <v>150</v>
      </c>
    </row>
    <row r="75" spans="2:9" x14ac:dyDescent="0.25">
      <c r="B75" s="40" t="s">
        <v>699</v>
      </c>
      <c r="D75" s="50">
        <v>8000</v>
      </c>
      <c r="E75" s="146">
        <f t="shared" ref="E75:F75" si="34">D75*(1+E$6)</f>
        <v>8448</v>
      </c>
      <c r="F75" s="146">
        <f t="shared" si="34"/>
        <v>8921.0879999999997</v>
      </c>
      <c r="G75" s="146">
        <f>D75*(1+G$6)</f>
        <v>8000</v>
      </c>
      <c r="H75" s="146">
        <f>D75*(1+H$6)</f>
        <v>8000</v>
      </c>
      <c r="I75" s="146">
        <f>D75*(1+I$6)</f>
        <v>8000</v>
      </c>
    </row>
    <row r="76" spans="2:9" x14ac:dyDescent="0.25">
      <c r="B76" s="40" t="s">
        <v>753</v>
      </c>
      <c r="D76" s="145">
        <f>D73*D74+D75+D72</f>
        <v>16000</v>
      </c>
      <c r="E76" s="145">
        <f t="shared" ref="E76:I76" si="35">E73*E74+E75+E72</f>
        <v>16896</v>
      </c>
      <c r="F76" s="145">
        <f t="shared" si="35"/>
        <v>17842.175999999999</v>
      </c>
      <c r="G76" s="145">
        <f t="shared" si="35"/>
        <v>16000</v>
      </c>
      <c r="H76" s="145">
        <f t="shared" ref="H76" si="36">H73*H74+H75+H72</f>
        <v>16000</v>
      </c>
      <c r="I76" s="145">
        <f t="shared" si="35"/>
        <v>16000</v>
      </c>
    </row>
    <row r="77" spans="2:9" x14ac:dyDescent="0.25">
      <c r="B77" s="40"/>
      <c r="C77" s="40"/>
      <c r="D77" s="40"/>
      <c r="E77" s="40"/>
      <c r="F77" s="40"/>
      <c r="G77" s="40"/>
      <c r="H77" s="40"/>
      <c r="I77" s="40"/>
    </row>
    <row r="78" spans="2:9" x14ac:dyDescent="0.25">
      <c r="B78" s="53" t="s">
        <v>1152</v>
      </c>
      <c r="C78" s="53"/>
      <c r="D78" s="53"/>
      <c r="E78" s="54"/>
      <c r="F78" s="55"/>
      <c r="G78" s="56"/>
      <c r="H78" s="57"/>
      <c r="I78" s="57"/>
    </row>
    <row r="79" spans="2:9" hidden="1" x14ac:dyDescent="0.25">
      <c r="B79" s="53" t="s">
        <v>702</v>
      </c>
      <c r="C79" s="53"/>
      <c r="D79" s="53"/>
      <c r="E79" s="54"/>
      <c r="F79" s="55"/>
      <c r="G79" s="56"/>
      <c r="H79" s="57"/>
      <c r="I79" s="57"/>
    </row>
    <row r="80" spans="2:9" hidden="1" x14ac:dyDescent="0.25"/>
    <row r="81" spans="2:9" hidden="1" x14ac:dyDescent="0.25">
      <c r="B81" s="40" t="s">
        <v>710</v>
      </c>
      <c r="D81" s="50">
        <v>125000</v>
      </c>
      <c r="E81" s="146">
        <f>D81*(1+E$6)</f>
        <v>132000</v>
      </c>
      <c r="F81" s="146">
        <f t="shared" ref="F81:G81" si="37">E81*(1+F$6)</f>
        <v>139392</v>
      </c>
      <c r="G81" s="146">
        <f t="shared" si="37"/>
        <v>139392</v>
      </c>
      <c r="H81" s="146">
        <f>I81*(1+H$6)</f>
        <v>139392</v>
      </c>
      <c r="I81" s="146">
        <f>G81*(1+I$6)</f>
        <v>139392</v>
      </c>
    </row>
    <row r="82" spans="2:9" hidden="1" x14ac:dyDescent="0.25">
      <c r="B82" s="40" t="s">
        <v>713</v>
      </c>
      <c r="D82" s="50">
        <v>12600</v>
      </c>
      <c r="E82" s="146">
        <f t="shared" ref="E82:G83" si="38">D82*(1+E$6)</f>
        <v>13305.6</v>
      </c>
      <c r="F82" s="146">
        <f t="shared" si="38"/>
        <v>14050.713600000001</v>
      </c>
      <c r="G82" s="146">
        <f t="shared" si="38"/>
        <v>14050.713600000001</v>
      </c>
      <c r="H82" s="146">
        <f>I82*(1+H$6)</f>
        <v>14050.713600000001</v>
      </c>
      <c r="I82" s="146">
        <f>G82*(1+I$6)</f>
        <v>14050.713600000001</v>
      </c>
    </row>
    <row r="83" spans="2:9" hidden="1" x14ac:dyDescent="0.25">
      <c r="B83" s="40" t="s">
        <v>703</v>
      </c>
      <c r="D83" s="50">
        <v>1500</v>
      </c>
      <c r="E83" s="146">
        <f t="shared" si="38"/>
        <v>1584</v>
      </c>
      <c r="F83" s="146">
        <f t="shared" si="38"/>
        <v>1672.7040000000002</v>
      </c>
      <c r="G83" s="146">
        <f t="shared" si="38"/>
        <v>1672.7040000000002</v>
      </c>
      <c r="H83" s="146">
        <f>I83*(1+H$6)</f>
        <v>1672.7040000000002</v>
      </c>
      <c r="I83" s="146">
        <f>G83*(1+I$6)</f>
        <v>1672.7040000000002</v>
      </c>
    </row>
    <row r="84" spans="2:9" hidden="1" x14ac:dyDescent="0.25">
      <c r="B84" s="40" t="s">
        <v>898</v>
      </c>
      <c r="D84" s="50">
        <v>15000</v>
      </c>
      <c r="E84" s="146">
        <f t="shared" ref="E84" si="39">D84*(1+E$6)</f>
        <v>15840</v>
      </c>
      <c r="F84" s="146">
        <f t="shared" ref="F84" si="40">E84*(1+F$6)</f>
        <v>16727.04</v>
      </c>
      <c r="G84" s="146">
        <f t="shared" ref="G84" si="41">F84*(1+G$6)</f>
        <v>16727.04</v>
      </c>
      <c r="H84" s="146">
        <f>I84*(1+H$6)</f>
        <v>16727.04</v>
      </c>
      <c r="I84" s="146">
        <f>G84*(1+I$6)</f>
        <v>16727.04</v>
      </c>
    </row>
    <row r="85" spans="2:9" hidden="1" x14ac:dyDescent="0.25">
      <c r="B85" s="40"/>
    </row>
    <row r="86" spans="2:9" hidden="1" x14ac:dyDescent="0.25">
      <c r="B86" s="40" t="s">
        <v>709</v>
      </c>
      <c r="D86" s="50">
        <v>250000</v>
      </c>
      <c r="E86" s="146">
        <f t="shared" ref="E86:G86" si="42">D86*(1+E$6)</f>
        <v>264000</v>
      </c>
      <c r="F86" s="146">
        <f t="shared" si="42"/>
        <v>278784</v>
      </c>
      <c r="G86" s="146">
        <f t="shared" si="42"/>
        <v>278784</v>
      </c>
      <c r="H86" s="146">
        <f>I86*(1+H$6)</f>
        <v>278784</v>
      </c>
      <c r="I86" s="146">
        <f>G86*(1+I$6)</f>
        <v>278784</v>
      </c>
    </row>
    <row r="87" spans="2:9" hidden="1" x14ac:dyDescent="0.25">
      <c r="B87" s="40" t="s">
        <v>708</v>
      </c>
    </row>
    <row r="88" spans="2:9" hidden="1" x14ac:dyDescent="0.25">
      <c r="B88" s="147" t="s">
        <v>711</v>
      </c>
      <c r="D88" s="50">
        <v>110000</v>
      </c>
      <c r="E88" s="146">
        <f t="shared" ref="E88:G88" si="43">D88*(1+E$6)</f>
        <v>116160</v>
      </c>
      <c r="F88" s="146">
        <f t="shared" si="43"/>
        <v>122664.96000000001</v>
      </c>
      <c r="G88" s="146">
        <f t="shared" si="43"/>
        <v>122664.96000000001</v>
      </c>
      <c r="H88" s="146">
        <f>I88*(1+H$6)</f>
        <v>122664.96000000001</v>
      </c>
      <c r="I88" s="146">
        <f>G88*(1+I$6)</f>
        <v>122664.96000000001</v>
      </c>
    </row>
    <row r="89" spans="2:9" hidden="1" x14ac:dyDescent="0.25">
      <c r="B89" s="147" t="s">
        <v>712</v>
      </c>
      <c r="D89" s="50">
        <v>17000</v>
      </c>
      <c r="E89" s="146">
        <f t="shared" ref="E89:G89" si="44">D89*(1+E$6)</f>
        <v>17952</v>
      </c>
      <c r="F89" s="146">
        <f t="shared" si="44"/>
        <v>18957.312000000002</v>
      </c>
      <c r="G89" s="146">
        <f t="shared" si="44"/>
        <v>18957.312000000002</v>
      </c>
      <c r="H89" s="146">
        <f>I89*(1+H$6)</f>
        <v>18957.312000000002</v>
      </c>
      <c r="I89" s="146">
        <f>G89*(1+I$6)</f>
        <v>18957.312000000002</v>
      </c>
    </row>
    <row r="90" spans="2:9" hidden="1" x14ac:dyDescent="0.25">
      <c r="B90" s="40"/>
      <c r="C90" s="40"/>
      <c r="D90" s="40"/>
      <c r="E90" s="40"/>
      <c r="F90" s="40"/>
      <c r="G90" s="40"/>
      <c r="H90" s="40"/>
      <c r="I90" s="40"/>
    </row>
    <row r="91" spans="2:9" hidden="1" x14ac:dyDescent="0.25">
      <c r="B91" s="40" t="s">
        <v>704</v>
      </c>
      <c r="D91" s="50">
        <v>15000</v>
      </c>
      <c r="E91" s="146">
        <f t="shared" ref="E91:G91" si="45">D91*(1+E$6)</f>
        <v>15840</v>
      </c>
      <c r="F91" s="146">
        <f t="shared" si="45"/>
        <v>16727.04</v>
      </c>
      <c r="G91" s="146">
        <f t="shared" si="45"/>
        <v>16727.04</v>
      </c>
      <c r="H91" s="146">
        <f>I91*(1+H$6)</f>
        <v>16727.04</v>
      </c>
      <c r="I91" s="146">
        <f>G91*(1+I$6)</f>
        <v>16727.04</v>
      </c>
    </row>
    <row r="92" spans="2:9" hidden="1" x14ac:dyDescent="0.25">
      <c r="B92" s="40" t="s">
        <v>705</v>
      </c>
      <c r="D92" s="50">
        <v>9000</v>
      </c>
      <c r="E92" s="146">
        <f t="shared" ref="E92:G92" si="46">D92*(1+E$6)</f>
        <v>9504</v>
      </c>
      <c r="F92" s="146">
        <f t="shared" si="46"/>
        <v>10036.224</v>
      </c>
      <c r="G92" s="146">
        <f t="shared" si="46"/>
        <v>10036.224</v>
      </c>
      <c r="H92" s="146">
        <f>I92*(1+H$6)</f>
        <v>10036.224</v>
      </c>
      <c r="I92" s="146">
        <f>G92*(1+I$6)</f>
        <v>10036.224</v>
      </c>
    </row>
    <row r="93" spans="2:9" hidden="1" x14ac:dyDescent="0.25">
      <c r="B93" s="40" t="s">
        <v>719</v>
      </c>
      <c r="D93" s="50">
        <v>2500</v>
      </c>
      <c r="E93" s="146">
        <f t="shared" ref="E93:G93" si="47">D93*(1+E$6)</f>
        <v>2640</v>
      </c>
      <c r="F93" s="146">
        <f t="shared" si="47"/>
        <v>2787.84</v>
      </c>
      <c r="G93" s="146">
        <f t="shared" si="47"/>
        <v>2787.84</v>
      </c>
      <c r="H93" s="146">
        <f>I93*(1+H$6)</f>
        <v>2787.84</v>
      </c>
      <c r="I93" s="146">
        <f>G93*(1+I$6)</f>
        <v>2787.84</v>
      </c>
    </row>
    <row r="94" spans="2:9" hidden="1" x14ac:dyDescent="0.25">
      <c r="B94" s="40" t="s">
        <v>837</v>
      </c>
      <c r="D94" s="50">
        <v>80</v>
      </c>
      <c r="E94" s="146">
        <f t="shared" ref="E94" si="48">D94*(1+E$6)</f>
        <v>84.48</v>
      </c>
      <c r="F94" s="146">
        <f t="shared" ref="F94" si="49">E94*(1+F$6)</f>
        <v>89.210880000000003</v>
      </c>
      <c r="G94" s="146">
        <f t="shared" ref="G94" si="50">F94*(1+G$6)</f>
        <v>89.210880000000003</v>
      </c>
      <c r="H94" s="146">
        <f>I94*(1+H$6)</f>
        <v>89.210880000000003</v>
      </c>
      <c r="I94" s="146">
        <f>G94*(1+I$6)</f>
        <v>89.210880000000003</v>
      </c>
    </row>
    <row r="95" spans="2:9" hidden="1" x14ac:dyDescent="0.25">
      <c r="B95" s="40"/>
      <c r="C95" s="40"/>
      <c r="D95" s="40"/>
      <c r="E95" s="40"/>
      <c r="F95" s="40"/>
      <c r="G95" s="40"/>
      <c r="H95" s="40"/>
      <c r="I95" s="40"/>
    </row>
    <row r="96" spans="2:9" hidden="1" x14ac:dyDescent="0.25">
      <c r="B96" s="40" t="s">
        <v>706</v>
      </c>
      <c r="D96" s="50">
        <v>65</v>
      </c>
      <c r="E96" s="146">
        <f t="shared" ref="E96:G96" si="51">D96*(1+E$6)</f>
        <v>68.64</v>
      </c>
      <c r="F96" s="146">
        <f t="shared" si="51"/>
        <v>72.483840000000001</v>
      </c>
      <c r="G96" s="146">
        <f t="shared" si="51"/>
        <v>72.483840000000001</v>
      </c>
      <c r="H96" s="146">
        <f>I96*(1+H$6)</f>
        <v>72.483840000000001</v>
      </c>
      <c r="I96" s="146">
        <f>G96*(1+I$6)</f>
        <v>72.483840000000001</v>
      </c>
    </row>
    <row r="97" spans="2:9" hidden="1" x14ac:dyDescent="0.25">
      <c r="B97" s="40" t="s">
        <v>707</v>
      </c>
      <c r="D97" s="50">
        <v>12</v>
      </c>
      <c r="E97" s="146">
        <f t="shared" ref="E97:G97" si="52">D97*(1+E$6)</f>
        <v>12.672000000000001</v>
      </c>
      <c r="F97" s="146">
        <f t="shared" si="52"/>
        <v>13.381632000000002</v>
      </c>
      <c r="G97" s="146">
        <f t="shared" si="52"/>
        <v>13.381632000000002</v>
      </c>
      <c r="H97" s="146">
        <f>I97*(1+H$6)</f>
        <v>13.381632000000002</v>
      </c>
      <c r="I97" s="146">
        <f>G97*(1+I$6)</f>
        <v>13.381632000000002</v>
      </c>
    </row>
    <row r="98" spans="2:9" hidden="1" x14ac:dyDescent="0.25">
      <c r="B98" s="40" t="s">
        <v>897</v>
      </c>
      <c r="D98" s="195">
        <v>0.3</v>
      </c>
      <c r="E98" s="214">
        <f t="shared" ref="E98:E100" si="53">D98*(1+E$6)</f>
        <v>0.31680000000000003</v>
      </c>
      <c r="F98" s="214">
        <f t="shared" ref="F98:F100" si="54">E98*(1+F$6)</f>
        <v>0.33454080000000003</v>
      </c>
      <c r="G98" s="214">
        <f t="shared" ref="G98" si="55">F98*(1+G$6)</f>
        <v>0.33454080000000003</v>
      </c>
      <c r="H98" s="214">
        <f>I98*(1+H$6)</f>
        <v>0.33454080000000003</v>
      </c>
      <c r="I98" s="214">
        <f>G98*(1+I$6)</f>
        <v>0.33454080000000003</v>
      </c>
    </row>
    <row r="99" spans="2:9" x14ac:dyDescent="0.25">
      <c r="B99" s="40" t="s">
        <v>1240</v>
      </c>
      <c r="D99" s="50">
        <v>350</v>
      </c>
      <c r="E99" s="214">
        <f t="shared" si="53"/>
        <v>369.6</v>
      </c>
      <c r="F99" s="214">
        <f t="shared" si="54"/>
        <v>390.29760000000005</v>
      </c>
      <c r="G99" s="214">
        <f>D99*(1+G$6)</f>
        <v>350</v>
      </c>
      <c r="H99" s="214">
        <f>D99*(1+H$6)</f>
        <v>350</v>
      </c>
      <c r="I99" s="214">
        <f>D99*(1+I$6)</f>
        <v>350</v>
      </c>
    </row>
    <row r="100" spans="2:9" x14ac:dyDescent="0.25">
      <c r="B100" s="40" t="s">
        <v>1154</v>
      </c>
      <c r="D100" s="50">
        <v>750</v>
      </c>
      <c r="E100" s="146">
        <f t="shared" si="53"/>
        <v>792</v>
      </c>
      <c r="F100" s="146">
        <f t="shared" si="54"/>
        <v>836.35200000000009</v>
      </c>
      <c r="G100" s="146">
        <f>D100*(1+G$6)</f>
        <v>750</v>
      </c>
      <c r="H100" s="214">
        <f>D100*(1+H$6)</f>
        <v>750</v>
      </c>
      <c r="I100" s="146">
        <f>D100*(1+I$6)</f>
        <v>750</v>
      </c>
    </row>
    <row r="101" spans="2:9" x14ac:dyDescent="0.25">
      <c r="B101" s="40" t="s">
        <v>1155</v>
      </c>
      <c r="D101" s="50">
        <v>1000</v>
      </c>
      <c r="E101" s="146">
        <f t="shared" ref="E101" si="56">D101*(1+E$6)</f>
        <v>1056</v>
      </c>
      <c r="F101" s="146">
        <f t="shared" ref="F101" si="57">E101*(1+F$6)</f>
        <v>1115.136</v>
      </c>
      <c r="G101" s="146">
        <f>D101*(1+G$6)</f>
        <v>1000</v>
      </c>
      <c r="H101" s="214">
        <f>D101*(1+H$6)</f>
        <v>1000</v>
      </c>
      <c r="I101" s="146">
        <f>D101*(1+I$6)</f>
        <v>1000</v>
      </c>
    </row>
  </sheetData>
  <sortState ref="B23:D31">
    <sortCondition ref="D23:D31"/>
  </sortState>
  <mergeCells count="1">
    <mergeCell ref="D3:F3"/>
  </mergeCells>
  <conditionalFormatting sqref="E11">
    <cfRule type="expression" dxfId="48" priority="11">
      <formula>E11&lt;$D11</formula>
    </cfRule>
    <cfRule type="expression" dxfId="47" priority="12">
      <formula>E11&gt;$D11</formula>
    </cfRule>
  </conditionalFormatting>
  <conditionalFormatting sqref="F11:G11 I11">
    <cfRule type="expression" dxfId="46" priority="9">
      <formula>F11&lt;$D11</formula>
    </cfRule>
    <cfRule type="expression" dxfId="45" priority="10">
      <formula>F11&gt;$D11</formula>
    </cfRule>
  </conditionalFormatting>
  <conditionalFormatting sqref="E12">
    <cfRule type="expression" dxfId="44" priority="7">
      <formula>E12&lt;$D12</formula>
    </cfRule>
    <cfRule type="expression" dxfId="43" priority="8">
      <formula>E12&gt;$D12</formula>
    </cfRule>
  </conditionalFormatting>
  <conditionalFormatting sqref="F12:G12 I12">
    <cfRule type="expression" dxfId="42" priority="5">
      <formula>F12&lt;$D12</formula>
    </cfRule>
    <cfRule type="expression" dxfId="41" priority="6">
      <formula>F12&gt;$D12</formula>
    </cfRule>
  </conditionalFormatting>
  <conditionalFormatting sqref="H11">
    <cfRule type="expression" dxfId="40" priority="3">
      <formula>H11&lt;$D11</formula>
    </cfRule>
    <cfRule type="expression" dxfId="39" priority="4">
      <formula>H11&gt;$D11</formula>
    </cfRule>
  </conditionalFormatting>
  <conditionalFormatting sqref="H12">
    <cfRule type="expression" dxfId="38" priority="1">
      <formula>H12&lt;$D12</formula>
    </cfRule>
    <cfRule type="expression" dxfId="37" priority="2">
      <formula>H12&gt;$D12</formula>
    </cfRule>
  </conditionalFormatting>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B1:S136"/>
  <sheetViews>
    <sheetView showGridLines="0" workbookViewId="0">
      <pane xSplit="2" ySplit="22" topLeftCell="E23" activePane="bottomRight" state="frozen"/>
      <selection activeCell="H37" sqref="H37"/>
      <selection pane="topRight" activeCell="H37" sqref="H37"/>
      <selection pane="bottomLeft" activeCell="H37" sqref="H37"/>
      <selection pane="bottomRight" activeCell="K33" sqref="K33"/>
    </sheetView>
  </sheetViews>
  <sheetFormatPr defaultColWidth="8.85546875" defaultRowHeight="12.75" outlineLevelRow="1" x14ac:dyDescent="0.2"/>
  <cols>
    <col min="1" max="1" width="4" style="5" customWidth="1"/>
    <col min="2" max="2" width="5.140625" style="4" customWidth="1"/>
    <col min="3" max="3" width="4.42578125" style="5" customWidth="1"/>
    <col min="4" max="4" width="43" style="5" bestFit="1" customWidth="1"/>
    <col min="5" max="5" width="17.28515625" style="5" customWidth="1"/>
    <col min="6" max="6" width="6.140625" style="5" customWidth="1"/>
    <col min="7" max="7" width="9.42578125" style="5" customWidth="1"/>
    <col min="8" max="12" width="13" style="5" customWidth="1"/>
    <col min="13" max="13" width="14.42578125" style="5" hidden="1" customWidth="1"/>
    <col min="14" max="14" width="11.28515625" style="5" bestFit="1" customWidth="1"/>
    <col min="15" max="15" width="8.85546875" style="5"/>
    <col min="16" max="17" width="9.140625" style="5" customWidth="1"/>
    <col min="18" max="18" width="12" style="5" customWidth="1"/>
    <col min="19" max="19" width="9.140625" style="5" customWidth="1"/>
    <col min="20" max="16384" width="8.85546875" style="5"/>
  </cols>
  <sheetData>
    <row r="1" spans="2:16" s="3" customFormat="1" ht="15.75" x14ac:dyDescent="0.25">
      <c r="B1" s="306" t="s">
        <v>917</v>
      </c>
    </row>
    <row r="2" spans="2:16" ht="25.5" x14ac:dyDescent="0.2">
      <c r="H2" s="1136" t="s">
        <v>1816</v>
      </c>
      <c r="I2" s="1136"/>
      <c r="J2" s="1136"/>
      <c r="K2" s="1089" t="s">
        <v>1814</v>
      </c>
      <c r="L2" s="1088" t="s">
        <v>1759</v>
      </c>
      <c r="M2" s="607" t="s">
        <v>1796</v>
      </c>
    </row>
    <row r="3" spans="2:16" x14ac:dyDescent="0.2">
      <c r="E3" s="4"/>
      <c r="H3" s="404" t="s">
        <v>385</v>
      </c>
      <c r="I3" s="404" t="s">
        <v>386</v>
      </c>
      <c r="J3" s="404" t="s">
        <v>1033</v>
      </c>
      <c r="K3" s="28" t="s">
        <v>385</v>
      </c>
      <c r="L3" s="29" t="s">
        <v>385</v>
      </c>
      <c r="M3" s="29" t="s">
        <v>385</v>
      </c>
    </row>
    <row r="4" spans="2:16" hidden="1" outlineLevel="1" x14ac:dyDescent="0.2">
      <c r="E4" s="7" t="s">
        <v>596</v>
      </c>
      <c r="H4" s="241">
        <f t="shared" ref="H4:M4" si="0">SUMIF($Q$82:$Q$124,$P4,H82:H124)</f>
        <v>927036.05999999994</v>
      </c>
      <c r="I4" s="241">
        <f t="shared" si="0"/>
        <v>988220.43995999999</v>
      </c>
      <c r="J4" s="241">
        <f t="shared" si="0"/>
        <v>1053442.98899736</v>
      </c>
      <c r="K4" s="241">
        <f t="shared" si="0"/>
        <v>927036.05999999994</v>
      </c>
      <c r="L4" s="241">
        <f t="shared" si="0"/>
        <v>927036.05999999994</v>
      </c>
      <c r="M4" s="241">
        <f t="shared" si="0"/>
        <v>639233.54999999993</v>
      </c>
      <c r="P4" s="5" t="s">
        <v>865</v>
      </c>
    </row>
    <row r="5" spans="2:16" hidden="1" outlineLevel="1" x14ac:dyDescent="0.2">
      <c r="E5" s="5" t="s">
        <v>597</v>
      </c>
      <c r="H5" s="241">
        <f t="shared" ref="H5:M5" si="1">SUMIF($Q$82:$Q$124,$P5,H82:H125)</f>
        <v>849743</v>
      </c>
      <c r="I5" s="241">
        <f t="shared" si="1"/>
        <v>865648.60800000001</v>
      </c>
      <c r="J5" s="241">
        <f t="shared" si="1"/>
        <v>914124.93004800007</v>
      </c>
      <c r="K5" s="241">
        <f t="shared" si="1"/>
        <v>849743</v>
      </c>
      <c r="L5" s="241">
        <f t="shared" si="1"/>
        <v>849743</v>
      </c>
      <c r="M5" s="241">
        <f t="shared" si="1"/>
        <v>782333</v>
      </c>
      <c r="P5" s="5" t="s">
        <v>866</v>
      </c>
    </row>
    <row r="6" spans="2:16" ht="13.5" hidden="1" outlineLevel="1" thickBot="1" x14ac:dyDescent="0.25">
      <c r="E6" s="4" t="s">
        <v>598</v>
      </c>
      <c r="G6" s="4"/>
      <c r="H6" s="250">
        <f>SUM(H4:H5)</f>
        <v>1776779.06</v>
      </c>
      <c r="I6" s="250">
        <f t="shared" ref="I6:M6" si="2">SUM(I4:I5)</f>
        <v>1853869.0479600001</v>
      </c>
      <c r="J6" s="250">
        <f t="shared" si="2"/>
        <v>1967567.9190453601</v>
      </c>
      <c r="K6" s="250">
        <f>SUM(K4:K5)</f>
        <v>1776779.06</v>
      </c>
      <c r="L6" s="250">
        <f>SUM(L4:L5)</f>
        <v>1776779.06</v>
      </c>
      <c r="M6" s="250">
        <f t="shared" si="2"/>
        <v>1421566.5499999998</v>
      </c>
    </row>
    <row r="7" spans="2:16" ht="13.5" hidden="1" outlineLevel="1" thickTop="1" x14ac:dyDescent="0.2">
      <c r="E7" s="4"/>
      <c r="G7" s="4"/>
      <c r="H7" s="428">
        <f t="shared" ref="H7:M7" si="3">H6-H13</f>
        <v>-160160</v>
      </c>
      <c r="I7" s="428">
        <f t="shared" si="3"/>
        <v>-169128.95999999996</v>
      </c>
      <c r="J7" s="428">
        <f t="shared" si="3"/>
        <v>-178600.1817600003</v>
      </c>
      <c r="K7" s="428">
        <f t="shared" si="3"/>
        <v>-160160</v>
      </c>
      <c r="L7" s="428">
        <f t="shared" si="3"/>
        <v>-160160</v>
      </c>
      <c r="M7" s="428">
        <f t="shared" si="3"/>
        <v>-160160</v>
      </c>
    </row>
    <row r="8" spans="2:16" hidden="1" outlineLevel="1" x14ac:dyDescent="0.2">
      <c r="E8" s="5" t="s">
        <v>918</v>
      </c>
      <c r="G8" s="4"/>
      <c r="H8" s="241">
        <f>H82+H97+H99</f>
        <v>355212.51</v>
      </c>
      <c r="I8" s="241">
        <f t="shared" ref="I8:M8" si="4">I82+I97+I99</f>
        <v>377982.43566000002</v>
      </c>
      <c r="J8" s="241">
        <f t="shared" si="4"/>
        <v>402217.42681356001</v>
      </c>
      <c r="K8" s="241">
        <f t="shared" si="4"/>
        <v>355212.51</v>
      </c>
      <c r="L8" s="241">
        <f t="shared" ref="L8" si="5">L82+L97+L99</f>
        <v>355212.51</v>
      </c>
      <c r="M8" s="241">
        <f t="shared" si="4"/>
        <v>0</v>
      </c>
    </row>
    <row r="9" spans="2:16" hidden="1" outlineLevel="1" x14ac:dyDescent="0.2">
      <c r="E9" s="5" t="s">
        <v>919</v>
      </c>
      <c r="G9" s="4"/>
      <c r="H9" s="241">
        <f>H106+H113</f>
        <v>654566.54999999993</v>
      </c>
      <c r="I9" s="241">
        <f t="shared" ref="I9:M9" si="6">I106+I113</f>
        <v>697614.61230000004</v>
      </c>
      <c r="J9" s="241">
        <f t="shared" si="6"/>
        <v>743495.26023180003</v>
      </c>
      <c r="K9" s="241">
        <f t="shared" si="6"/>
        <v>654566.54999999993</v>
      </c>
      <c r="L9" s="241">
        <f t="shared" ref="L9" si="7">L106+L113</f>
        <v>654566.54999999993</v>
      </c>
      <c r="M9" s="241">
        <f t="shared" si="6"/>
        <v>654566.54999999993</v>
      </c>
    </row>
    <row r="10" spans="2:16" hidden="1" outlineLevel="1" x14ac:dyDescent="0.2">
      <c r="E10" s="5" t="s">
        <v>920</v>
      </c>
      <c r="G10" s="4"/>
      <c r="H10" s="241">
        <f>H117</f>
        <v>575000</v>
      </c>
      <c r="I10" s="241">
        <f t="shared" ref="I10:M10" si="8">I117</f>
        <v>607200</v>
      </c>
      <c r="J10" s="241">
        <f t="shared" si="8"/>
        <v>641203.20000000007</v>
      </c>
      <c r="K10" s="241">
        <f t="shared" si="8"/>
        <v>575000</v>
      </c>
      <c r="L10" s="241">
        <f t="shared" ref="L10" si="9">L117</f>
        <v>575000</v>
      </c>
      <c r="M10" s="241">
        <f t="shared" si="8"/>
        <v>575000</v>
      </c>
    </row>
    <row r="11" spans="2:16" hidden="1" outlineLevel="1" x14ac:dyDescent="0.2">
      <c r="E11" s="5" t="s">
        <v>6</v>
      </c>
      <c r="G11" s="4"/>
      <c r="H11" s="241">
        <f>H124</f>
        <v>192000</v>
      </c>
      <c r="I11" s="241">
        <f t="shared" ref="I11:M11" si="10">I124</f>
        <v>171072</v>
      </c>
      <c r="J11" s="241">
        <f t="shared" si="10"/>
        <v>180652.03200000004</v>
      </c>
      <c r="K11" s="241">
        <f>K124</f>
        <v>192000</v>
      </c>
      <c r="L11" s="241">
        <f>L124</f>
        <v>192000</v>
      </c>
      <c r="M11" s="241">
        <f t="shared" si="10"/>
        <v>192000</v>
      </c>
    </row>
    <row r="12" spans="2:16" hidden="1" outlineLevel="1" x14ac:dyDescent="0.2">
      <c r="E12" s="5" t="s">
        <v>940</v>
      </c>
      <c r="G12" s="4"/>
      <c r="H12" s="297">
        <f>'DM&amp;Metros'!H45</f>
        <v>160160</v>
      </c>
      <c r="I12" s="297">
        <f>'DM&amp;Metros'!I45</f>
        <v>169128.96000000002</v>
      </c>
      <c r="J12" s="297">
        <f>'DM&amp;Metros'!J45</f>
        <v>178600.18176000001</v>
      </c>
      <c r="K12" s="297">
        <f>'DM&amp;Metros'!K45</f>
        <v>160160</v>
      </c>
      <c r="L12" s="297">
        <f>'DM&amp;Metros'!M45</f>
        <v>160160</v>
      </c>
      <c r="M12" s="297">
        <f>'DM&amp;Metros'!M45</f>
        <v>160160</v>
      </c>
    </row>
    <row r="13" spans="2:16" ht="13.5" hidden="1" outlineLevel="1" thickBot="1" x14ac:dyDescent="0.25">
      <c r="G13" s="4"/>
      <c r="H13" s="235">
        <f t="shared" ref="H13:L13" si="11">SUM(H8:H12)</f>
        <v>1936939.06</v>
      </c>
      <c r="I13" s="235">
        <f t="shared" si="11"/>
        <v>2022998.0079600001</v>
      </c>
      <c r="J13" s="235">
        <f t="shared" si="11"/>
        <v>2146168.1008053604</v>
      </c>
      <c r="K13" s="235">
        <f t="shared" si="11"/>
        <v>1936939.06</v>
      </c>
      <c r="L13" s="235">
        <f t="shared" si="11"/>
        <v>1936939.06</v>
      </c>
      <c r="M13" s="235">
        <f>SUM(M8:M12)</f>
        <v>1581726.5499999998</v>
      </c>
    </row>
    <row r="14" spans="2:16" ht="13.5" hidden="1" outlineLevel="1" thickTop="1" x14ac:dyDescent="0.2">
      <c r="E14" s="4" t="s">
        <v>1048</v>
      </c>
    </row>
    <row r="15" spans="2:16" hidden="1" outlineLevel="1" x14ac:dyDescent="0.2">
      <c r="E15" s="6" t="s">
        <v>918</v>
      </c>
      <c r="G15" s="4"/>
      <c r="H15" s="241">
        <f>H88+H95+H98</f>
        <v>4551327</v>
      </c>
      <c r="I15" s="241">
        <f t="shared" ref="I15:M15" si="12">I88+I95+I98</f>
        <v>4849788.5820000004</v>
      </c>
      <c r="J15" s="241">
        <f t="shared" si="12"/>
        <v>5167840.7724120002</v>
      </c>
      <c r="K15" s="241">
        <f t="shared" si="12"/>
        <v>4551327</v>
      </c>
      <c r="L15" s="241">
        <f t="shared" ref="L15" si="13">L88+L95+L98</f>
        <v>4551327</v>
      </c>
      <c r="M15" s="241">
        <f t="shared" si="12"/>
        <v>4551327</v>
      </c>
    </row>
    <row r="16" spans="2:16" hidden="1" outlineLevel="1" x14ac:dyDescent="0.2">
      <c r="E16" s="6" t="s">
        <v>919</v>
      </c>
      <c r="G16" s="4"/>
      <c r="H16" s="241">
        <f>H114+H110</f>
        <v>2879413</v>
      </c>
      <c r="I16" s="241">
        <f t="shared" ref="I16:M16" si="14">I114+I110</f>
        <v>3068432.0579999997</v>
      </c>
      <c r="J16" s="241">
        <f t="shared" si="14"/>
        <v>3269869.1306280005</v>
      </c>
      <c r="K16" s="241">
        <f t="shared" si="14"/>
        <v>2879413</v>
      </c>
      <c r="L16" s="241">
        <f t="shared" ref="L16" si="15">L114+L110</f>
        <v>2879413</v>
      </c>
      <c r="M16" s="241">
        <f t="shared" si="14"/>
        <v>2879413</v>
      </c>
    </row>
    <row r="17" spans="2:13" hidden="1" outlineLevel="1" x14ac:dyDescent="0.2">
      <c r="E17" s="6" t="s">
        <v>920</v>
      </c>
      <c r="G17" s="4"/>
      <c r="H17" s="241">
        <f>H118</f>
        <v>2300000</v>
      </c>
      <c r="I17" s="241">
        <f t="shared" ref="I17:M17" si="16">I118</f>
        <v>2428800</v>
      </c>
      <c r="J17" s="241">
        <f t="shared" si="16"/>
        <v>2564812.8000000003</v>
      </c>
      <c r="K17" s="241">
        <f t="shared" si="16"/>
        <v>2300000</v>
      </c>
      <c r="L17" s="241">
        <f t="shared" ref="L17" si="17">L118</f>
        <v>2300000</v>
      </c>
      <c r="M17" s="241">
        <f t="shared" si="16"/>
        <v>2300000</v>
      </c>
    </row>
    <row r="18" spans="2:13" hidden="1" outlineLevel="1" x14ac:dyDescent="0.2">
      <c r="E18" s="6" t="s">
        <v>6</v>
      </c>
      <c r="G18" s="4"/>
      <c r="H18" s="241">
        <f>H129</f>
        <v>480000</v>
      </c>
      <c r="I18" s="241">
        <f t="shared" ref="I18:M18" si="18">I129</f>
        <v>380160</v>
      </c>
      <c r="J18" s="241">
        <f t="shared" si="18"/>
        <v>401448.96000000008</v>
      </c>
      <c r="K18" s="241">
        <f t="shared" si="18"/>
        <v>480000</v>
      </c>
      <c r="L18" s="241">
        <f t="shared" ref="L18" si="19">L129</f>
        <v>480000</v>
      </c>
      <c r="M18" s="241">
        <f t="shared" si="18"/>
        <v>480000</v>
      </c>
    </row>
    <row r="19" spans="2:13" hidden="1" outlineLevel="1" x14ac:dyDescent="0.2">
      <c r="E19" s="6" t="s">
        <v>940</v>
      </c>
      <c r="G19" s="4"/>
      <c r="H19" s="241">
        <f>H12</f>
        <v>160160</v>
      </c>
      <c r="I19" s="241">
        <f t="shared" ref="I19:K19" si="20">I12</f>
        <v>169128.96000000002</v>
      </c>
      <c r="J19" s="241">
        <f t="shared" si="20"/>
        <v>178600.18176000001</v>
      </c>
      <c r="K19" s="241">
        <f t="shared" si="20"/>
        <v>160160</v>
      </c>
      <c r="L19" s="241">
        <f t="shared" ref="L19" si="21">L12</f>
        <v>160160</v>
      </c>
      <c r="M19" s="241">
        <f>M12</f>
        <v>160160</v>
      </c>
    </row>
    <row r="20" spans="2:13" ht="13.5" hidden="1" outlineLevel="1" thickBot="1" x14ac:dyDescent="0.25">
      <c r="H20" s="235">
        <f>SUM(H15:H19)</f>
        <v>10370900</v>
      </c>
      <c r="I20" s="235">
        <f t="shared" ref="I20:K20" si="22">SUM(I15:I19)</f>
        <v>10896309.600000001</v>
      </c>
      <c r="J20" s="235">
        <f t="shared" si="22"/>
        <v>11582571.844800003</v>
      </c>
      <c r="K20" s="235">
        <f t="shared" si="22"/>
        <v>10370900</v>
      </c>
      <c r="L20" s="235">
        <f t="shared" ref="L20" si="23">SUM(L15:L19)</f>
        <v>10370900</v>
      </c>
      <c r="M20" s="235">
        <f>SUM(M15:M19)</f>
        <v>10370900</v>
      </c>
    </row>
    <row r="21" spans="2:13" collapsed="1" x14ac:dyDescent="0.2"/>
    <row r="22" spans="2:13" s="1" customFormat="1" x14ac:dyDescent="0.2"/>
    <row r="23" spans="2:13" s="307" customFormat="1" ht="14.25" customHeight="1" x14ac:dyDescent="0.2">
      <c r="B23" s="308"/>
      <c r="C23" s="309" t="s">
        <v>687</v>
      </c>
      <c r="D23" s="310"/>
    </row>
    <row r="24" spans="2:13" s="81" customFormat="1" ht="48" x14ac:dyDescent="0.2">
      <c r="B24" s="88"/>
      <c r="D24" s="5"/>
      <c r="E24" s="5"/>
      <c r="F24" s="5"/>
      <c r="G24" s="121" t="s">
        <v>689</v>
      </c>
      <c r="H24" s="24" t="s">
        <v>651</v>
      </c>
      <c r="I24" s="5"/>
      <c r="J24" s="5"/>
      <c r="K24" s="5"/>
      <c r="L24" s="5"/>
      <c r="M24" s="5"/>
    </row>
    <row r="25" spans="2:13" s="81" customFormat="1" x14ac:dyDescent="0.2">
      <c r="B25" s="88"/>
      <c r="D25" s="5" t="s">
        <v>396</v>
      </c>
      <c r="E25" s="5"/>
      <c r="F25" s="5"/>
      <c r="G25" s="231">
        <v>1</v>
      </c>
      <c r="H25" s="69">
        <v>0.02</v>
      </c>
      <c r="I25" s="69">
        <v>0.02</v>
      </c>
      <c r="J25" s="69">
        <v>0.02</v>
      </c>
      <c r="K25" s="69">
        <v>0.02</v>
      </c>
      <c r="L25" s="69">
        <v>0.02</v>
      </c>
      <c r="M25" s="69">
        <f>H25</f>
        <v>0.02</v>
      </c>
    </row>
    <row r="26" spans="2:13" s="81" customFormat="1" x14ac:dyDescent="0.2">
      <c r="B26" s="88"/>
      <c r="D26" s="5" t="s">
        <v>2</v>
      </c>
      <c r="G26" s="231">
        <v>1</v>
      </c>
      <c r="H26" s="69">
        <v>0.03</v>
      </c>
      <c r="I26" s="69">
        <v>0.03</v>
      </c>
      <c r="J26" s="69">
        <v>0.03</v>
      </c>
      <c r="K26" s="69">
        <v>0.03</v>
      </c>
      <c r="L26" s="69">
        <v>0.03</v>
      </c>
      <c r="M26" s="69">
        <f t="shared" ref="M26:M29" si="24">H26</f>
        <v>0.03</v>
      </c>
    </row>
    <row r="27" spans="2:13" s="81" customFormat="1" x14ac:dyDescent="0.2">
      <c r="B27" s="88"/>
      <c r="D27" s="5" t="s">
        <v>3</v>
      </c>
      <c r="G27" s="231">
        <v>1</v>
      </c>
      <c r="H27" s="69">
        <v>0.1</v>
      </c>
      <c r="I27" s="69">
        <v>0.1</v>
      </c>
      <c r="J27" s="69">
        <v>0.1</v>
      </c>
      <c r="K27" s="69">
        <v>0.1</v>
      </c>
      <c r="L27" s="69">
        <v>0.1</v>
      </c>
      <c r="M27" s="69">
        <f t="shared" si="24"/>
        <v>0.1</v>
      </c>
    </row>
    <row r="28" spans="2:13" s="81" customFormat="1" x14ac:dyDescent="0.2">
      <c r="B28" s="88"/>
      <c r="D28" s="5" t="s">
        <v>905</v>
      </c>
      <c r="G28" s="231">
        <v>1</v>
      </c>
      <c r="H28" s="69">
        <v>0.15</v>
      </c>
      <c r="I28" s="69">
        <v>0.15</v>
      </c>
      <c r="J28" s="69">
        <v>0.15</v>
      </c>
      <c r="K28" s="69">
        <v>0.15</v>
      </c>
      <c r="L28" s="69">
        <v>0.15</v>
      </c>
      <c r="M28" s="69">
        <f t="shared" si="24"/>
        <v>0.15</v>
      </c>
    </row>
    <row r="29" spans="2:13" s="81" customFormat="1" x14ac:dyDescent="0.2">
      <c r="B29" s="88"/>
      <c r="D29" s="5" t="s">
        <v>647</v>
      </c>
      <c r="G29" s="231">
        <v>1</v>
      </c>
      <c r="H29" s="69">
        <v>0.15</v>
      </c>
      <c r="I29" s="69">
        <v>0.15</v>
      </c>
      <c r="J29" s="69">
        <v>0.15</v>
      </c>
      <c r="K29" s="69">
        <v>0.15</v>
      </c>
      <c r="L29" s="69">
        <v>0.15</v>
      </c>
      <c r="M29" s="69">
        <f t="shared" si="24"/>
        <v>0.15</v>
      </c>
    </row>
    <row r="30" spans="2:13" s="81" customFormat="1" x14ac:dyDescent="0.2">
      <c r="B30" s="88"/>
      <c r="D30" s="5"/>
      <c r="E30" s="5"/>
      <c r="F30" s="5"/>
      <c r="G30" s="5"/>
      <c r="H30" s="5"/>
      <c r="I30" s="5"/>
      <c r="J30" s="5"/>
      <c r="K30" s="5"/>
      <c r="L30" s="5"/>
      <c r="M30" s="5"/>
    </row>
    <row r="31" spans="2:13" s="81" customFormat="1" x14ac:dyDescent="0.2">
      <c r="B31" s="88"/>
      <c r="D31" s="5" t="s">
        <v>648</v>
      </c>
      <c r="H31" s="120">
        <v>6</v>
      </c>
      <c r="I31" s="120">
        <v>6</v>
      </c>
      <c r="J31" s="120">
        <v>6</v>
      </c>
      <c r="K31" s="120">
        <v>6</v>
      </c>
      <c r="L31" s="120">
        <v>6</v>
      </c>
      <c r="M31" s="120">
        <f>H31</f>
        <v>6</v>
      </c>
    </row>
    <row r="32" spans="2:13" s="81" customFormat="1" x14ac:dyDescent="0.2">
      <c r="B32" s="88"/>
      <c r="D32" s="5" t="s">
        <v>649</v>
      </c>
      <c r="H32" s="120">
        <v>4</v>
      </c>
      <c r="I32" s="120">
        <v>4</v>
      </c>
      <c r="J32" s="120">
        <v>4</v>
      </c>
      <c r="K32" s="120">
        <v>4</v>
      </c>
      <c r="L32" s="120">
        <v>4</v>
      </c>
      <c r="M32" s="120">
        <f t="shared" ref="M32:M33" si="25">H32</f>
        <v>4</v>
      </c>
    </row>
    <row r="33" spans="2:16" s="81" customFormat="1" x14ac:dyDescent="0.2">
      <c r="B33" s="88"/>
      <c r="D33" s="5" t="s">
        <v>957</v>
      </c>
      <c r="H33" s="120">
        <v>3</v>
      </c>
      <c r="I33" s="120">
        <v>3</v>
      </c>
      <c r="J33" s="120">
        <v>3</v>
      </c>
      <c r="K33" s="120">
        <v>3</v>
      </c>
      <c r="L33" s="120">
        <v>3</v>
      </c>
      <c r="M33" s="120">
        <f t="shared" si="25"/>
        <v>3</v>
      </c>
    </row>
    <row r="34" spans="2:16" s="81" customFormat="1" x14ac:dyDescent="0.2">
      <c r="B34" s="88"/>
      <c r="D34" s="339" t="s">
        <v>943</v>
      </c>
    </row>
    <row r="35" spans="2:16" s="81" customFormat="1" x14ac:dyDescent="0.2">
      <c r="B35" s="88"/>
      <c r="D35" s="5"/>
      <c r="E35" s="5"/>
      <c r="F35" s="5"/>
      <c r="G35" s="5"/>
      <c r="H35" s="5"/>
      <c r="I35" s="5"/>
      <c r="J35" s="5"/>
      <c r="K35" s="5"/>
      <c r="L35" s="5"/>
      <c r="M35" s="5"/>
      <c r="N35" s="5"/>
      <c r="O35" s="5"/>
      <c r="P35" s="5"/>
    </row>
    <row r="36" spans="2:16" s="81" customFormat="1" x14ac:dyDescent="0.2">
      <c r="B36" s="88"/>
      <c r="D36" s="5" t="s">
        <v>655</v>
      </c>
      <c r="E36" s="122"/>
      <c r="H36" s="120">
        <v>4</v>
      </c>
      <c r="I36" s="120">
        <v>4</v>
      </c>
      <c r="J36" s="120">
        <v>4</v>
      </c>
      <c r="K36" s="120">
        <v>4</v>
      </c>
      <c r="L36" s="120">
        <v>4</v>
      </c>
      <c r="M36" s="120">
        <f>H36</f>
        <v>4</v>
      </c>
    </row>
    <row r="37" spans="2:16" s="81" customFormat="1" x14ac:dyDescent="0.2">
      <c r="B37" s="88"/>
      <c r="D37" s="5" t="s">
        <v>656</v>
      </c>
      <c r="H37" s="120">
        <v>8</v>
      </c>
      <c r="I37" s="120">
        <v>8</v>
      </c>
      <c r="J37" s="120">
        <v>8</v>
      </c>
      <c r="K37" s="120">
        <v>8</v>
      </c>
      <c r="L37" s="120">
        <v>8</v>
      </c>
      <c r="M37" s="120">
        <f t="shared" ref="M37:M38" si="26">H37</f>
        <v>8</v>
      </c>
    </row>
    <row r="38" spans="2:16" s="81" customFormat="1" x14ac:dyDescent="0.2">
      <c r="B38" s="88"/>
      <c r="D38" s="5" t="s">
        <v>928</v>
      </c>
      <c r="H38" s="120">
        <v>8</v>
      </c>
      <c r="I38" s="120">
        <v>8</v>
      </c>
      <c r="J38" s="120">
        <v>8</v>
      </c>
      <c r="K38" s="120">
        <v>8</v>
      </c>
      <c r="L38" s="120">
        <v>8</v>
      </c>
      <c r="M38" s="120">
        <f t="shared" si="26"/>
        <v>8</v>
      </c>
    </row>
    <row r="39" spans="2:16" s="81" customFormat="1" x14ac:dyDescent="0.2">
      <c r="B39" s="88"/>
      <c r="D39" s="5"/>
    </row>
    <row r="40" spans="2:16" s="81" customFormat="1" x14ac:dyDescent="0.2">
      <c r="B40" s="88"/>
      <c r="D40" s="5" t="s">
        <v>650</v>
      </c>
      <c r="H40" s="69">
        <v>0.35</v>
      </c>
      <c r="I40" s="69">
        <v>0.35</v>
      </c>
      <c r="J40" s="69">
        <v>0.35</v>
      </c>
      <c r="K40" s="69">
        <v>0.35</v>
      </c>
      <c r="L40" s="69">
        <v>0.35</v>
      </c>
      <c r="M40" s="69">
        <f>H40</f>
        <v>0.35</v>
      </c>
    </row>
    <row r="41" spans="2:16" s="81" customFormat="1" x14ac:dyDescent="0.2">
      <c r="B41" s="88"/>
    </row>
    <row r="42" spans="2:16" s="311" customFormat="1" x14ac:dyDescent="0.2">
      <c r="B42" s="309"/>
      <c r="C42" s="309" t="s">
        <v>497</v>
      </c>
      <c r="D42" s="312"/>
    </row>
    <row r="43" spans="2:16" x14ac:dyDescent="0.2">
      <c r="C43" s="5" t="s">
        <v>4</v>
      </c>
    </row>
    <row r="44" spans="2:16" x14ac:dyDescent="0.2">
      <c r="E44" s="24" t="s">
        <v>1243</v>
      </c>
    </row>
    <row r="45" spans="2:16" x14ac:dyDescent="0.2">
      <c r="D45" s="5" t="s">
        <v>2</v>
      </c>
      <c r="H45" s="69">
        <v>0.15</v>
      </c>
      <c r="I45" s="69">
        <v>0.15</v>
      </c>
      <c r="J45" s="69">
        <v>0.15</v>
      </c>
      <c r="K45" s="69">
        <v>0.15</v>
      </c>
      <c r="L45" s="69">
        <v>0.15</v>
      </c>
      <c r="M45" s="69">
        <f>H45</f>
        <v>0.15</v>
      </c>
    </row>
    <row r="46" spans="2:16" x14ac:dyDescent="0.2">
      <c r="D46" s="5" t="s">
        <v>3</v>
      </c>
      <c r="H46" s="69">
        <v>0.25</v>
      </c>
      <c r="I46" s="69">
        <v>0.25</v>
      </c>
      <c r="J46" s="69">
        <v>0.25</v>
      </c>
      <c r="K46" s="69">
        <v>0.25</v>
      </c>
      <c r="L46" s="69">
        <v>0.25</v>
      </c>
      <c r="M46" s="69">
        <f t="shared" ref="M46:M47" si="27">H46</f>
        <v>0.25</v>
      </c>
    </row>
    <row r="47" spans="2:16" x14ac:dyDescent="0.2">
      <c r="D47" s="5" t="s">
        <v>905</v>
      </c>
      <c r="E47" s="24"/>
      <c r="H47" s="69">
        <v>0.35</v>
      </c>
      <c r="I47" s="69">
        <v>0.35</v>
      </c>
      <c r="J47" s="69">
        <v>0.35</v>
      </c>
      <c r="K47" s="69">
        <v>0.35</v>
      </c>
      <c r="L47" s="69">
        <v>0.35</v>
      </c>
      <c r="M47" s="69">
        <f t="shared" si="27"/>
        <v>0.35</v>
      </c>
    </row>
    <row r="49" spans="4:13" x14ac:dyDescent="0.2">
      <c r="D49" s="4" t="s">
        <v>906</v>
      </c>
    </row>
    <row r="50" spans="4:13" x14ac:dyDescent="0.2">
      <c r="D50" s="6" t="s">
        <v>907</v>
      </c>
      <c r="H50" s="120">
        <v>2</v>
      </c>
      <c r="I50" s="120">
        <v>2</v>
      </c>
      <c r="J50" s="120">
        <v>2</v>
      </c>
      <c r="K50" s="120">
        <v>2</v>
      </c>
      <c r="L50" s="120">
        <v>2</v>
      </c>
      <c r="M50" s="120">
        <f>H50</f>
        <v>2</v>
      </c>
    </row>
    <row r="51" spans="4:13" x14ac:dyDescent="0.2">
      <c r="D51" s="6" t="s">
        <v>908</v>
      </c>
      <c r="H51" s="120">
        <v>10</v>
      </c>
      <c r="I51" s="120">
        <v>10</v>
      </c>
      <c r="J51" s="120">
        <v>10</v>
      </c>
      <c r="K51" s="120">
        <v>10</v>
      </c>
      <c r="L51" s="120">
        <v>10</v>
      </c>
      <c r="M51" s="120">
        <f t="shared" ref="M51:M52" si="28">H51</f>
        <v>10</v>
      </c>
    </row>
    <row r="52" spans="4:13" x14ac:dyDescent="0.2">
      <c r="D52" s="6" t="s">
        <v>909</v>
      </c>
      <c r="H52" s="120">
        <v>10</v>
      </c>
      <c r="I52" s="120">
        <v>10</v>
      </c>
      <c r="J52" s="120">
        <v>10</v>
      </c>
      <c r="K52" s="120">
        <v>10</v>
      </c>
      <c r="L52" s="120">
        <v>10</v>
      </c>
      <c r="M52" s="120">
        <f t="shared" si="28"/>
        <v>10</v>
      </c>
    </row>
    <row r="53" spans="4:13" x14ac:dyDescent="0.2">
      <c r="D53" s="6" t="s">
        <v>910</v>
      </c>
    </row>
    <row r="54" spans="4:13" x14ac:dyDescent="0.2">
      <c r="D54" s="65" t="s">
        <v>911</v>
      </c>
      <c r="H54" s="69">
        <v>0.6</v>
      </c>
      <c r="I54" s="69">
        <v>0.6</v>
      </c>
      <c r="J54" s="69">
        <v>0.6</v>
      </c>
      <c r="K54" s="69">
        <v>0.6</v>
      </c>
      <c r="L54" s="69">
        <v>0.6</v>
      </c>
      <c r="M54" s="69">
        <f>H54</f>
        <v>0.6</v>
      </c>
    </row>
    <row r="55" spans="4:13" x14ac:dyDescent="0.2">
      <c r="D55" s="65" t="s">
        <v>912</v>
      </c>
      <c r="H55" s="69">
        <v>0.6</v>
      </c>
      <c r="I55" s="69">
        <v>0.6</v>
      </c>
      <c r="J55" s="69">
        <v>0.6</v>
      </c>
      <c r="K55" s="69">
        <v>0.6</v>
      </c>
      <c r="L55" s="69">
        <v>0.6</v>
      </c>
      <c r="M55" s="69">
        <f t="shared" ref="M55:M57" si="29">H55</f>
        <v>0.6</v>
      </c>
    </row>
    <row r="56" spans="4:13" x14ac:dyDescent="0.2">
      <c r="D56" s="65" t="s">
        <v>913</v>
      </c>
      <c r="H56" s="69">
        <v>0.4</v>
      </c>
      <c r="I56" s="69">
        <v>0.4</v>
      </c>
      <c r="J56" s="69">
        <v>0.4</v>
      </c>
      <c r="K56" s="69">
        <v>0.4</v>
      </c>
      <c r="L56" s="69">
        <v>0.4</v>
      </c>
      <c r="M56" s="69">
        <f t="shared" si="29"/>
        <v>0.4</v>
      </c>
    </row>
    <row r="57" spans="4:13" x14ac:dyDescent="0.2">
      <c r="D57" s="7" t="s">
        <v>916</v>
      </c>
      <c r="H57" s="69">
        <v>0.15</v>
      </c>
      <c r="I57" s="69">
        <v>0.15</v>
      </c>
      <c r="J57" s="69">
        <v>0.15</v>
      </c>
      <c r="K57" s="69">
        <v>0.15</v>
      </c>
      <c r="L57" s="69">
        <v>0.15</v>
      </c>
      <c r="M57" s="69">
        <f t="shared" si="29"/>
        <v>0.15</v>
      </c>
    </row>
    <row r="58" spans="4:13" x14ac:dyDescent="0.2">
      <c r="D58" s="65"/>
    </row>
    <row r="59" spans="4:13" x14ac:dyDescent="0.2">
      <c r="D59" s="4" t="s">
        <v>967</v>
      </c>
      <c r="H59" s="190">
        <v>2300000</v>
      </c>
      <c r="I59" s="241">
        <f>H59*(1+GenAssumptions!E6)</f>
        <v>2428800</v>
      </c>
      <c r="J59" s="241">
        <f>I59*(1+GenAssumptions!F6)</f>
        <v>2564812.8000000003</v>
      </c>
      <c r="K59" s="241">
        <f>H59*(1+GenAssumptions!G6)</f>
        <v>2300000</v>
      </c>
      <c r="L59" s="241">
        <f>H59*(1+GenAssumptions!I6)</f>
        <v>2300000</v>
      </c>
      <c r="M59" s="241">
        <f>H59</f>
        <v>2300000</v>
      </c>
    </row>
    <row r="60" spans="4:13" x14ac:dyDescent="0.2">
      <c r="D60" s="4" t="s">
        <v>1265</v>
      </c>
      <c r="H60" s="69">
        <v>0.25</v>
      </c>
      <c r="I60" s="69">
        <v>0.25</v>
      </c>
      <c r="J60" s="69">
        <v>0.25</v>
      </c>
      <c r="K60" s="69">
        <v>0.25</v>
      </c>
      <c r="L60" s="69">
        <v>0.25</v>
      </c>
      <c r="M60" s="69">
        <f>H60</f>
        <v>0.25</v>
      </c>
    </row>
    <row r="61" spans="4:13" x14ac:dyDescent="0.2">
      <c r="D61" s="6"/>
      <c r="E61" s="6"/>
      <c r="F61" s="6"/>
      <c r="G61" s="6"/>
      <c r="H61" s="275"/>
      <c r="I61" s="275"/>
      <c r="J61" s="275"/>
      <c r="K61" s="275"/>
      <c r="L61" s="275"/>
      <c r="M61" s="275"/>
    </row>
    <row r="62" spans="4:13" x14ac:dyDescent="0.2">
      <c r="D62" s="4" t="s">
        <v>6</v>
      </c>
      <c r="H62" s="186"/>
      <c r="I62" s="186"/>
      <c r="J62" s="186"/>
      <c r="K62" s="186"/>
      <c r="L62" s="186"/>
      <c r="M62" s="186"/>
    </row>
    <row r="63" spans="4:13" x14ac:dyDescent="0.2">
      <c r="D63" s="5" t="s">
        <v>973</v>
      </c>
      <c r="E63" s="5" t="s">
        <v>405</v>
      </c>
      <c r="H63" s="120">
        <v>4</v>
      </c>
      <c r="I63" s="120">
        <v>4</v>
      </c>
      <c r="J63" s="120">
        <v>4</v>
      </c>
      <c r="K63" s="120">
        <v>4</v>
      </c>
      <c r="L63" s="120">
        <v>4</v>
      </c>
      <c r="M63" s="120">
        <f>H63</f>
        <v>4</v>
      </c>
    </row>
    <row r="64" spans="4:13" x14ac:dyDescent="0.2">
      <c r="E64" s="5" t="s">
        <v>969</v>
      </c>
      <c r="H64" s="120">
        <v>2</v>
      </c>
      <c r="I64" s="120">
        <v>2</v>
      </c>
      <c r="J64" s="120">
        <v>2</v>
      </c>
      <c r="K64" s="120">
        <v>2</v>
      </c>
      <c r="L64" s="120">
        <v>2</v>
      </c>
      <c r="M64" s="120">
        <f t="shared" ref="M64:M65" si="30">H64</f>
        <v>2</v>
      </c>
    </row>
    <row r="65" spans="2:13" x14ac:dyDescent="0.2">
      <c r="E65" s="5" t="s">
        <v>974</v>
      </c>
      <c r="H65" s="69">
        <v>0.55000000000000004</v>
      </c>
      <c r="I65" s="69">
        <v>0.55000000000000004</v>
      </c>
      <c r="J65" s="69">
        <v>0.55000000000000004</v>
      </c>
      <c r="K65" s="69">
        <v>0.55000000000000004</v>
      </c>
      <c r="L65" s="69">
        <v>0.55000000000000004</v>
      </c>
      <c r="M65" s="120">
        <f t="shared" si="30"/>
        <v>0.55000000000000004</v>
      </c>
    </row>
    <row r="66" spans="2:13" x14ac:dyDescent="0.2">
      <c r="D66" s="4" t="s">
        <v>968</v>
      </c>
    </row>
    <row r="67" spans="2:13" x14ac:dyDescent="0.2">
      <c r="D67" s="6" t="s">
        <v>714</v>
      </c>
      <c r="E67" s="5" t="s">
        <v>405</v>
      </c>
      <c r="H67" s="120">
        <v>2</v>
      </c>
      <c r="I67" s="120">
        <v>1</v>
      </c>
      <c r="J67" s="120">
        <v>1</v>
      </c>
      <c r="K67" s="120">
        <v>2</v>
      </c>
      <c r="L67" s="120">
        <v>2</v>
      </c>
      <c r="M67" s="120">
        <f>H67</f>
        <v>2</v>
      </c>
    </row>
    <row r="68" spans="2:13" x14ac:dyDescent="0.2">
      <c r="D68" s="6"/>
      <c r="E68" s="5" t="s">
        <v>969</v>
      </c>
      <c r="H68" s="120">
        <v>2</v>
      </c>
      <c r="I68" s="120">
        <v>2</v>
      </c>
      <c r="J68" s="120">
        <v>2</v>
      </c>
      <c r="K68" s="120">
        <v>2</v>
      </c>
      <c r="L68" s="120">
        <v>2</v>
      </c>
      <c r="M68" s="120">
        <f t="shared" ref="M68:M71" si="31">H68</f>
        <v>2</v>
      </c>
    </row>
    <row r="69" spans="2:13" x14ac:dyDescent="0.2">
      <c r="D69" s="6" t="s">
        <v>406</v>
      </c>
      <c r="E69" s="5" t="s">
        <v>405</v>
      </c>
      <c r="H69" s="120">
        <v>2</v>
      </c>
      <c r="I69" s="120">
        <v>1</v>
      </c>
      <c r="J69" s="120">
        <v>1</v>
      </c>
      <c r="K69" s="120">
        <v>2</v>
      </c>
      <c r="L69" s="120">
        <v>2</v>
      </c>
      <c r="M69" s="120">
        <f t="shared" si="31"/>
        <v>2</v>
      </c>
    </row>
    <row r="70" spans="2:13" x14ac:dyDescent="0.2">
      <c r="E70" s="5" t="s">
        <v>969</v>
      </c>
      <c r="H70" s="120">
        <v>2</v>
      </c>
      <c r="I70" s="120">
        <v>2</v>
      </c>
      <c r="J70" s="120">
        <v>2</v>
      </c>
      <c r="K70" s="120">
        <v>2</v>
      </c>
      <c r="L70" s="120">
        <v>2</v>
      </c>
      <c r="M70" s="120">
        <f t="shared" si="31"/>
        <v>2</v>
      </c>
    </row>
    <row r="71" spans="2:13" x14ac:dyDescent="0.2">
      <c r="D71" s="143"/>
      <c r="E71" s="5" t="s">
        <v>974</v>
      </c>
      <c r="H71" s="69">
        <v>0.25</v>
      </c>
      <c r="I71" s="69">
        <v>0.25</v>
      </c>
      <c r="J71" s="69">
        <v>0.25</v>
      </c>
      <c r="K71" s="69">
        <v>0.25</v>
      </c>
      <c r="L71" s="69">
        <v>0.25</v>
      </c>
      <c r="M71" s="120">
        <f t="shared" si="31"/>
        <v>0.25</v>
      </c>
    </row>
    <row r="73" spans="2:13" s="176" customFormat="1" hidden="1" x14ac:dyDescent="0.2">
      <c r="B73" s="218"/>
    </row>
    <row r="74" spans="2:13" hidden="1" x14ac:dyDescent="0.2"/>
    <row r="75" spans="2:13" hidden="1" x14ac:dyDescent="0.2">
      <c r="C75" s="64" t="s">
        <v>687</v>
      </c>
    </row>
    <row r="76" spans="2:13" hidden="1" x14ac:dyDescent="0.2"/>
    <row r="77" spans="2:13" hidden="1" x14ac:dyDescent="0.2">
      <c r="D77" s="5" t="s">
        <v>396</v>
      </c>
      <c r="H77" s="5">
        <f>H25*$G25*GenAssumptions!D15</f>
        <v>27074.639999999999</v>
      </c>
      <c r="I77" s="5">
        <f>I25*$G25*GenAssumptions!E15</f>
        <v>28861.566240000004</v>
      </c>
      <c r="J77" s="5">
        <f>J25*$G25*GenAssumptions!F15</f>
        <v>30766.429611840005</v>
      </c>
      <c r="K77" s="5">
        <f>K25*$G25*GenAssumptions!G15</f>
        <v>27074.639999999999</v>
      </c>
      <c r="L77" s="5">
        <f>L25*$G25*GenAssumptions!I15</f>
        <v>27074.639999999999</v>
      </c>
      <c r="M77" s="5">
        <f>M25*$G25*GenAssumptions!I15</f>
        <v>27074.639999999999</v>
      </c>
    </row>
    <row r="78" spans="2:13" hidden="1" x14ac:dyDescent="0.2">
      <c r="D78" s="5" t="s">
        <v>2</v>
      </c>
      <c r="H78" s="5">
        <f>H26*$G26*GenAssumptions!D16</f>
        <v>35444.07</v>
      </c>
      <c r="I78" s="5">
        <f>I26*$G26*GenAssumptions!E16</f>
        <v>37783.378620000003</v>
      </c>
      <c r="J78" s="5">
        <f>J26*$G26*GenAssumptions!F16</f>
        <v>40277.081608920009</v>
      </c>
      <c r="K78" s="5">
        <f>K26*$G26*GenAssumptions!G16</f>
        <v>35444.07</v>
      </c>
      <c r="L78" s="5">
        <f>L26*$G26*GenAssumptions!I16</f>
        <v>35444.07</v>
      </c>
      <c r="M78" s="5">
        <f>M26*$G26*GenAssumptions!I16</f>
        <v>35444.07</v>
      </c>
    </row>
    <row r="79" spans="2:13" hidden="1" x14ac:dyDescent="0.2">
      <c r="D79" s="5" t="s">
        <v>3</v>
      </c>
      <c r="H79" s="5">
        <f>H27*$G27*GenAssumptions!D17</f>
        <v>96490.200000000012</v>
      </c>
      <c r="I79" s="5">
        <f>I27*$G27*GenAssumptions!E17</f>
        <v>102858.55320000001</v>
      </c>
      <c r="J79" s="5">
        <f>J27*$G27*GenAssumptions!F17</f>
        <v>109647.21771120001</v>
      </c>
      <c r="K79" s="5">
        <f>K27*$G27*GenAssumptions!G17</f>
        <v>96490.200000000012</v>
      </c>
      <c r="L79" s="5">
        <f>L27*$G27*GenAssumptions!I17</f>
        <v>96490.200000000012</v>
      </c>
      <c r="M79" s="5">
        <f>M27*$G27*GenAssumptions!I17</f>
        <v>96490.200000000012</v>
      </c>
    </row>
    <row r="80" spans="2:13" hidden="1" x14ac:dyDescent="0.2">
      <c r="D80" s="5" t="s">
        <v>905</v>
      </c>
      <c r="H80" s="5">
        <f>H28*$G28*GenAssumptions!D18</f>
        <v>94623.3</v>
      </c>
      <c r="I80" s="5">
        <f>I28*$G28*GenAssumptions!E18</f>
        <v>100868.43780000001</v>
      </c>
      <c r="J80" s="5">
        <f>J28*$G28*GenAssumptions!F18</f>
        <v>107525.75469480001</v>
      </c>
      <c r="K80" s="5">
        <f>K28*$G28*GenAssumptions!G18</f>
        <v>94623.3</v>
      </c>
      <c r="L80" s="5">
        <f>L28*$G28*GenAssumptions!I18</f>
        <v>94623.3</v>
      </c>
      <c r="M80" s="5">
        <f>M28*$G28*GenAssumptions!I18</f>
        <v>94623.3</v>
      </c>
    </row>
    <row r="81" spans="4:19" hidden="1" x14ac:dyDescent="0.2">
      <c r="D81" s="5" t="s">
        <v>647</v>
      </c>
      <c r="H81" s="5">
        <f>H29*$G29*GenAssumptions!D20</f>
        <v>34170.299999999996</v>
      </c>
      <c r="I81" s="5">
        <f>I29*$G29*GenAssumptions!E20</f>
        <v>36425.539799999999</v>
      </c>
      <c r="J81" s="5">
        <f>J29*$G29*GenAssumptions!F20</f>
        <v>38829.625426800005</v>
      </c>
      <c r="K81" s="5">
        <f>K29*$G29*GenAssumptions!G20</f>
        <v>34170.299999999996</v>
      </c>
      <c r="L81" s="5">
        <f>L29*$G29*GenAssumptions!I20</f>
        <v>34170.299999999996</v>
      </c>
      <c r="M81" s="5">
        <f>M29*$G29*GenAssumptions!I20</f>
        <v>34170.299999999996</v>
      </c>
    </row>
    <row r="82" spans="4:19" ht="13.5" hidden="1" thickBot="1" x14ac:dyDescent="0.25">
      <c r="D82" s="5" t="s">
        <v>1047</v>
      </c>
      <c r="H82" s="276">
        <f>SUM(H77:H81)</f>
        <v>287802.51</v>
      </c>
      <c r="I82" s="276">
        <f t="shared" ref="I82:K82" si="32">SUM(I77:I81)</f>
        <v>306797.47566</v>
      </c>
      <c r="J82" s="276">
        <f t="shared" si="32"/>
        <v>327046.10905356001</v>
      </c>
      <c r="K82" s="276">
        <f t="shared" si="32"/>
        <v>287802.51</v>
      </c>
      <c r="L82" s="276">
        <f t="shared" ref="L82" si="33">SUM(L77:L81)</f>
        <v>287802.51</v>
      </c>
      <c r="M82" s="613">
        <f>SUM(M77:M81)*N82</f>
        <v>0</v>
      </c>
      <c r="N82" s="581">
        <f>IF('Budget Choices Workings'!$D$17="Discontinue",0,1)</f>
        <v>0</v>
      </c>
      <c r="Q82" s="5" t="s">
        <v>865</v>
      </c>
      <c r="R82" s="356" t="s">
        <v>984</v>
      </c>
      <c r="S82" s="359" t="str">
        <f t="shared" ref="S82:S123" si="34">CONCATENATE(Q82,R82)</f>
        <v>COEPM</v>
      </c>
    </row>
    <row r="83" spans="4:19" ht="13.5" hidden="1" thickTop="1" x14ac:dyDescent="0.2">
      <c r="D83" s="5" t="s">
        <v>396</v>
      </c>
      <c r="H83" s="277">
        <f>$G25*GenAssumptions!D15</f>
        <v>1353732</v>
      </c>
      <c r="I83" s="277">
        <f>$G25*GenAssumptions!E15</f>
        <v>1443078.3120000002</v>
      </c>
      <c r="J83" s="277">
        <f>$G25*GenAssumptions!F15</f>
        <v>1538321.4805920003</v>
      </c>
      <c r="K83" s="277">
        <f>$G25*GenAssumptions!G15</f>
        <v>1353732</v>
      </c>
      <c r="L83" s="277">
        <f>$G25*GenAssumptions!I15</f>
        <v>1353732</v>
      </c>
      <c r="M83" s="277">
        <f>$G25*GenAssumptions!I15</f>
        <v>1353732</v>
      </c>
      <c r="R83" s="356"/>
      <c r="S83" s="359"/>
    </row>
    <row r="84" spans="4:19" hidden="1" x14ac:dyDescent="0.2">
      <c r="D84" s="5" t="s">
        <v>2</v>
      </c>
      <c r="H84" s="277">
        <f>$G26*GenAssumptions!D16</f>
        <v>1181469</v>
      </c>
      <c r="I84" s="277">
        <f>$G26*GenAssumptions!E16</f>
        <v>1259445.9540000001</v>
      </c>
      <c r="J84" s="277">
        <f>$G26*GenAssumptions!F16</f>
        <v>1342569.3869640003</v>
      </c>
      <c r="K84" s="277">
        <f>$G26*GenAssumptions!G16</f>
        <v>1181469</v>
      </c>
      <c r="L84" s="277">
        <f>$G26*GenAssumptions!I16</f>
        <v>1181469</v>
      </c>
      <c r="M84" s="277">
        <f>$G26*GenAssumptions!I16</f>
        <v>1181469</v>
      </c>
      <c r="R84" s="356"/>
      <c r="S84" s="359"/>
    </row>
    <row r="85" spans="4:19" hidden="1" x14ac:dyDescent="0.2">
      <c r="D85" s="5" t="s">
        <v>3</v>
      </c>
      <c r="H85" s="277">
        <f>$G27*GenAssumptions!D17</f>
        <v>964902</v>
      </c>
      <c r="I85" s="277">
        <f>$G27*GenAssumptions!E17</f>
        <v>1028585.532</v>
      </c>
      <c r="J85" s="277">
        <f>$G27*GenAssumptions!F17</f>
        <v>1096472.1771120001</v>
      </c>
      <c r="K85" s="277">
        <f>$G27*GenAssumptions!G17</f>
        <v>964902</v>
      </c>
      <c r="L85" s="277">
        <f>$G27*GenAssumptions!I17</f>
        <v>964902</v>
      </c>
      <c r="M85" s="277">
        <f>$G27*GenAssumptions!I17</f>
        <v>964902</v>
      </c>
      <c r="R85" s="356"/>
      <c r="S85" s="359"/>
    </row>
    <row r="86" spans="4:19" hidden="1" x14ac:dyDescent="0.2">
      <c r="D86" s="5" t="s">
        <v>905</v>
      </c>
      <c r="H86" s="277">
        <f>$G28*GenAssumptions!D18</f>
        <v>630822</v>
      </c>
      <c r="I86" s="277">
        <f>$G28*GenAssumptions!E18</f>
        <v>672456.25200000009</v>
      </c>
      <c r="J86" s="277">
        <f>$G28*GenAssumptions!F18</f>
        <v>716838.3646320001</v>
      </c>
      <c r="K86" s="277">
        <f>$G28*GenAssumptions!G18</f>
        <v>630822</v>
      </c>
      <c r="L86" s="277">
        <f>$G28*GenAssumptions!I18</f>
        <v>630822</v>
      </c>
      <c r="M86" s="277">
        <f>$G28*GenAssumptions!I18</f>
        <v>630822</v>
      </c>
      <c r="R86" s="356"/>
      <c r="S86" s="359"/>
    </row>
    <row r="87" spans="4:19" hidden="1" x14ac:dyDescent="0.2">
      <c r="D87" s="5" t="s">
        <v>647</v>
      </c>
      <c r="H87" s="277">
        <f>$G29*GenAssumptions!D20</f>
        <v>227802</v>
      </c>
      <c r="I87" s="277">
        <f>$G29*GenAssumptions!E20</f>
        <v>242836.932</v>
      </c>
      <c r="J87" s="277">
        <f>$G29*GenAssumptions!F20</f>
        <v>258864.16951200002</v>
      </c>
      <c r="K87" s="277">
        <f>$G29*GenAssumptions!G20</f>
        <v>227802</v>
      </c>
      <c r="L87" s="277">
        <f>$G29*GenAssumptions!I20</f>
        <v>227802</v>
      </c>
      <c r="M87" s="277">
        <f>$G29*GenAssumptions!I20</f>
        <v>227802</v>
      </c>
      <c r="R87" s="356"/>
      <c r="S87" s="359"/>
    </row>
    <row r="88" spans="4:19" hidden="1" x14ac:dyDescent="0.2">
      <c r="H88" s="427">
        <f>SUM(H83:H87)</f>
        <v>4358727</v>
      </c>
      <c r="I88" s="427">
        <f t="shared" ref="I88:M88" si="35">SUM(I83:I87)</f>
        <v>4646402.9820000008</v>
      </c>
      <c r="J88" s="427">
        <f t="shared" si="35"/>
        <v>4953065.5788120003</v>
      </c>
      <c r="K88" s="427">
        <f t="shared" si="35"/>
        <v>4358727</v>
      </c>
      <c r="L88" s="427">
        <f t="shared" ref="L88" si="36">SUM(L83:L87)</f>
        <v>4358727</v>
      </c>
      <c r="M88" s="427">
        <f t="shared" si="35"/>
        <v>4358727</v>
      </c>
      <c r="R88" s="356"/>
      <c r="S88" s="359"/>
    </row>
    <row r="89" spans="4:19" hidden="1" x14ac:dyDescent="0.2">
      <c r="H89" s="277"/>
      <c r="I89" s="277"/>
      <c r="J89" s="277"/>
      <c r="K89" s="277"/>
      <c r="L89" s="277"/>
      <c r="M89" s="277"/>
      <c r="R89" s="356"/>
      <c r="S89" s="359"/>
    </row>
    <row r="90" spans="4:19" hidden="1" x14ac:dyDescent="0.2">
      <c r="H90" s="277"/>
      <c r="I90" s="277"/>
      <c r="J90" s="277"/>
      <c r="K90" s="277"/>
      <c r="L90" s="277"/>
      <c r="M90" s="277"/>
      <c r="R90" s="356"/>
      <c r="S90" s="359"/>
    </row>
    <row r="91" spans="4:19" hidden="1" x14ac:dyDescent="0.2">
      <c r="H91" s="197"/>
      <c r="S91" s="359" t="str">
        <f t="shared" si="34"/>
        <v/>
      </c>
    </row>
    <row r="92" spans="4:19" hidden="1" x14ac:dyDescent="0.2">
      <c r="D92" s="5" t="s">
        <v>944</v>
      </c>
      <c r="E92" s="5" t="s">
        <v>955</v>
      </c>
      <c r="H92" s="192">
        <f>H31*H32*(GenAssumptions!D52+GenAssumptions!D53)</f>
        <v>70800</v>
      </c>
      <c r="I92" s="5">
        <f>I31*I32*(GenAssumptions!E52+GenAssumptions!E53)</f>
        <v>74764.800000000003</v>
      </c>
      <c r="J92" s="5">
        <f>J31*J32*(GenAssumptions!F52+GenAssumptions!F53)</f>
        <v>78951.62880000002</v>
      </c>
      <c r="K92" s="5">
        <f>K31*K32*(GenAssumptions!G52+GenAssumptions!G53)</f>
        <v>70800</v>
      </c>
      <c r="L92" s="5">
        <f>L31*L32*(GenAssumptions!I52+GenAssumptions!I53)</f>
        <v>70800</v>
      </c>
      <c r="M92" s="5">
        <f>M31*M32*(GenAssumptions!I52+GenAssumptions!I53)</f>
        <v>70800</v>
      </c>
      <c r="S92" s="359" t="str">
        <f t="shared" si="34"/>
        <v/>
      </c>
    </row>
    <row r="93" spans="4:19" hidden="1" x14ac:dyDescent="0.2">
      <c r="E93" s="5" t="s">
        <v>956</v>
      </c>
      <c r="H93" s="5">
        <f>H31*GenAssumptions!D50</f>
        <v>72000</v>
      </c>
      <c r="I93" s="5">
        <f>I31*GenAssumptions!E50</f>
        <v>76032</v>
      </c>
      <c r="J93" s="5">
        <f>J31*GenAssumptions!F50</f>
        <v>80289.792000000016</v>
      </c>
      <c r="K93" s="5">
        <f>K31*GenAssumptions!G50</f>
        <v>72000</v>
      </c>
      <c r="L93" s="5">
        <f>L31*GenAssumptions!I50</f>
        <v>72000</v>
      </c>
      <c r="M93" s="5">
        <f>M31*GenAssumptions!I50</f>
        <v>72000</v>
      </c>
      <c r="S93" s="359" t="str">
        <f t="shared" si="34"/>
        <v/>
      </c>
    </row>
    <row r="94" spans="4:19" hidden="1" x14ac:dyDescent="0.2">
      <c r="E94" s="5" t="s">
        <v>958</v>
      </c>
      <c r="H94" s="5">
        <f>H32*(H33+H31)*GenAssumptions!D52+GenAssumptions!D54*NDOH!H32</f>
        <v>10000</v>
      </c>
      <c r="I94" s="5">
        <f>I32*(I33+I31)*GenAssumptions!E52+GenAssumptions!E54*NDOH!I32</f>
        <v>10560</v>
      </c>
      <c r="J94" s="5">
        <f>J32*(J33+J31)*GenAssumptions!F52+GenAssumptions!F54*NDOH!J32</f>
        <v>11151.36</v>
      </c>
      <c r="K94" s="5">
        <f>K32*(K33+K31)*GenAssumptions!G52+GenAssumptions!G54*NDOH!K32</f>
        <v>10000</v>
      </c>
      <c r="L94" s="5">
        <f>L32*(L33+L31)*GenAssumptions!I52+GenAssumptions!I54*NDOH!L32</f>
        <v>10000</v>
      </c>
      <c r="M94" s="5">
        <f>M32*(M33+M31)*GenAssumptions!I52+GenAssumptions!I54*NDOH!M32</f>
        <v>10000</v>
      </c>
      <c r="S94" s="359" t="str">
        <f t="shared" si="34"/>
        <v/>
      </c>
    </row>
    <row r="95" spans="4:19" hidden="1" x14ac:dyDescent="0.2">
      <c r="D95" s="5" t="s">
        <v>1042</v>
      </c>
      <c r="H95" s="426">
        <f>SUM(H92:H94)</f>
        <v>152800</v>
      </c>
      <c r="I95" s="426">
        <f t="shared" ref="I95:M95" si="37">SUM(I92:I94)</f>
        <v>161356.79999999999</v>
      </c>
      <c r="J95" s="426">
        <f t="shared" si="37"/>
        <v>170392.78080000001</v>
      </c>
      <c r="K95" s="426">
        <f t="shared" si="37"/>
        <v>152800</v>
      </c>
      <c r="L95" s="426">
        <f t="shared" ref="L95" si="38">SUM(L92:L94)</f>
        <v>152800</v>
      </c>
      <c r="M95" s="426">
        <f t="shared" si="37"/>
        <v>152800</v>
      </c>
      <c r="R95" s="356"/>
      <c r="S95" s="359" t="str">
        <f t="shared" si="34"/>
        <v/>
      </c>
    </row>
    <row r="96" spans="4:19" hidden="1" x14ac:dyDescent="0.2">
      <c r="S96" s="359" t="str">
        <f t="shared" si="34"/>
        <v/>
      </c>
    </row>
    <row r="97" spans="3:19" ht="13.5" hidden="1" thickBot="1" x14ac:dyDescent="0.25">
      <c r="D97" s="5" t="s">
        <v>914</v>
      </c>
      <c r="H97" s="276">
        <f>H95*H40</f>
        <v>53480</v>
      </c>
      <c r="I97" s="276">
        <f>I95*I40</f>
        <v>56474.87999999999</v>
      </c>
      <c r="J97" s="276">
        <f>J95*J40</f>
        <v>59637.473279999998</v>
      </c>
      <c r="K97" s="276">
        <f>K95*K40</f>
        <v>53480</v>
      </c>
      <c r="L97" s="276">
        <f>L95*L40</f>
        <v>53480</v>
      </c>
      <c r="M97" s="613">
        <f>M95*M40*N97</f>
        <v>0</v>
      </c>
      <c r="N97" s="581">
        <f>IF('Budget Choices Workings'!$D$17="Discontinue",0,1)</f>
        <v>0</v>
      </c>
      <c r="Q97" s="5" t="s">
        <v>866</v>
      </c>
      <c r="R97" s="356" t="s">
        <v>984</v>
      </c>
      <c r="S97" s="359" t="str">
        <f t="shared" si="34"/>
        <v>GSPM</v>
      </c>
    </row>
    <row r="98" spans="3:19" ht="13.5" hidden="1" thickTop="1" x14ac:dyDescent="0.2">
      <c r="D98" s="5" t="s">
        <v>1043</v>
      </c>
      <c r="H98" s="426">
        <f>(H36*GenAssumptions!D57+NDOH!H37*GenAssumptions!D58+NDOH!H38*GenAssumptions!D59)</f>
        <v>39800</v>
      </c>
      <c r="I98" s="426">
        <f>(I36*GenAssumptions!E57+NDOH!I37*GenAssumptions!E58+NDOH!I38*GenAssumptions!E59)</f>
        <v>42028.800000000003</v>
      </c>
      <c r="J98" s="426">
        <f>(J36*GenAssumptions!F57+NDOH!J37*GenAssumptions!F58+NDOH!J38*GenAssumptions!F59)</f>
        <v>44382.412800000006</v>
      </c>
      <c r="K98" s="426">
        <f>(K36*GenAssumptions!G57+NDOH!K37*GenAssumptions!G58+NDOH!K38*GenAssumptions!G59)</f>
        <v>39800</v>
      </c>
      <c r="L98" s="426">
        <f>(L36*GenAssumptions!I57+NDOH!L37*GenAssumptions!I58+NDOH!L38*GenAssumptions!I59)</f>
        <v>39800</v>
      </c>
      <c r="M98" s="426">
        <f>(M36*GenAssumptions!I57+NDOH!M37*GenAssumptions!I58+NDOH!M38*GenAssumptions!I59)</f>
        <v>39800</v>
      </c>
      <c r="S98" s="359" t="str">
        <f t="shared" si="34"/>
        <v/>
      </c>
    </row>
    <row r="99" spans="3:19" ht="13.5" hidden="1" thickBot="1" x14ac:dyDescent="0.25">
      <c r="D99" s="5" t="s">
        <v>915</v>
      </c>
      <c r="H99" s="276">
        <f>(H36*GenAssumptions!D57+NDOH!H37*GenAssumptions!D58+NDOH!H38*GenAssumptions!D59)*H40</f>
        <v>13930</v>
      </c>
      <c r="I99" s="276">
        <f>(I36*GenAssumptions!E57+NDOH!I37*GenAssumptions!E58+NDOH!I38*GenAssumptions!E59)*I40</f>
        <v>14710.08</v>
      </c>
      <c r="J99" s="276">
        <f>(J36*GenAssumptions!F57+NDOH!J37*GenAssumptions!F58+NDOH!J38*GenAssumptions!F59)*J40</f>
        <v>15533.844480000002</v>
      </c>
      <c r="K99" s="276">
        <f>(K36*GenAssumptions!G57+NDOH!K37*GenAssumptions!G58+NDOH!K38*GenAssumptions!G59)*K40</f>
        <v>13930</v>
      </c>
      <c r="L99" s="276">
        <f>(L36*GenAssumptions!I57+NDOH!L37*GenAssumptions!I58+NDOH!L38*GenAssumptions!I59)*L40</f>
        <v>13930</v>
      </c>
      <c r="M99" s="613">
        <f>(M36*GenAssumptions!I57+NDOH!M37*GenAssumptions!I58+NDOH!M38*GenAssumptions!I59)*M40*N99</f>
        <v>0</v>
      </c>
      <c r="N99" s="581">
        <f>IF('Budget Choices Workings'!$D$17="Discontinue",0,1)</f>
        <v>0</v>
      </c>
      <c r="Q99" s="5" t="s">
        <v>866</v>
      </c>
      <c r="R99" s="356" t="s">
        <v>984</v>
      </c>
      <c r="S99" s="359" t="str">
        <f t="shared" si="34"/>
        <v>GSPM</v>
      </c>
    </row>
    <row r="100" spans="3:19" ht="13.5" hidden="1" thickTop="1" x14ac:dyDescent="0.2">
      <c r="H100" s="426">
        <f>(H36*GenAssumptions!D57+NDOH!H37*GenAssumptions!D58+NDOH!H38*GenAssumptions!D59)</f>
        <v>39800</v>
      </c>
      <c r="I100" s="426">
        <f>(I36*GenAssumptions!E57+NDOH!I37*GenAssumptions!E58+NDOH!I38*GenAssumptions!E59)</f>
        <v>42028.800000000003</v>
      </c>
      <c r="J100" s="426">
        <f>(J36*GenAssumptions!F57+NDOH!J37*GenAssumptions!F58+NDOH!J38*GenAssumptions!F59)</f>
        <v>44382.412800000006</v>
      </c>
      <c r="K100" s="426">
        <f>(K36*GenAssumptions!G57+NDOH!K37*GenAssumptions!G58+NDOH!K38*GenAssumptions!G59)</f>
        <v>39800</v>
      </c>
      <c r="L100" s="426">
        <f>(L36*GenAssumptions!I57+NDOH!L37*GenAssumptions!I58+NDOH!L38*GenAssumptions!I59)</f>
        <v>39800</v>
      </c>
      <c r="M100" s="426">
        <f>(M36*GenAssumptions!I57+NDOH!M37*GenAssumptions!I58+NDOH!M38*GenAssumptions!I59)</f>
        <v>39800</v>
      </c>
      <c r="S100" s="359" t="str">
        <f t="shared" si="34"/>
        <v/>
      </c>
    </row>
    <row r="101" spans="3:19" hidden="1" x14ac:dyDescent="0.2">
      <c r="C101" s="64" t="s">
        <v>497</v>
      </c>
      <c r="N101" s="612">
        <f>(H99+H97+H82)*O101</f>
        <v>355212.51</v>
      </c>
      <c r="O101" s="581">
        <f>IF('Budget Choices Workings'!$D$17="Discontinue",1,0)</f>
        <v>1</v>
      </c>
      <c r="S101" s="359" t="str">
        <f t="shared" si="34"/>
        <v/>
      </c>
    </row>
    <row r="102" spans="3:19" hidden="1" x14ac:dyDescent="0.2">
      <c r="S102" s="359" t="str">
        <f t="shared" si="34"/>
        <v/>
      </c>
    </row>
    <row r="103" spans="3:19" hidden="1" x14ac:dyDescent="0.2">
      <c r="D103" s="5" t="s">
        <v>2</v>
      </c>
      <c r="H103" s="197">
        <f>H45*GenAssumptions!D16</f>
        <v>177220.35</v>
      </c>
      <c r="I103" s="197">
        <f>I45*GenAssumptions!E16</f>
        <v>188916.89310000002</v>
      </c>
      <c r="J103" s="197">
        <f>J45*GenAssumptions!F16</f>
        <v>201385.40804460004</v>
      </c>
      <c r="K103" s="197">
        <f>K45*GenAssumptions!G16</f>
        <v>177220.35</v>
      </c>
      <c r="L103" s="197">
        <f>L45*GenAssumptions!I16</f>
        <v>177220.35</v>
      </c>
      <c r="M103" s="197">
        <f>M45*GenAssumptions!I16</f>
        <v>177220.35</v>
      </c>
      <c r="S103" s="359" t="str">
        <f t="shared" si="34"/>
        <v/>
      </c>
    </row>
    <row r="104" spans="3:19" hidden="1" x14ac:dyDescent="0.2">
      <c r="D104" s="5" t="s">
        <v>3</v>
      </c>
      <c r="H104" s="197">
        <f>H46*GenAssumptions!D17</f>
        <v>241225.5</v>
      </c>
      <c r="I104" s="197">
        <f>I46*GenAssumptions!E17</f>
        <v>257146.383</v>
      </c>
      <c r="J104" s="197">
        <f>J46*GenAssumptions!F17</f>
        <v>274118.04427800002</v>
      </c>
      <c r="K104" s="197">
        <f>K46*GenAssumptions!G17</f>
        <v>241225.5</v>
      </c>
      <c r="L104" s="197">
        <f>L46*GenAssumptions!I17</f>
        <v>241225.5</v>
      </c>
      <c r="M104" s="197">
        <f>M46*GenAssumptions!I17</f>
        <v>241225.5</v>
      </c>
      <c r="S104" s="359" t="str">
        <f t="shared" si="34"/>
        <v/>
      </c>
    </row>
    <row r="105" spans="3:19" hidden="1" x14ac:dyDescent="0.2">
      <c r="D105" s="5" t="s">
        <v>905</v>
      </c>
      <c r="H105" s="197">
        <f>H47*GenAssumptions!D18</f>
        <v>220787.69999999998</v>
      </c>
      <c r="I105" s="197">
        <f>I47*GenAssumptions!E18</f>
        <v>235359.6882</v>
      </c>
      <c r="J105" s="197">
        <f>J47*GenAssumptions!F18</f>
        <v>250893.42762120001</v>
      </c>
      <c r="K105" s="197">
        <f>K47*GenAssumptions!G18</f>
        <v>220787.69999999998</v>
      </c>
      <c r="L105" s="197">
        <f>L47*GenAssumptions!I18</f>
        <v>220787.69999999998</v>
      </c>
      <c r="M105" s="197">
        <f>M47*GenAssumptions!I18</f>
        <v>220787.69999999998</v>
      </c>
      <c r="S105" s="359" t="str">
        <f t="shared" si="34"/>
        <v/>
      </c>
    </row>
    <row r="106" spans="3:19" ht="13.5" hidden="1" thickBot="1" x14ac:dyDescent="0.25">
      <c r="H106" s="278">
        <f t="shared" ref="H106:M106" si="39">SUM(H103:H105)</f>
        <v>639233.54999999993</v>
      </c>
      <c r="I106" s="278">
        <f t="shared" si="39"/>
        <v>681422.96429999999</v>
      </c>
      <c r="J106" s="278">
        <f t="shared" si="39"/>
        <v>726396.87994380004</v>
      </c>
      <c r="K106" s="278">
        <f t="shared" si="39"/>
        <v>639233.54999999993</v>
      </c>
      <c r="L106" s="278">
        <f t="shared" si="39"/>
        <v>639233.54999999993</v>
      </c>
      <c r="M106" s="278">
        <f t="shared" si="39"/>
        <v>639233.54999999993</v>
      </c>
      <c r="Q106" s="5" t="s">
        <v>865</v>
      </c>
      <c r="R106" s="356" t="s">
        <v>984</v>
      </c>
      <c r="S106" s="359" t="str">
        <f t="shared" si="34"/>
        <v>COEPM</v>
      </c>
    </row>
    <row r="107" spans="3:19" ht="13.5" hidden="1" thickTop="1" x14ac:dyDescent="0.2">
      <c r="D107" s="5" t="s">
        <v>2</v>
      </c>
      <c r="H107" s="192">
        <f>GenAssumptions!D16</f>
        <v>1181469</v>
      </c>
      <c r="I107" s="192">
        <f>GenAssumptions!E16</f>
        <v>1259445.9540000001</v>
      </c>
      <c r="J107" s="192">
        <f>GenAssumptions!F16</f>
        <v>1342569.3869640003</v>
      </c>
      <c r="K107" s="192">
        <f>GenAssumptions!G16</f>
        <v>1181469</v>
      </c>
      <c r="L107" s="192">
        <f>GenAssumptions!I16</f>
        <v>1181469</v>
      </c>
      <c r="M107" s="192">
        <f>GenAssumptions!I16</f>
        <v>1181469</v>
      </c>
      <c r="R107" s="356"/>
      <c r="S107" s="359"/>
    </row>
    <row r="108" spans="3:19" hidden="1" x14ac:dyDescent="0.2">
      <c r="D108" s="5" t="s">
        <v>3</v>
      </c>
      <c r="H108" s="192">
        <f>GenAssumptions!D17</f>
        <v>964902</v>
      </c>
      <c r="I108" s="192">
        <f>GenAssumptions!E17</f>
        <v>1028585.532</v>
      </c>
      <c r="J108" s="192">
        <f>GenAssumptions!F17</f>
        <v>1096472.1771120001</v>
      </c>
      <c r="K108" s="192">
        <f>GenAssumptions!G17</f>
        <v>964902</v>
      </c>
      <c r="L108" s="192">
        <f>GenAssumptions!I17</f>
        <v>964902</v>
      </c>
      <c r="M108" s="192">
        <f>GenAssumptions!I17</f>
        <v>964902</v>
      </c>
      <c r="R108" s="356"/>
      <c r="S108" s="359"/>
    </row>
    <row r="109" spans="3:19" hidden="1" x14ac:dyDescent="0.2">
      <c r="D109" s="5" t="s">
        <v>905</v>
      </c>
      <c r="H109" s="192">
        <f>GenAssumptions!D18</f>
        <v>630822</v>
      </c>
      <c r="I109" s="192">
        <f>GenAssumptions!E18</f>
        <v>672456.25200000009</v>
      </c>
      <c r="J109" s="192">
        <f>GenAssumptions!F18</f>
        <v>716838.3646320001</v>
      </c>
      <c r="K109" s="192">
        <f>GenAssumptions!G18</f>
        <v>630822</v>
      </c>
      <c r="L109" s="192">
        <f>GenAssumptions!I18</f>
        <v>630822</v>
      </c>
      <c r="M109" s="192">
        <f>GenAssumptions!I18</f>
        <v>630822</v>
      </c>
      <c r="R109" s="356"/>
      <c r="S109" s="359"/>
    </row>
    <row r="110" spans="3:19" hidden="1" x14ac:dyDescent="0.2">
      <c r="H110" s="427">
        <f>SUM(H107:H109)</f>
        <v>2777193</v>
      </c>
      <c r="I110" s="427">
        <f t="shared" ref="I110:M110" si="40">SUM(I107:I109)</f>
        <v>2960487.7379999999</v>
      </c>
      <c r="J110" s="427">
        <f t="shared" si="40"/>
        <v>3155879.9287080006</v>
      </c>
      <c r="K110" s="427">
        <f t="shared" si="40"/>
        <v>2777193</v>
      </c>
      <c r="L110" s="427">
        <f t="shared" ref="L110" si="41">SUM(L107:L109)</f>
        <v>2777193</v>
      </c>
      <c r="M110" s="427">
        <f t="shared" si="40"/>
        <v>2777193</v>
      </c>
      <c r="R110" s="356"/>
      <c r="S110" s="359"/>
    </row>
    <row r="111" spans="3:19" hidden="1" x14ac:dyDescent="0.2">
      <c r="H111" s="429"/>
      <c r="I111" s="429"/>
      <c r="J111" s="429"/>
      <c r="K111" s="429"/>
      <c r="L111" s="429"/>
      <c r="M111" s="429"/>
      <c r="R111" s="356"/>
      <c r="S111" s="359"/>
    </row>
    <row r="112" spans="3:19" hidden="1" x14ac:dyDescent="0.2">
      <c r="S112" s="359" t="str">
        <f t="shared" si="34"/>
        <v/>
      </c>
    </row>
    <row r="113" spans="3:19" ht="13.5" hidden="1" thickBot="1" x14ac:dyDescent="0.25">
      <c r="D113" s="5" t="s">
        <v>7</v>
      </c>
      <c r="H113" s="278">
        <f>((H50*9+H51+H52)*H54*GenAssumptions!D57+(H50*9+H51+H52)*GenAssumptions!D58*NDOH!H56+(H50*9+H51+H52)*GenAssumptions!D59*NDOH!H55)*H57</f>
        <v>15333</v>
      </c>
      <c r="I113" s="278">
        <f>((I50*9+I51+I52)*I54*GenAssumptions!E57+(I50*9+I51+I52)*GenAssumptions!E58*NDOH!I56+(I50*9+I51+I52)*GenAssumptions!E59*NDOH!I55)*I57</f>
        <v>16191.648000000001</v>
      </c>
      <c r="J113" s="278">
        <f>((J50*9+J51+J52)*J54*GenAssumptions!F57+(J50*9+J51+J52)*GenAssumptions!F58*NDOH!J56+(J50*9+J51+J52)*GenAssumptions!F59*NDOH!J55)*J57</f>
        <v>17098.380288000004</v>
      </c>
      <c r="K113" s="278">
        <f>((K50*9+K51+K52)*K54*GenAssumptions!G57+(K50*9+K51+K52)*GenAssumptions!G58*NDOH!K56+(K50*9+K51+K52)*GenAssumptions!G59*NDOH!K55)*K57</f>
        <v>15333</v>
      </c>
      <c r="L113" s="278">
        <f>((L50*9+L51+L52)*L54*GenAssumptions!I57+(L50*9+L51+L52)*GenAssumptions!I58*NDOH!L56+(L50*9+L51+L52)*GenAssumptions!I59*NDOH!L55)*L57</f>
        <v>15333</v>
      </c>
      <c r="M113" s="278">
        <f>((M50*9+M51+M52)*M54*GenAssumptions!I57+(M50*9+M51+M52)*GenAssumptions!I58*NDOH!M56+(M50*9+M51+M52)*GenAssumptions!I59*NDOH!M55)*M57</f>
        <v>15333</v>
      </c>
      <c r="Q113" s="5" t="s">
        <v>866</v>
      </c>
      <c r="R113" s="356" t="s">
        <v>984</v>
      </c>
      <c r="S113" s="359" t="str">
        <f t="shared" si="34"/>
        <v>GSPM</v>
      </c>
    </row>
    <row r="114" spans="3:19" ht="13.5" hidden="1" thickTop="1" x14ac:dyDescent="0.2">
      <c r="D114" s="5" t="s">
        <v>1046</v>
      </c>
      <c r="H114" s="426">
        <f>((H50*9+H51+H52)*H54*GenAssumptions!D57+(H50*9+H51+H52)*GenAssumptions!D58*NDOH!H56+(H50*9+H51+H52)*GenAssumptions!D59*NDOH!H55)</f>
        <v>102220</v>
      </c>
      <c r="I114" s="426">
        <f>((I50*9+I51+I52)*I54*GenAssumptions!E57+(I50*9+I51+I52)*GenAssumptions!E58*NDOH!I56+(I50*9+I51+I52)*GenAssumptions!E59*NDOH!I55)</f>
        <v>107944.32000000001</v>
      </c>
      <c r="J114" s="426">
        <f>((J50*9+J51+J52)*J54*GenAssumptions!F57+(J50*9+J51+J52)*GenAssumptions!F58*NDOH!J56+(J50*9+J51+J52)*GenAssumptions!F59*NDOH!J55)</f>
        <v>113989.20192000002</v>
      </c>
      <c r="K114" s="426">
        <f>((K50*9+K51+K52)*K54*GenAssumptions!G57+(K50*9+K51+K52)*GenAssumptions!G58*NDOH!K56+(K50*9+K51+K52)*GenAssumptions!G59*NDOH!K55)</f>
        <v>102220</v>
      </c>
      <c r="L114" s="426">
        <f>((L50*9+L51+L52)*L54*GenAssumptions!I57+(L50*9+L51+L52)*GenAssumptions!I58*NDOH!L56+(L50*9+L51+L52)*GenAssumptions!I59*NDOH!L55)</f>
        <v>102220</v>
      </c>
      <c r="M114" s="426">
        <f>((M50*9+M51+M52)*M54*GenAssumptions!I57+(M50*9+M51+M52)*GenAssumptions!I58*NDOH!M56+(M50*9+M51+M52)*GenAssumptions!I59*NDOH!M55)</f>
        <v>102220</v>
      </c>
      <c r="S114" s="359" t="str">
        <f t="shared" si="34"/>
        <v/>
      </c>
    </row>
    <row r="115" spans="3:19" hidden="1" x14ac:dyDescent="0.2">
      <c r="S115" s="359" t="str">
        <f t="shared" si="34"/>
        <v/>
      </c>
    </row>
    <row r="116" spans="3:19" hidden="1" x14ac:dyDescent="0.2">
      <c r="C116" s="4" t="s">
        <v>375</v>
      </c>
      <c r="S116" s="359" t="str">
        <f t="shared" si="34"/>
        <v/>
      </c>
    </row>
    <row r="117" spans="3:19" ht="13.5" hidden="1" thickBot="1" x14ac:dyDescent="0.25">
      <c r="D117" s="5" t="s">
        <v>989</v>
      </c>
      <c r="H117" s="279">
        <f t="shared" ref="H117:M117" si="42">H59*H60</f>
        <v>575000</v>
      </c>
      <c r="I117" s="279">
        <f t="shared" si="42"/>
        <v>607200</v>
      </c>
      <c r="J117" s="279">
        <f t="shared" si="42"/>
        <v>641203.20000000007</v>
      </c>
      <c r="K117" s="279">
        <f t="shared" si="42"/>
        <v>575000</v>
      </c>
      <c r="L117" s="279">
        <f t="shared" si="42"/>
        <v>575000</v>
      </c>
      <c r="M117" s="279">
        <f t="shared" si="42"/>
        <v>575000</v>
      </c>
      <c r="Q117" s="5" t="s">
        <v>866</v>
      </c>
      <c r="R117" s="356" t="s">
        <v>984</v>
      </c>
      <c r="S117" s="359" t="str">
        <f t="shared" si="34"/>
        <v>GSPM</v>
      </c>
    </row>
    <row r="118" spans="3:19" ht="13.5" hidden="1" thickTop="1" x14ac:dyDescent="0.2">
      <c r="D118" s="5" t="s">
        <v>1045</v>
      </c>
      <c r="H118" s="427">
        <f t="shared" ref="H118:M118" si="43">H59</f>
        <v>2300000</v>
      </c>
      <c r="I118" s="427">
        <f t="shared" si="43"/>
        <v>2428800</v>
      </c>
      <c r="J118" s="427">
        <f t="shared" si="43"/>
        <v>2564812.8000000003</v>
      </c>
      <c r="K118" s="427">
        <f t="shared" si="43"/>
        <v>2300000</v>
      </c>
      <c r="L118" s="427">
        <f t="shared" si="43"/>
        <v>2300000</v>
      </c>
      <c r="M118" s="427">
        <f t="shared" si="43"/>
        <v>2300000</v>
      </c>
      <c r="S118" s="359" t="str">
        <f t="shared" si="34"/>
        <v/>
      </c>
    </row>
    <row r="119" spans="3:19" hidden="1" x14ac:dyDescent="0.2">
      <c r="S119" s="359" t="str">
        <f t="shared" si="34"/>
        <v/>
      </c>
    </row>
    <row r="120" spans="3:19" hidden="1" x14ac:dyDescent="0.2">
      <c r="C120" s="4" t="s">
        <v>6</v>
      </c>
      <c r="S120" s="359" t="str">
        <f t="shared" si="34"/>
        <v/>
      </c>
    </row>
    <row r="121" spans="3:19" hidden="1" x14ac:dyDescent="0.2">
      <c r="C121" s="4"/>
      <c r="D121" s="5" t="s">
        <v>970</v>
      </c>
      <c r="H121" s="192">
        <f>H63*H64*GenAssumptions!D69*H65</f>
        <v>132000</v>
      </c>
      <c r="I121" s="192">
        <f>I63*I64*GenAssumptions!E69*I65</f>
        <v>139392</v>
      </c>
      <c r="J121" s="192">
        <f>J63*J64*GenAssumptions!F69*J65</f>
        <v>147197.95200000002</v>
      </c>
      <c r="K121" s="192">
        <f>K63*K64*GenAssumptions!G69*K65</f>
        <v>132000</v>
      </c>
      <c r="L121" s="192">
        <f>L63*L64*GenAssumptions!I69*L65</f>
        <v>132000</v>
      </c>
      <c r="M121" s="192">
        <f>M63*M64*GenAssumptions!I69*M65</f>
        <v>132000</v>
      </c>
      <c r="S121" s="359" t="str">
        <f t="shared" si="34"/>
        <v/>
      </c>
    </row>
    <row r="122" spans="3:19" hidden="1" x14ac:dyDescent="0.2">
      <c r="C122" s="4"/>
      <c r="D122" s="5" t="s">
        <v>971</v>
      </c>
      <c r="H122" s="192">
        <f>H67*H68*GenAssumptions!D69*H71</f>
        <v>30000</v>
      </c>
      <c r="I122" s="192">
        <f>I67*I68*GenAssumptions!E69*I71</f>
        <v>15840</v>
      </c>
      <c r="J122" s="192">
        <f>J67*J68*GenAssumptions!F69*J71</f>
        <v>16727.04</v>
      </c>
      <c r="K122" s="192">
        <f>K67*K68*GenAssumptions!G69*K71</f>
        <v>30000</v>
      </c>
      <c r="L122" s="192">
        <f>L67*L68*GenAssumptions!I69*L71</f>
        <v>30000</v>
      </c>
      <c r="M122" s="192">
        <f>M67*M68*GenAssumptions!I69*M71</f>
        <v>30000</v>
      </c>
      <c r="S122" s="359" t="str">
        <f t="shared" si="34"/>
        <v/>
      </c>
    </row>
    <row r="123" spans="3:19" hidden="1" x14ac:dyDescent="0.2">
      <c r="C123" s="4"/>
      <c r="D123" s="5" t="s">
        <v>972</v>
      </c>
      <c r="H123" s="192">
        <f>H69*H70*GenAssumptions!D69*H71</f>
        <v>30000</v>
      </c>
      <c r="I123" s="192">
        <f>I69*I70*GenAssumptions!E69*I71</f>
        <v>15840</v>
      </c>
      <c r="J123" s="192">
        <f>J69*J70*GenAssumptions!F69*J71</f>
        <v>16727.04</v>
      </c>
      <c r="K123" s="192">
        <f>K69*K70*GenAssumptions!G69*K71</f>
        <v>30000</v>
      </c>
      <c r="L123" s="192">
        <f>L69*L70*GenAssumptions!I69*L71</f>
        <v>30000</v>
      </c>
      <c r="M123" s="192">
        <f>M69*M70*GenAssumptions!I69*M71</f>
        <v>30000</v>
      </c>
      <c r="S123" s="359" t="str">
        <f t="shared" si="34"/>
        <v/>
      </c>
    </row>
    <row r="124" spans="3:19" ht="13.5" hidden="1" thickBot="1" x14ac:dyDescent="0.25">
      <c r="H124" s="279">
        <f>SUM(H121:H123)</f>
        <v>192000</v>
      </c>
      <c r="I124" s="279">
        <f t="shared" ref="I124:M124" si="44">SUM(I121:I123)</f>
        <v>171072</v>
      </c>
      <c r="J124" s="279">
        <f t="shared" si="44"/>
        <v>180652.03200000004</v>
      </c>
      <c r="K124" s="279">
        <f t="shared" si="44"/>
        <v>192000</v>
      </c>
      <c r="L124" s="279">
        <f t="shared" ref="L124" si="45">SUM(L121:L123)</f>
        <v>192000</v>
      </c>
      <c r="M124" s="279">
        <f t="shared" si="44"/>
        <v>192000</v>
      </c>
      <c r="Q124" s="5" t="s">
        <v>866</v>
      </c>
      <c r="R124" s="356" t="s">
        <v>984</v>
      </c>
      <c r="S124" s="359" t="str">
        <f>CONCATENATE(Q124,R124)</f>
        <v>GSPM</v>
      </c>
    </row>
    <row r="125" spans="3:19" ht="13.5" hidden="1" thickTop="1" x14ac:dyDescent="0.2"/>
    <row r="126" spans="3:19" hidden="1" x14ac:dyDescent="0.2">
      <c r="C126" s="5" t="s">
        <v>1044</v>
      </c>
      <c r="H126" s="192">
        <f>H63*H64*GenAssumptions!D69</f>
        <v>240000</v>
      </c>
      <c r="I126" s="192">
        <f>I63*I64*GenAssumptions!E69</f>
        <v>253440</v>
      </c>
      <c r="J126" s="192">
        <f>J63*J64*GenAssumptions!F69</f>
        <v>267632.64000000001</v>
      </c>
      <c r="K126" s="192">
        <f>K63*K64*GenAssumptions!G69</f>
        <v>240000</v>
      </c>
      <c r="L126" s="192">
        <f>L63*L64*GenAssumptions!I69</f>
        <v>240000</v>
      </c>
      <c r="M126" s="192">
        <f>M63*M64*GenAssumptions!I69</f>
        <v>240000</v>
      </c>
    </row>
    <row r="127" spans="3:19" hidden="1" x14ac:dyDescent="0.2">
      <c r="H127" s="192">
        <f>H67*H68*GenAssumptions!D69</f>
        <v>120000</v>
      </c>
      <c r="I127" s="192">
        <f>I67*I68*GenAssumptions!E69</f>
        <v>63360</v>
      </c>
      <c r="J127" s="192">
        <f>J67*J68*GenAssumptions!F69</f>
        <v>66908.160000000003</v>
      </c>
      <c r="K127" s="192">
        <f>K67*K68*GenAssumptions!G69</f>
        <v>120000</v>
      </c>
      <c r="L127" s="192">
        <f>L67*L68*GenAssumptions!I69</f>
        <v>120000</v>
      </c>
      <c r="M127" s="192">
        <f>M67*M68*GenAssumptions!I69</f>
        <v>120000</v>
      </c>
    </row>
    <row r="128" spans="3:19" hidden="1" x14ac:dyDescent="0.2">
      <c r="H128" s="192">
        <f>H69*H70*GenAssumptions!D69</f>
        <v>120000</v>
      </c>
      <c r="I128" s="192">
        <f>I69*I70*GenAssumptions!E69</f>
        <v>63360</v>
      </c>
      <c r="J128" s="192">
        <f>J69*J70*GenAssumptions!F69</f>
        <v>66908.160000000003</v>
      </c>
      <c r="K128" s="192">
        <f>K69*K70*GenAssumptions!G69</f>
        <v>120000</v>
      </c>
      <c r="L128" s="192">
        <f>L69*L70*GenAssumptions!I69</f>
        <v>120000</v>
      </c>
      <c r="M128" s="192">
        <f>M69*M70*GenAssumptions!I69</f>
        <v>120000</v>
      </c>
    </row>
    <row r="129" spans="4:13" hidden="1" x14ac:dyDescent="0.2">
      <c r="H129" s="427">
        <f>SUM(H126:H128)</f>
        <v>480000</v>
      </c>
      <c r="I129" s="427">
        <f t="shared" ref="I129:M129" si="46">SUM(I126:I128)</f>
        <v>380160</v>
      </c>
      <c r="J129" s="427">
        <f t="shared" si="46"/>
        <v>401448.96000000008</v>
      </c>
      <c r="K129" s="427">
        <f t="shared" si="46"/>
        <v>480000</v>
      </c>
      <c r="L129" s="427">
        <f t="shared" ref="L129" si="47">SUM(L126:L128)</f>
        <v>480000</v>
      </c>
      <c r="M129" s="427">
        <f t="shared" si="46"/>
        <v>480000</v>
      </c>
    </row>
    <row r="130" spans="4:13" hidden="1" x14ac:dyDescent="0.2"/>
    <row r="131" spans="4:13" hidden="1" x14ac:dyDescent="0.2"/>
    <row r="132" spans="4:13" hidden="1" x14ac:dyDescent="0.2"/>
    <row r="133" spans="4:13" hidden="1" x14ac:dyDescent="0.2">
      <c r="D133" s="143" t="s">
        <v>407</v>
      </c>
    </row>
    <row r="134" spans="4:13" hidden="1" x14ac:dyDescent="0.2"/>
    <row r="135" spans="4:13" hidden="1" x14ac:dyDescent="0.2"/>
    <row r="136" spans="4:13" hidden="1" x14ac:dyDescent="0.2"/>
  </sheetData>
  <mergeCells count="1">
    <mergeCell ref="H2:J2"/>
  </mergeCells>
  <dataValidations count="2">
    <dataValidation type="list" allowBlank="1" showInputMessage="1" showErrorMessage="1" sqref="R95 R124 R117">
      <formula1>$B$23:$B$30</formula1>
    </dataValidation>
    <dataValidation type="list" allowBlank="1" showInputMessage="1" showErrorMessage="1" sqref="R97 R99 R82:R90 R106:R111 R113">
      <formula1>Policy_categories</formula1>
    </dataValidation>
  </dataValidations>
  <pageMargins left="0.25" right="0.25" top="0.75" bottom="0.75" header="0.3" footer="0.3"/>
  <pageSetup paperSize="9" scale="91" orientation="portrait" horizontalDpi="0" verticalDpi="0"/>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AT610"/>
  <sheetViews>
    <sheetView showGridLines="0" zoomScale="90" zoomScaleNormal="90" zoomScalePageLayoutView="90" workbookViewId="0">
      <pane xSplit="4" ySplit="22" topLeftCell="G23" activePane="bottomRight" state="frozen"/>
      <selection activeCell="H37" sqref="H37"/>
      <selection pane="topRight" activeCell="H37" sqref="H37"/>
      <selection pane="bottomLeft" activeCell="H37" sqref="H37"/>
      <selection pane="bottomRight" activeCell="L35" sqref="L35:L36"/>
    </sheetView>
  </sheetViews>
  <sheetFormatPr defaultColWidth="8.85546875" defaultRowHeight="12.75" outlineLevelRow="1" x14ac:dyDescent="0.2"/>
  <cols>
    <col min="1" max="1" width="2.42578125" style="5" customWidth="1"/>
    <col min="2" max="2" width="2.42578125" style="4" customWidth="1"/>
    <col min="3" max="3" width="3.42578125" style="5" customWidth="1"/>
    <col min="4" max="4" width="86.140625" style="5" bestFit="1" customWidth="1"/>
    <col min="5" max="5" width="16.85546875" style="5" customWidth="1"/>
    <col min="6" max="6" width="7.7109375" style="5" customWidth="1"/>
    <col min="7" max="7" width="17.85546875" style="5" customWidth="1"/>
    <col min="8" max="12" width="16.140625" style="5" customWidth="1"/>
    <col min="13" max="13" width="18.42578125" style="5" hidden="1" customWidth="1"/>
    <col min="14" max="14" width="17.85546875" style="5" customWidth="1"/>
    <col min="15" max="15" width="9.140625" style="5" hidden="1" customWidth="1"/>
    <col min="16" max="16" width="9.140625" style="260" hidden="1" customWidth="1"/>
    <col min="17" max="17" width="15" style="5" hidden="1" customWidth="1"/>
    <col min="18" max="18" width="8.7109375" style="5" hidden="1" customWidth="1"/>
    <col min="19" max="19" width="9.140625" style="359" hidden="1" customWidth="1"/>
    <col min="20" max="21" width="9.140625" style="5" hidden="1" customWidth="1"/>
    <col min="22" max="22" width="18.42578125" style="5" hidden="1" customWidth="1"/>
    <col min="23" max="23" width="9.140625" style="5" customWidth="1"/>
    <col min="24" max="24" width="14.85546875" style="5" customWidth="1"/>
    <col min="25" max="25" width="16.85546875" style="5" customWidth="1"/>
    <col min="26" max="26" width="16.85546875" style="5" bestFit="1" customWidth="1"/>
    <col min="27" max="27" width="10.7109375" style="5" customWidth="1"/>
    <col min="28" max="28" width="14.7109375" style="5" bestFit="1" customWidth="1"/>
    <col min="29" max="29" width="8.85546875" style="5"/>
    <col min="30" max="30" width="18.42578125" style="5" bestFit="1" customWidth="1"/>
    <col min="31" max="16384" width="8.85546875" style="5"/>
  </cols>
  <sheetData>
    <row r="1" spans="2:22" s="3" customFormat="1" ht="15.75" x14ac:dyDescent="0.25">
      <c r="B1" s="306" t="s">
        <v>442</v>
      </c>
      <c r="G1" s="313" t="str">
        <f>Summary!B4</f>
        <v>South Africa</v>
      </c>
      <c r="H1" s="3" t="s">
        <v>1461</v>
      </c>
      <c r="P1" s="262"/>
      <c r="S1" s="358"/>
    </row>
    <row r="2" spans="2:22" ht="25.5" x14ac:dyDescent="0.2">
      <c r="H2" s="1130" t="s">
        <v>381</v>
      </c>
      <c r="I2" s="1130"/>
      <c r="J2" s="1130"/>
      <c r="K2" s="28" t="s">
        <v>382</v>
      </c>
      <c r="L2" s="715" t="s">
        <v>1758</v>
      </c>
      <c r="M2" s="607" t="s">
        <v>1796</v>
      </c>
      <c r="V2" s="607"/>
    </row>
    <row r="3" spans="2:22" x14ac:dyDescent="0.2">
      <c r="D3" s="4" t="s">
        <v>595</v>
      </c>
      <c r="H3" s="404" t="s">
        <v>385</v>
      </c>
      <c r="I3" s="404" t="s">
        <v>386</v>
      </c>
      <c r="J3" s="404" t="s">
        <v>1033</v>
      </c>
      <c r="K3" s="28" t="s">
        <v>385</v>
      </c>
      <c r="L3" s="29" t="s">
        <v>385</v>
      </c>
      <c r="M3" s="29" t="s">
        <v>385</v>
      </c>
      <c r="V3" s="29"/>
    </row>
    <row r="4" spans="2:22" x14ac:dyDescent="0.2">
      <c r="D4" s="7" t="s">
        <v>596</v>
      </c>
      <c r="H4" s="258">
        <f>SUMIF($P$119:$P$472,$P4,H$119:H$472)</f>
        <v>3277499881.7672434</v>
      </c>
      <c r="I4" s="258">
        <f t="shared" ref="H4:M6" si="0">SUMIF($P$119:$P$472,$P4,I$119:I$472)</f>
        <v>3634591854.1862683</v>
      </c>
      <c r="J4" s="258">
        <f t="shared" si="0"/>
        <v>3874474916.562561</v>
      </c>
      <c r="K4" s="258">
        <f t="shared" si="0"/>
        <v>1359528124.3201585</v>
      </c>
      <c r="L4" s="258">
        <f t="shared" si="0"/>
        <v>2446272429.7759981</v>
      </c>
      <c r="M4" s="258">
        <f t="shared" si="0"/>
        <v>2721869185.2104716</v>
      </c>
      <c r="N4" s="283"/>
      <c r="P4" s="260" t="s">
        <v>865</v>
      </c>
      <c r="V4" s="258"/>
    </row>
    <row r="5" spans="2:22" x14ac:dyDescent="0.2">
      <c r="D5" s="5" t="s">
        <v>597</v>
      </c>
      <c r="H5" s="258">
        <f>SUMIF($P$119:$P$472,$P5,H$119:H$472)</f>
        <v>1851871442.8563151</v>
      </c>
      <c r="I5" s="258">
        <f t="shared" si="0"/>
        <v>1955527203.0162692</v>
      </c>
      <c r="J5" s="258">
        <f t="shared" si="0"/>
        <v>2065036726.3851805</v>
      </c>
      <c r="K5" s="258">
        <f t="shared" si="0"/>
        <v>1015420922.1303449</v>
      </c>
      <c r="L5" s="258">
        <f t="shared" si="0"/>
        <v>902717119.46836877</v>
      </c>
      <c r="M5" s="258">
        <f t="shared" si="0"/>
        <v>1851325430.6113539</v>
      </c>
      <c r="P5" s="260" t="s">
        <v>866</v>
      </c>
      <c r="V5" s="258">
        <f>H5-M5</f>
        <v>546012.24496126175</v>
      </c>
    </row>
    <row r="6" spans="2:22" x14ac:dyDescent="0.2">
      <c r="D6" s="5" t="s">
        <v>863</v>
      </c>
      <c r="H6" s="258">
        <f t="shared" si="0"/>
        <v>285866466.20621949</v>
      </c>
      <c r="I6" s="258">
        <f t="shared" si="0"/>
        <v>311594448.16477931</v>
      </c>
      <c r="J6" s="258">
        <f t="shared" si="0"/>
        <v>339637948.49960947</v>
      </c>
      <c r="K6" s="258">
        <f t="shared" si="0"/>
        <v>148393322.54273188</v>
      </c>
      <c r="L6" s="258">
        <f t="shared" si="0"/>
        <v>158480739.88691095</v>
      </c>
      <c r="M6" s="258">
        <f t="shared" si="0"/>
        <v>285866466.20621949</v>
      </c>
      <c r="P6" s="260" t="s">
        <v>864</v>
      </c>
      <c r="V6" s="258">
        <f t="shared" ref="V6:V71" si="1">H6-M6</f>
        <v>0</v>
      </c>
    </row>
    <row r="7" spans="2:22" ht="13.5" thickBot="1" x14ac:dyDescent="0.25">
      <c r="D7" s="4" t="s">
        <v>598</v>
      </c>
      <c r="F7" s="4"/>
      <c r="H7" s="250">
        <f>SUM(H4:H6)</f>
        <v>5415237790.8297777</v>
      </c>
      <c r="I7" s="250">
        <f t="shared" ref="I7:K7" si="2">SUM(I4:I6)</f>
        <v>5901713505.3673172</v>
      </c>
      <c r="J7" s="250">
        <f t="shared" si="2"/>
        <v>6279149591.4473515</v>
      </c>
      <c r="K7" s="250">
        <f t="shared" si="2"/>
        <v>2523342368.9932351</v>
      </c>
      <c r="L7" s="250">
        <f t="shared" ref="L7" si="3">SUM(L4:L6)</f>
        <v>3507470289.1312776</v>
      </c>
      <c r="M7" s="250">
        <f>SUM(M4:M6)</f>
        <v>4859061082.0280447</v>
      </c>
      <c r="V7" s="250">
        <f t="shared" si="1"/>
        <v>556176708.80173302</v>
      </c>
    </row>
    <row r="8" spans="2:22" ht="13.5" thickTop="1" x14ac:dyDescent="0.2">
      <c r="E8" s="4"/>
      <c r="F8" s="4"/>
      <c r="G8" s="4"/>
      <c r="H8" s="265">
        <f t="shared" ref="H8:M8" si="4">H7-H20</f>
        <v>0</v>
      </c>
      <c r="I8" s="265">
        <f t="shared" si="4"/>
        <v>0</v>
      </c>
      <c r="J8" s="265">
        <f t="shared" si="4"/>
        <v>0</v>
      </c>
      <c r="K8" s="265">
        <f t="shared" si="4"/>
        <v>0</v>
      </c>
      <c r="L8" s="265">
        <f t="shared" si="4"/>
        <v>0</v>
      </c>
      <c r="M8" s="265">
        <f t="shared" si="4"/>
        <v>0</v>
      </c>
      <c r="V8" s="265">
        <f t="shared" si="1"/>
        <v>0</v>
      </c>
    </row>
    <row r="9" spans="2:22" hidden="1" outlineLevel="1" x14ac:dyDescent="0.2">
      <c r="D9" s="4" t="s">
        <v>862</v>
      </c>
      <c r="F9" s="4"/>
      <c r="G9" s="4"/>
      <c r="H9" s="256">
        <f t="shared" ref="H9:M9" si="5">SUM(H10:H15)</f>
        <v>5129371324.623559</v>
      </c>
      <c r="I9" s="256">
        <f t="shared" si="5"/>
        <v>5590119057.2025366</v>
      </c>
      <c r="J9" s="256">
        <f t="shared" si="5"/>
        <v>5939511642.9477415</v>
      </c>
      <c r="K9" s="256">
        <f t="shared" si="5"/>
        <v>2374949046.4505033</v>
      </c>
      <c r="L9" s="256">
        <f t="shared" si="5"/>
        <v>3348989549.2443671</v>
      </c>
      <c r="M9" s="256">
        <f t="shared" si="5"/>
        <v>4573194615.821825</v>
      </c>
      <c r="V9" s="256">
        <f t="shared" si="1"/>
        <v>556176708.80173397</v>
      </c>
    </row>
    <row r="10" spans="2:22" hidden="1" outlineLevel="1" x14ac:dyDescent="0.2">
      <c r="D10" s="6" t="s">
        <v>849</v>
      </c>
      <c r="F10" s="4"/>
      <c r="G10" s="4"/>
      <c r="H10" s="257">
        <f>H400+H403+H408+H418</f>
        <v>2095620.5018294575</v>
      </c>
      <c r="I10" s="257">
        <f t="shared" ref="I10:M10" si="6">I400+I403+I408+I418</f>
        <v>2182756.0149502018</v>
      </c>
      <c r="J10" s="257">
        <f t="shared" si="6"/>
        <v>2325053.9695369154</v>
      </c>
      <c r="K10" s="257">
        <f>K400+K403+K408+K418</f>
        <v>2095620.5018294575</v>
      </c>
      <c r="L10" s="257">
        <f>L400+L403+L408+L418</f>
        <v>2095620.5018294575</v>
      </c>
      <c r="M10" s="257">
        <f t="shared" si="6"/>
        <v>1548276.2678294573</v>
      </c>
      <c r="V10" s="257">
        <f t="shared" si="1"/>
        <v>547344.23400000017</v>
      </c>
    </row>
    <row r="11" spans="2:22" hidden="1" outlineLevel="1" x14ac:dyDescent="0.2">
      <c r="D11" s="6" t="s">
        <v>8</v>
      </c>
      <c r="F11" s="4"/>
      <c r="G11" s="4"/>
      <c r="H11" s="258">
        <f t="shared" ref="H11:M11" si="7">H430+H431+H443</f>
        <v>15860303.817926358</v>
      </c>
      <c r="I11" s="258">
        <f t="shared" si="7"/>
        <v>16906822.0092845</v>
      </c>
      <c r="J11" s="258">
        <f t="shared" si="7"/>
        <v>18022395.737077273</v>
      </c>
      <c r="K11" s="258">
        <f t="shared" si="7"/>
        <v>15860303.817926358</v>
      </c>
      <c r="L11" s="258">
        <f t="shared" si="7"/>
        <v>15860303.817926358</v>
      </c>
      <c r="M11" s="258">
        <f t="shared" si="7"/>
        <v>15860303.817926358</v>
      </c>
      <c r="V11" s="258">
        <f t="shared" si="1"/>
        <v>0</v>
      </c>
    </row>
    <row r="12" spans="2:22" hidden="1" outlineLevel="1" x14ac:dyDescent="0.2">
      <c r="D12" s="6" t="s">
        <v>855</v>
      </c>
      <c r="F12" s="4"/>
      <c r="G12" s="4"/>
      <c r="H12" s="258">
        <f>H436+H437+H438</f>
        <v>110897333.33333333</v>
      </c>
      <c r="I12" s="258">
        <f t="shared" ref="I12:M12" si="8">I436+I437+I438</f>
        <v>117107584</v>
      </c>
      <c r="J12" s="258">
        <f t="shared" si="8"/>
        <v>123665608.70400001</v>
      </c>
      <c r="K12" s="258">
        <f t="shared" si="8"/>
        <v>83524533.333333328</v>
      </c>
      <c r="L12" s="258">
        <f t="shared" ref="L12" si="9">L436+L437+L438</f>
        <v>113178400</v>
      </c>
      <c r="M12" s="258">
        <f t="shared" si="8"/>
        <v>110897333.33333333</v>
      </c>
      <c r="V12" s="258">
        <f t="shared" si="1"/>
        <v>0</v>
      </c>
    </row>
    <row r="13" spans="2:22" hidden="1" outlineLevel="1" x14ac:dyDescent="0.2">
      <c r="D13" s="6" t="s">
        <v>851</v>
      </c>
      <c r="F13" s="4"/>
      <c r="G13" s="4"/>
      <c r="H13" s="258">
        <f>H450+H451+H467+H468+H461+H441</f>
        <v>668340920.07211387</v>
      </c>
      <c r="I13" s="258">
        <f t="shared" ref="I13:L13" si="10">I450+I451+I467+I468+I461+I441</f>
        <v>711846665.45944178</v>
      </c>
      <c r="J13" s="258">
        <f t="shared" si="10"/>
        <v>758189923.74343705</v>
      </c>
      <c r="K13" s="258">
        <f t="shared" si="10"/>
        <v>243730131.3150439</v>
      </c>
      <c r="L13" s="258">
        <f t="shared" si="10"/>
        <v>676990558.70206952</v>
      </c>
      <c r="M13" s="258">
        <f>M450+M451+M467+M468+M461+M441</f>
        <v>667770136.5043807</v>
      </c>
      <c r="V13" s="258">
        <f t="shared" si="1"/>
        <v>570783.5677331686</v>
      </c>
    </row>
    <row r="14" spans="2:22" hidden="1" outlineLevel="1" x14ac:dyDescent="0.2">
      <c r="D14" s="6" t="s">
        <v>1170</v>
      </c>
      <c r="F14" s="4"/>
      <c r="G14" s="4"/>
      <c r="H14" s="258">
        <f>H269+H270+H271+H272+H472</f>
        <v>2651918237.1810446</v>
      </c>
      <c r="I14" s="258">
        <f t="shared" ref="I14:M14" si="11">I269+I270+I271+I272+I472</f>
        <v>2967721821.0573797</v>
      </c>
      <c r="J14" s="258">
        <f t="shared" si="11"/>
        <v>3163591461.2471666</v>
      </c>
      <c r="K14" s="258">
        <f t="shared" si="11"/>
        <v>1157308294.6939931</v>
      </c>
      <c r="L14" s="258">
        <f t="shared" ref="L14" si="12">L269+L270+L271+L272+L472</f>
        <v>1811708614.3148825</v>
      </c>
      <c r="M14" s="258">
        <f t="shared" si="11"/>
        <v>2096859656.1810446</v>
      </c>
      <c r="V14" s="258">
        <f t="shared" si="1"/>
        <v>555058581</v>
      </c>
    </row>
    <row r="15" spans="2:22" hidden="1" outlineLevel="1" x14ac:dyDescent="0.2">
      <c r="D15" s="6" t="s">
        <v>1242</v>
      </c>
      <c r="F15" s="4"/>
      <c r="G15" s="4"/>
      <c r="H15" s="259">
        <f>SUM(H284:H287)</f>
        <v>1680258909.7173111</v>
      </c>
      <c r="I15" s="259">
        <f t="shared" ref="I15:M15" si="13">SUM(I284:I287)</f>
        <v>1774353408.6614807</v>
      </c>
      <c r="J15" s="259">
        <f t="shared" si="13"/>
        <v>1873717199.5465238</v>
      </c>
      <c r="K15" s="259">
        <f t="shared" si="13"/>
        <v>872430162.7883774</v>
      </c>
      <c r="L15" s="259">
        <f t="shared" ref="L15" si="14">SUM(L284:L287)</f>
        <v>729156051.90765917</v>
      </c>
      <c r="M15" s="259">
        <f t="shared" si="13"/>
        <v>1680258909.7173111</v>
      </c>
      <c r="V15" s="259">
        <f t="shared" si="1"/>
        <v>0</v>
      </c>
    </row>
    <row r="16" spans="2:22" hidden="1" outlineLevel="1" x14ac:dyDescent="0.2">
      <c r="D16" s="4" t="s">
        <v>861</v>
      </c>
      <c r="F16" s="4"/>
      <c r="G16" s="4"/>
      <c r="H16" s="256">
        <f t="shared" ref="H16:M16" si="15">SUM(H17:H19)</f>
        <v>285866466.20621949</v>
      </c>
      <c r="I16" s="256">
        <f t="shared" si="15"/>
        <v>311594448.16477925</v>
      </c>
      <c r="J16" s="256">
        <f t="shared" si="15"/>
        <v>339637948.49960947</v>
      </c>
      <c r="K16" s="256">
        <f t="shared" si="15"/>
        <v>148393322.54273185</v>
      </c>
      <c r="L16" s="256">
        <f t="shared" si="15"/>
        <v>158480739.88691097</v>
      </c>
      <c r="M16" s="256">
        <f t="shared" si="15"/>
        <v>285866466.20621949</v>
      </c>
      <c r="V16" s="256">
        <f t="shared" si="1"/>
        <v>0</v>
      </c>
    </row>
    <row r="17" spans="1:46" hidden="1" outlineLevel="1" x14ac:dyDescent="0.2">
      <c r="D17" s="6" t="s">
        <v>1171</v>
      </c>
      <c r="F17" s="4"/>
      <c r="G17" s="4"/>
      <c r="H17" s="257">
        <f>H368+H381+H388+H385+H180</f>
        <v>56005707.841618955</v>
      </c>
      <c r="I17" s="257">
        <f t="shared" ref="I17:M17" si="16">I368+I381+I388+I385+I180</f>
        <v>61046221.54736466</v>
      </c>
      <c r="J17" s="257">
        <f t="shared" si="16"/>
        <v>66540381.486627489</v>
      </c>
      <c r="K17" s="257">
        <f t="shared" si="16"/>
        <v>29044180.765273891</v>
      </c>
      <c r="L17" s="257">
        <f t="shared" si="16"/>
        <v>51419374.309627831</v>
      </c>
      <c r="M17" s="257">
        <f t="shared" si="16"/>
        <v>56005707.841618955</v>
      </c>
      <c r="V17" s="257">
        <f t="shared" si="1"/>
        <v>0</v>
      </c>
    </row>
    <row r="18" spans="1:46" hidden="1" outlineLevel="1" x14ac:dyDescent="0.2">
      <c r="D18" s="6" t="s">
        <v>1172</v>
      </c>
      <c r="F18" s="4"/>
      <c r="G18" s="4"/>
      <c r="H18" s="349">
        <f>H274+H275+H276+H277</f>
        <v>131340197.05956964</v>
      </c>
      <c r="I18" s="349">
        <f t="shared" ref="I18:M18" si="17">I274+I275+I276+I277</f>
        <v>143160814.79493093</v>
      </c>
      <c r="J18" s="349">
        <f t="shared" si="17"/>
        <v>156045288.12647474</v>
      </c>
      <c r="K18" s="349">
        <f t="shared" si="17"/>
        <v>68194936.410493925</v>
      </c>
      <c r="L18" s="349">
        <f>L274+L275+L276+L277</f>
        <v>55891056.61378359</v>
      </c>
      <c r="M18" s="349">
        <f t="shared" si="17"/>
        <v>131340197.05956964</v>
      </c>
      <c r="V18" s="349">
        <f t="shared" si="1"/>
        <v>0</v>
      </c>
    </row>
    <row r="19" spans="1:46" hidden="1" outlineLevel="1" x14ac:dyDescent="0.2">
      <c r="D19" s="6" t="s">
        <v>1173</v>
      </c>
      <c r="F19" s="4"/>
      <c r="G19" s="4"/>
      <c r="H19" s="258">
        <f>H279+H280+H281+H282</f>
        <v>98520561.305030897</v>
      </c>
      <c r="I19" s="258">
        <f t="shared" ref="I19:M19" si="18">I279+I280+I281+I282</f>
        <v>107387411.82248367</v>
      </c>
      <c r="J19" s="258">
        <f t="shared" si="18"/>
        <v>117052278.88650721</v>
      </c>
      <c r="K19" s="258">
        <f t="shared" si="18"/>
        <v>51154205.366964035</v>
      </c>
      <c r="L19" s="258">
        <f t="shared" ref="L19" si="19">L279+L280+L281+L282</f>
        <v>51170308.963499546</v>
      </c>
      <c r="M19" s="258">
        <f t="shared" si="18"/>
        <v>98520561.305030897</v>
      </c>
      <c r="V19" s="258">
        <f t="shared" si="1"/>
        <v>0</v>
      </c>
    </row>
    <row r="20" spans="1:46" ht="13.5" hidden="1" outlineLevel="1" thickBot="1" x14ac:dyDescent="0.25">
      <c r="E20" s="6"/>
      <c r="F20" s="4"/>
      <c r="G20" s="4"/>
      <c r="H20" s="235">
        <f t="shared" ref="H20:M20" si="20">SUM(H16,H9)</f>
        <v>5415237790.8297787</v>
      </c>
      <c r="I20" s="235">
        <f t="shared" si="20"/>
        <v>5901713505.3673162</v>
      </c>
      <c r="J20" s="235">
        <f t="shared" si="20"/>
        <v>6279149591.4473515</v>
      </c>
      <c r="K20" s="235">
        <f t="shared" si="20"/>
        <v>2523342368.9932351</v>
      </c>
      <c r="L20" s="235">
        <f t="shared" si="20"/>
        <v>3507470289.131278</v>
      </c>
      <c r="M20" s="235">
        <f t="shared" si="20"/>
        <v>4859061082.0280447</v>
      </c>
      <c r="V20" s="235">
        <f t="shared" si="1"/>
        <v>556176708.80173397</v>
      </c>
    </row>
    <row r="21" spans="1:46" collapsed="1" x14ac:dyDescent="0.2">
      <c r="V21" s="5">
        <f t="shared" si="1"/>
        <v>0</v>
      </c>
    </row>
    <row r="22" spans="1:46" s="1" customFormat="1" x14ac:dyDescent="0.2">
      <c r="P22" s="261"/>
      <c r="S22" s="360"/>
      <c r="V22" s="1">
        <f t="shared" si="1"/>
        <v>0</v>
      </c>
    </row>
    <row r="23" spans="1:46" s="309" customFormat="1" x14ac:dyDescent="0.2">
      <c r="C23" s="309" t="s">
        <v>426</v>
      </c>
      <c r="S23" s="360"/>
      <c r="V23" s="309">
        <f t="shared" si="1"/>
        <v>0</v>
      </c>
    </row>
    <row r="24" spans="1:46" s="3" customFormat="1" x14ac:dyDescent="0.2">
      <c r="A24" s="5"/>
      <c r="B24" s="4"/>
      <c r="C24" s="5"/>
      <c r="D24" s="7" t="s">
        <v>773</v>
      </c>
      <c r="E24" s="5"/>
      <c r="F24" s="5"/>
      <c r="G24" s="5"/>
      <c r="H24" s="191">
        <f>VLOOKUP($G$1,'H&amp;S Demand'!$A$18:$E$27,5,FALSE)</f>
        <v>52</v>
      </c>
      <c r="I24" s="191">
        <f>VLOOKUP($G$1,'H&amp;S Demand'!$A$18:$E$27,5,FALSE)</f>
        <v>52</v>
      </c>
      <c r="J24" s="191">
        <f>VLOOKUP($G$1,'H&amp;S Demand'!$A$18:$E$27,5,FALSE)</f>
        <v>52</v>
      </c>
      <c r="K24" s="191">
        <f>VLOOKUP($G$1,'H&amp;S Demand'!$A$18:$E$27,5,FALSE)</f>
        <v>52</v>
      </c>
      <c r="L24" s="191">
        <f>VLOOKUP($G$1,'H&amp;S Demand'!$A$18:$E$27,5,FALSE)</f>
        <v>52</v>
      </c>
      <c r="M24" s="191">
        <f>VLOOKUP($G$1,'H&amp;S Demand'!$A$18:$E$27,5,FALSE)</f>
        <v>52</v>
      </c>
      <c r="N24" s="5"/>
      <c r="O24" s="5"/>
      <c r="P24" s="260"/>
      <c r="Q24" s="5"/>
      <c r="R24" s="5"/>
      <c r="S24" s="359"/>
      <c r="T24" s="5"/>
      <c r="U24" s="5"/>
      <c r="V24" s="191">
        <f t="shared" si="1"/>
        <v>0</v>
      </c>
      <c r="W24" s="5"/>
      <c r="X24" s="5"/>
      <c r="Y24" s="5"/>
      <c r="Z24" s="5"/>
      <c r="AA24" s="5"/>
      <c r="AB24" s="5"/>
      <c r="AC24" s="5"/>
      <c r="AD24" s="5"/>
      <c r="AE24" s="5"/>
      <c r="AF24" s="5"/>
      <c r="AG24" s="5"/>
      <c r="AH24" s="5"/>
      <c r="AI24" s="5"/>
      <c r="AJ24" s="5"/>
      <c r="AK24" s="5"/>
      <c r="AL24" s="5"/>
      <c r="AM24" s="5"/>
      <c r="AN24" s="5"/>
      <c r="AO24" s="5"/>
      <c r="AP24" s="5"/>
      <c r="AQ24" s="5"/>
      <c r="AR24" s="5"/>
      <c r="AS24" s="5"/>
      <c r="AT24" s="5"/>
    </row>
    <row r="25" spans="1:46" s="3" customFormat="1" x14ac:dyDescent="0.2">
      <c r="A25" s="5"/>
      <c r="B25" s="4"/>
      <c r="C25" s="5"/>
      <c r="D25" s="7" t="s">
        <v>963</v>
      </c>
      <c r="E25" s="5"/>
      <c r="F25" s="5"/>
      <c r="G25" s="5"/>
      <c r="H25" s="191">
        <f>VLOOKUP($G$1,'H&amp;S Demand'!$A$18:$F$27,6,FALSE)</f>
        <v>3581</v>
      </c>
      <c r="I25" s="191">
        <f>VLOOKUP($G$1,'H&amp;S Demand'!$A$18:$F$27,6,FALSE)</f>
        <v>3581</v>
      </c>
      <c r="J25" s="191">
        <f>VLOOKUP($G$1,'H&amp;S Demand'!$A$18:$F$27,6,FALSE)</f>
        <v>3581</v>
      </c>
      <c r="K25" s="191">
        <f>VLOOKUP($G$1,'H&amp;S Demand'!$A$18:$F$27,6,FALSE)</f>
        <v>3581</v>
      </c>
      <c r="L25" s="191">
        <f>VLOOKUP($G$1,'H&amp;S Demand'!$A$18:$F$27,6,FALSE)</f>
        <v>3581</v>
      </c>
      <c r="M25" s="191">
        <f>VLOOKUP($G$1,'H&amp;S Demand'!$A$18:$F$27,6,FALSE)</f>
        <v>3581</v>
      </c>
      <c r="N25" s="5"/>
      <c r="O25" s="5"/>
      <c r="P25" s="260"/>
      <c r="Q25" s="5"/>
      <c r="R25" s="5"/>
      <c r="S25" s="359"/>
      <c r="T25" s="5"/>
      <c r="U25" s="5"/>
      <c r="V25" s="191">
        <f t="shared" si="1"/>
        <v>0</v>
      </c>
      <c r="W25" s="5"/>
      <c r="X25" s="5"/>
      <c r="Y25" s="5"/>
      <c r="Z25" s="5"/>
      <c r="AA25" s="5"/>
      <c r="AB25" s="5"/>
      <c r="AC25" s="5"/>
      <c r="AD25" s="5"/>
      <c r="AE25" s="5"/>
      <c r="AF25" s="5"/>
      <c r="AG25" s="5"/>
      <c r="AH25" s="5"/>
      <c r="AI25" s="5"/>
      <c r="AJ25" s="5"/>
      <c r="AK25" s="5"/>
      <c r="AL25" s="5"/>
      <c r="AM25" s="5"/>
      <c r="AN25" s="5"/>
      <c r="AO25" s="5"/>
      <c r="AP25" s="5"/>
      <c r="AQ25" s="5"/>
      <c r="AR25" s="5"/>
      <c r="AS25" s="5"/>
      <c r="AT25" s="5"/>
    </row>
    <row r="26" spans="1:46" s="3" customFormat="1" x14ac:dyDescent="0.2">
      <c r="A26" s="5"/>
      <c r="B26" s="4"/>
      <c r="C26" s="5"/>
      <c r="D26" s="7" t="s">
        <v>829</v>
      </c>
      <c r="E26" s="5"/>
      <c r="F26" s="5"/>
      <c r="G26" s="5"/>
      <c r="H26" s="191">
        <f>VLOOKUP($G$1,'H&amp;S Demand'!$A$18:$G$27,7,FALSE)</f>
        <v>4277</v>
      </c>
      <c r="I26" s="191">
        <f>VLOOKUP($G$1,'H&amp;S Demand'!$A$18:$G$27,7,FALSE)</f>
        <v>4277</v>
      </c>
      <c r="J26" s="191">
        <f>VLOOKUP($G$1,'H&amp;S Demand'!$A$18:$G$27,7,FALSE)</f>
        <v>4277</v>
      </c>
      <c r="K26" s="191">
        <f>VLOOKUP($G$1,'H&amp;S Demand'!$A$18:$G$27,7,FALSE)</f>
        <v>4277</v>
      </c>
      <c r="L26" s="191">
        <f>VLOOKUP($G$1,'H&amp;S Demand'!$A$18:$G$27,7,FALSE)</f>
        <v>4277</v>
      </c>
      <c r="M26" s="191">
        <f>VLOOKUP($G$1,'H&amp;S Demand'!$A$18:$G$27,7,FALSE)</f>
        <v>4277</v>
      </c>
      <c r="N26" s="5"/>
      <c r="O26" s="5"/>
      <c r="P26" s="260"/>
      <c r="Q26" s="5"/>
      <c r="R26" s="5"/>
      <c r="S26" s="359"/>
      <c r="T26" s="5"/>
      <c r="U26" s="5"/>
      <c r="V26" s="191">
        <f t="shared" si="1"/>
        <v>0</v>
      </c>
      <c r="W26" s="5"/>
      <c r="X26" s="5"/>
      <c r="Y26" s="5"/>
      <c r="Z26" s="5"/>
      <c r="AA26" s="5"/>
      <c r="AB26" s="5"/>
      <c r="AC26" s="5"/>
      <c r="AD26" s="5"/>
      <c r="AE26" s="5"/>
      <c r="AF26" s="5"/>
      <c r="AG26" s="5"/>
      <c r="AH26" s="5"/>
      <c r="AI26" s="5"/>
      <c r="AJ26" s="5"/>
      <c r="AK26" s="5"/>
      <c r="AL26" s="5"/>
      <c r="AM26" s="5"/>
      <c r="AN26" s="5"/>
      <c r="AO26" s="5"/>
      <c r="AP26" s="5"/>
      <c r="AQ26" s="5"/>
      <c r="AR26" s="5"/>
      <c r="AS26" s="5"/>
      <c r="AT26" s="5"/>
    </row>
    <row r="27" spans="1:46" s="81" customFormat="1" x14ac:dyDescent="0.2">
      <c r="A27" s="79"/>
      <c r="B27" s="77"/>
      <c r="C27" s="79"/>
      <c r="D27" s="370"/>
      <c r="E27" s="79"/>
      <c r="F27" s="79"/>
      <c r="G27" s="79"/>
      <c r="H27" s="371"/>
      <c r="I27" s="371"/>
      <c r="J27" s="371"/>
      <c r="K27" s="371"/>
      <c r="L27" s="371"/>
      <c r="M27" s="371"/>
      <c r="N27" s="79"/>
      <c r="O27" s="79"/>
      <c r="P27" s="79"/>
      <c r="Q27" s="79"/>
      <c r="R27" s="79"/>
      <c r="S27" s="79"/>
      <c r="T27" s="79"/>
      <c r="U27" s="79"/>
      <c r="V27" s="371">
        <f t="shared" si="1"/>
        <v>0</v>
      </c>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row>
    <row r="28" spans="1:46" x14ac:dyDescent="0.2">
      <c r="D28" s="89" t="s">
        <v>1212</v>
      </c>
      <c r="H28" s="229">
        <f t="shared" ref="H28:L28" si="21">SUM(H300:H304)</f>
        <v>4746494.0952466419</v>
      </c>
      <c r="I28" s="229">
        <f t="shared" si="21"/>
        <v>4746494.0952466419</v>
      </c>
      <c r="J28" s="229">
        <f t="shared" si="21"/>
        <v>4746494.0952466419</v>
      </c>
      <c r="K28" s="229">
        <f t="shared" si="21"/>
        <v>2464491.9852779023</v>
      </c>
      <c r="L28" s="229">
        <f t="shared" si="21"/>
        <v>4359677.440404539</v>
      </c>
      <c r="M28" s="229">
        <f>SUM(M300:M304)</f>
        <v>4746494.0952466419</v>
      </c>
      <c r="V28" s="229">
        <f t="shared" si="1"/>
        <v>0</v>
      </c>
    </row>
    <row r="29" spans="1:46" x14ac:dyDescent="0.2">
      <c r="D29" s="89" t="s">
        <v>1245</v>
      </c>
      <c r="H29" s="71">
        <f>(H28/VLOOKUP($G$1,'H&amp;S Demand'!$A$4:$B$13,2,FALSE))</f>
        <v>0.83484903139568178</v>
      </c>
      <c r="I29" s="71">
        <f>ROUND(I28/VLOOKUP($G$1,'H&amp;S Demand'!$A$4:$B$13,2,FALSE),2)</f>
        <v>0.83</v>
      </c>
      <c r="J29" s="71">
        <f>ROUND(J28/VLOOKUP($G$1,'H&amp;S Demand'!$A$4:$B$13,2,FALSE),2)</f>
        <v>0.83</v>
      </c>
      <c r="K29" s="71">
        <f>ROUND(K28/VLOOKUP($G$1,'H&amp;S Demand'!$A$4:$B$13,2,FALSE),2)</f>
        <v>0.43</v>
      </c>
      <c r="L29" s="71">
        <f>ROUND(L28/VLOOKUP($G$1,'H&amp;S Demand'!$A$4:$B$13,2,FALSE),2)</f>
        <v>0.77</v>
      </c>
      <c r="M29" s="71">
        <f>ROUND(M28/VLOOKUP($G$1,'H&amp;S Demand'!$A$4:$B$13,2,FALSE),2)</f>
        <v>0.83</v>
      </c>
      <c r="V29" s="71">
        <f t="shared" si="1"/>
        <v>4.8490313956818243E-3</v>
      </c>
    </row>
    <row r="30" spans="1:46" s="3" customFormat="1" outlineLevel="1" x14ac:dyDescent="0.2">
      <c r="A30" s="5"/>
      <c r="B30" s="4"/>
      <c r="C30" s="5"/>
      <c r="D30" s="6" t="s">
        <v>807</v>
      </c>
      <c r="E30" s="5"/>
      <c r="F30" s="5"/>
      <c r="G30" s="5"/>
      <c r="H30" s="69">
        <f>9/12</f>
        <v>0.75</v>
      </c>
      <c r="I30" s="69">
        <f t="shared" ref="I30:L30" si="22">9/12</f>
        <v>0.75</v>
      </c>
      <c r="J30" s="69">
        <f t="shared" si="22"/>
        <v>0.75</v>
      </c>
      <c r="K30" s="69">
        <f t="shared" si="22"/>
        <v>0.75</v>
      </c>
      <c r="L30" s="69">
        <f t="shared" si="22"/>
        <v>0.75</v>
      </c>
      <c r="M30" s="69">
        <f>H30</f>
        <v>0.75</v>
      </c>
      <c r="N30" s="5"/>
      <c r="O30" s="5"/>
      <c r="P30" s="260"/>
      <c r="Q30" s="5"/>
      <c r="R30" s="5"/>
      <c r="S30" s="359"/>
      <c r="T30" s="5"/>
      <c r="U30" s="5"/>
      <c r="V30" s="69">
        <f t="shared" si="1"/>
        <v>0</v>
      </c>
      <c r="W30" s="5"/>
      <c r="X30" s="5"/>
      <c r="Y30" s="5"/>
      <c r="Z30" s="5"/>
      <c r="AA30" s="5"/>
      <c r="AB30" s="5"/>
      <c r="AC30" s="5"/>
      <c r="AD30" s="5"/>
      <c r="AE30" s="5"/>
      <c r="AF30" s="5"/>
      <c r="AG30" s="5"/>
      <c r="AH30" s="5"/>
      <c r="AI30" s="5"/>
      <c r="AJ30" s="5"/>
      <c r="AK30" s="5"/>
      <c r="AL30" s="5"/>
      <c r="AM30" s="5"/>
      <c r="AN30" s="5"/>
      <c r="AO30" s="5"/>
      <c r="AP30" s="5"/>
      <c r="AQ30" s="5"/>
      <c r="AR30" s="5"/>
      <c r="AS30" s="5"/>
      <c r="AT30" s="5"/>
    </row>
    <row r="31" spans="1:46" s="3" customFormat="1" outlineLevel="1" x14ac:dyDescent="0.2">
      <c r="A31" s="5"/>
      <c r="B31" s="4"/>
      <c r="C31" s="5"/>
      <c r="D31" s="6" t="s">
        <v>427</v>
      </c>
      <c r="E31" s="5"/>
      <c r="F31" s="5"/>
      <c r="G31" s="5"/>
      <c r="H31" s="5"/>
      <c r="I31" s="5"/>
      <c r="J31" s="5"/>
      <c r="K31" s="5"/>
      <c r="L31" s="5"/>
      <c r="M31" s="5"/>
      <c r="N31" s="5"/>
      <c r="O31" s="5"/>
      <c r="P31" s="260"/>
      <c r="Q31" s="5"/>
      <c r="R31" s="5"/>
      <c r="S31" s="359"/>
      <c r="T31" s="5"/>
      <c r="U31" s="5"/>
      <c r="V31" s="5">
        <f t="shared" si="1"/>
        <v>0</v>
      </c>
      <c r="W31" s="5"/>
      <c r="X31" s="5"/>
      <c r="Y31" s="5"/>
      <c r="Z31" s="5"/>
      <c r="AA31" s="5"/>
      <c r="AB31" s="5"/>
      <c r="AC31" s="5"/>
      <c r="AD31" s="5"/>
      <c r="AE31" s="5"/>
      <c r="AF31" s="5"/>
      <c r="AG31" s="5"/>
      <c r="AH31" s="5"/>
      <c r="AI31" s="5"/>
      <c r="AJ31" s="5"/>
      <c r="AK31" s="5"/>
      <c r="AL31" s="5"/>
      <c r="AM31" s="5"/>
      <c r="AN31" s="5"/>
      <c r="AO31" s="5"/>
      <c r="AP31" s="5"/>
      <c r="AQ31" s="5"/>
      <c r="AR31" s="5"/>
      <c r="AS31" s="5"/>
      <c r="AT31" s="5"/>
    </row>
    <row r="32" spans="1:46" s="3" customFormat="1" outlineLevel="1" x14ac:dyDescent="0.2">
      <c r="A32" s="5"/>
      <c r="B32" s="4"/>
      <c r="C32" s="5"/>
      <c r="D32" s="66" t="s">
        <v>428</v>
      </c>
      <c r="E32" s="5"/>
      <c r="F32" s="425"/>
      <c r="G32" s="5"/>
      <c r="H32" s="69">
        <v>0.98</v>
      </c>
      <c r="I32" s="69">
        <v>0.98</v>
      </c>
      <c r="J32" s="69">
        <v>0.98</v>
      </c>
      <c r="K32" s="69">
        <v>0.65</v>
      </c>
      <c r="L32" s="69">
        <v>0.98</v>
      </c>
      <c r="M32" s="69">
        <f>H32</f>
        <v>0.98</v>
      </c>
      <c r="N32" s="5"/>
      <c r="O32" s="5"/>
      <c r="P32" s="260"/>
      <c r="Q32" s="5"/>
      <c r="R32" s="5"/>
      <c r="S32" s="359"/>
      <c r="T32" s="5"/>
      <c r="U32" s="5"/>
      <c r="V32" s="69">
        <f t="shared" si="1"/>
        <v>0</v>
      </c>
      <c r="W32" s="5"/>
      <c r="X32" s="5"/>
      <c r="Y32" s="5"/>
      <c r="Z32" s="5"/>
      <c r="AA32" s="5"/>
      <c r="AB32" s="5"/>
      <c r="AC32" s="5"/>
      <c r="AD32" s="5"/>
      <c r="AE32" s="5"/>
      <c r="AF32" s="5"/>
      <c r="AG32" s="5"/>
      <c r="AH32" s="5"/>
      <c r="AI32" s="5"/>
      <c r="AJ32" s="5"/>
      <c r="AK32" s="5"/>
      <c r="AL32" s="5"/>
      <c r="AM32" s="5"/>
      <c r="AN32" s="5"/>
      <c r="AO32" s="5"/>
      <c r="AP32" s="5"/>
      <c r="AQ32" s="5"/>
      <c r="AR32" s="5"/>
      <c r="AS32" s="5"/>
      <c r="AT32" s="5"/>
    </row>
    <row r="33" spans="1:46" s="3" customFormat="1" outlineLevel="1" x14ac:dyDescent="0.2">
      <c r="A33" s="5"/>
      <c r="B33" s="4"/>
      <c r="C33" s="5"/>
      <c r="D33" s="66" t="s">
        <v>429</v>
      </c>
      <c r="E33" s="5"/>
      <c r="F33" s="425"/>
      <c r="G33" s="5"/>
      <c r="H33" s="69">
        <v>0.98</v>
      </c>
      <c r="I33" s="69">
        <v>0.98</v>
      </c>
      <c r="J33" s="69">
        <v>0.98</v>
      </c>
      <c r="K33" s="69">
        <v>0.65</v>
      </c>
      <c r="L33" s="69">
        <v>0.98</v>
      </c>
      <c r="M33" s="69">
        <f t="shared" ref="M33:M36" si="23">H33</f>
        <v>0.98</v>
      </c>
      <c r="N33" s="5"/>
      <c r="O33" s="5"/>
      <c r="P33" s="260"/>
      <c r="Q33" s="5"/>
      <c r="R33" s="5"/>
      <c r="S33" s="359"/>
      <c r="T33" s="5"/>
      <c r="U33" s="5"/>
      <c r="V33" s="69">
        <f t="shared" si="1"/>
        <v>0</v>
      </c>
      <c r="W33" s="5"/>
      <c r="X33" s="5"/>
      <c r="Y33" s="5"/>
      <c r="Z33" s="5"/>
      <c r="AA33" s="5"/>
      <c r="AB33" s="5"/>
      <c r="AC33" s="5"/>
      <c r="AD33" s="5"/>
      <c r="AE33" s="5"/>
      <c r="AF33" s="5"/>
      <c r="AG33" s="5"/>
      <c r="AH33" s="5"/>
      <c r="AI33" s="5"/>
      <c r="AJ33" s="5"/>
      <c r="AK33" s="5"/>
      <c r="AL33" s="5"/>
      <c r="AM33" s="5"/>
      <c r="AN33" s="5"/>
      <c r="AO33" s="5"/>
      <c r="AP33" s="5"/>
      <c r="AQ33" s="5"/>
      <c r="AR33" s="5"/>
      <c r="AS33" s="5"/>
      <c r="AT33" s="5"/>
    </row>
    <row r="34" spans="1:46" outlineLevel="1" x14ac:dyDescent="0.2">
      <c r="D34" s="66" t="s">
        <v>430</v>
      </c>
      <c r="H34" s="69">
        <v>0.98</v>
      </c>
      <c r="I34" s="69">
        <v>0.98</v>
      </c>
      <c r="J34" s="69">
        <v>0.98</v>
      </c>
      <c r="K34" s="69">
        <v>0.65</v>
      </c>
      <c r="L34" s="69">
        <v>0.98</v>
      </c>
      <c r="M34" s="69">
        <f t="shared" si="23"/>
        <v>0.98</v>
      </c>
      <c r="V34" s="69">
        <f t="shared" si="1"/>
        <v>0</v>
      </c>
    </row>
    <row r="35" spans="1:46" outlineLevel="1" x14ac:dyDescent="0.2">
      <c r="D35" s="66" t="s">
        <v>431</v>
      </c>
      <c r="H35" s="69">
        <v>0.85</v>
      </c>
      <c r="I35" s="69">
        <v>0.85</v>
      </c>
      <c r="J35" s="69">
        <v>0.85</v>
      </c>
      <c r="K35" s="69">
        <v>0.15</v>
      </c>
      <c r="L35" s="69">
        <v>0.65</v>
      </c>
      <c r="M35" s="69">
        <f t="shared" si="23"/>
        <v>0.85</v>
      </c>
      <c r="V35" s="69">
        <f t="shared" si="1"/>
        <v>0</v>
      </c>
    </row>
    <row r="36" spans="1:46" outlineLevel="1" x14ac:dyDescent="0.2">
      <c r="D36" s="66" t="s">
        <v>432</v>
      </c>
      <c r="H36" s="69">
        <v>0.35</v>
      </c>
      <c r="I36" s="69">
        <v>0.35</v>
      </c>
      <c r="J36" s="69">
        <v>0.35</v>
      </c>
      <c r="K36" s="69">
        <v>0.03</v>
      </c>
      <c r="L36" s="69">
        <v>0.2</v>
      </c>
      <c r="M36" s="69">
        <f t="shared" si="23"/>
        <v>0.35</v>
      </c>
      <c r="V36" s="69">
        <f t="shared" si="1"/>
        <v>0</v>
      </c>
    </row>
    <row r="37" spans="1:46" x14ac:dyDescent="0.2">
      <c r="V37" s="5">
        <f t="shared" si="1"/>
        <v>0</v>
      </c>
    </row>
    <row r="38" spans="1:46" x14ac:dyDescent="0.2">
      <c r="D38" s="7" t="s">
        <v>1355</v>
      </c>
      <c r="H38" s="69">
        <v>0.02</v>
      </c>
      <c r="I38" s="69">
        <v>0.02</v>
      </c>
      <c r="J38" s="69">
        <v>0.02</v>
      </c>
      <c r="K38" s="69">
        <v>0.02</v>
      </c>
      <c r="L38" s="69">
        <v>0.02</v>
      </c>
      <c r="M38" s="69">
        <f>H38</f>
        <v>0.02</v>
      </c>
      <c r="V38" s="69">
        <f t="shared" si="1"/>
        <v>0</v>
      </c>
    </row>
    <row r="39" spans="1:46" x14ac:dyDescent="0.2">
      <c r="D39" s="65" t="s">
        <v>1356</v>
      </c>
      <c r="V39" s="5">
        <f t="shared" si="1"/>
        <v>0</v>
      </c>
    </row>
    <row r="40" spans="1:46" x14ac:dyDescent="0.2">
      <c r="V40" s="5">
        <f t="shared" si="1"/>
        <v>0</v>
      </c>
    </row>
    <row r="41" spans="1:46" s="307" customFormat="1" x14ac:dyDescent="0.2">
      <c r="B41" s="308"/>
      <c r="C41" s="309" t="s">
        <v>688</v>
      </c>
      <c r="S41" s="358"/>
      <c r="V41" s="307">
        <f t="shared" si="1"/>
        <v>0</v>
      </c>
    </row>
    <row r="42" spans="1:46" s="81" customFormat="1" ht="24" x14ac:dyDescent="0.2">
      <c r="B42" s="88"/>
      <c r="D42" s="4" t="s">
        <v>817</v>
      </c>
      <c r="E42" s="5"/>
      <c r="F42" s="5"/>
      <c r="G42" s="121" t="s">
        <v>689</v>
      </c>
      <c r="I42" s="24" t="s">
        <v>651</v>
      </c>
      <c r="J42" s="5"/>
      <c r="K42" s="5"/>
      <c r="L42" s="5"/>
      <c r="M42" s="5"/>
      <c r="N42" s="5"/>
      <c r="P42" s="262"/>
      <c r="S42" s="358"/>
      <c r="V42" s="5">
        <f t="shared" si="1"/>
        <v>0</v>
      </c>
    </row>
    <row r="43" spans="1:46" s="81" customFormat="1" x14ac:dyDescent="0.2">
      <c r="B43" s="88"/>
      <c r="D43" s="65" t="s">
        <v>2</v>
      </c>
      <c r="G43" s="231">
        <v>1</v>
      </c>
      <c r="H43" s="70">
        <v>0.03</v>
      </c>
      <c r="I43" s="70">
        <v>0.03</v>
      </c>
      <c r="J43" s="70">
        <v>0.03</v>
      </c>
      <c r="K43" s="70">
        <v>0.03</v>
      </c>
      <c r="L43" s="70">
        <v>0.03</v>
      </c>
      <c r="M43" s="70">
        <f>H43</f>
        <v>0.03</v>
      </c>
      <c r="P43" s="262"/>
      <c r="S43" s="358"/>
      <c r="V43" s="70">
        <f t="shared" si="1"/>
        <v>0</v>
      </c>
    </row>
    <row r="44" spans="1:46" s="81" customFormat="1" x14ac:dyDescent="0.2">
      <c r="B44" s="88"/>
      <c r="D44" s="65" t="s">
        <v>3</v>
      </c>
      <c r="G44" s="231">
        <v>1</v>
      </c>
      <c r="H44" s="70">
        <v>0.03</v>
      </c>
      <c r="I44" s="70">
        <v>0.03</v>
      </c>
      <c r="J44" s="70">
        <v>0.03</v>
      </c>
      <c r="K44" s="70">
        <v>0.03</v>
      </c>
      <c r="L44" s="70">
        <v>0.03</v>
      </c>
      <c r="M44" s="70">
        <f t="shared" ref="M44:M48" si="24">H44</f>
        <v>0.03</v>
      </c>
      <c r="P44" s="262"/>
      <c r="S44" s="358"/>
      <c r="V44" s="70">
        <f t="shared" si="1"/>
        <v>0</v>
      </c>
    </row>
    <row r="45" spans="1:46" s="81" customFormat="1" x14ac:dyDescent="0.2">
      <c r="B45" s="88"/>
      <c r="D45" s="65" t="s">
        <v>5</v>
      </c>
      <c r="G45" s="231">
        <v>1</v>
      </c>
      <c r="H45" s="70">
        <v>0.1</v>
      </c>
      <c r="I45" s="70">
        <v>0.1</v>
      </c>
      <c r="J45" s="70">
        <v>0.1</v>
      </c>
      <c r="K45" s="70">
        <v>0.1</v>
      </c>
      <c r="L45" s="70">
        <v>0.1</v>
      </c>
      <c r="M45" s="70">
        <f t="shared" si="24"/>
        <v>0.1</v>
      </c>
      <c r="P45" s="262"/>
      <c r="S45" s="358"/>
      <c r="V45" s="70">
        <f t="shared" si="1"/>
        <v>0</v>
      </c>
    </row>
    <row r="46" spans="1:46" s="81" customFormat="1" x14ac:dyDescent="0.2">
      <c r="B46" s="88"/>
      <c r="D46" s="65" t="s">
        <v>815</v>
      </c>
      <c r="G46" s="231">
        <v>1</v>
      </c>
      <c r="H46" s="70">
        <v>0.05</v>
      </c>
      <c r="I46" s="70">
        <v>0.05</v>
      </c>
      <c r="J46" s="70">
        <v>0.05</v>
      </c>
      <c r="K46" s="70">
        <v>0.05</v>
      </c>
      <c r="L46" s="70">
        <v>0.05</v>
      </c>
      <c r="M46" s="70">
        <f t="shared" si="24"/>
        <v>0.05</v>
      </c>
      <c r="P46" s="262"/>
      <c r="S46" s="358"/>
      <c r="V46" s="70">
        <f t="shared" si="1"/>
        <v>0</v>
      </c>
    </row>
    <row r="47" spans="1:46" s="81" customFormat="1" x14ac:dyDescent="0.2">
      <c r="B47" s="88"/>
      <c r="D47" s="65" t="s">
        <v>816</v>
      </c>
      <c r="G47" s="231">
        <v>1</v>
      </c>
      <c r="H47" s="70">
        <v>0.05</v>
      </c>
      <c r="I47" s="70">
        <v>0.05</v>
      </c>
      <c r="J47" s="70">
        <v>0.05</v>
      </c>
      <c r="K47" s="70">
        <v>0.05</v>
      </c>
      <c r="L47" s="70">
        <v>0.05</v>
      </c>
      <c r="M47" s="70">
        <f t="shared" si="24"/>
        <v>0.05</v>
      </c>
      <c r="P47" s="262"/>
      <c r="S47" s="358"/>
      <c r="V47" s="70">
        <f t="shared" si="1"/>
        <v>0</v>
      </c>
    </row>
    <row r="48" spans="1:46" s="81" customFormat="1" x14ac:dyDescent="0.2">
      <c r="B48" s="88"/>
      <c r="D48" s="65" t="s">
        <v>647</v>
      </c>
      <c r="G48" s="231">
        <v>1</v>
      </c>
      <c r="H48" s="70">
        <v>0.2</v>
      </c>
      <c r="I48" s="70">
        <v>0.2</v>
      </c>
      <c r="J48" s="70">
        <v>0.2</v>
      </c>
      <c r="K48" s="70">
        <v>0.2</v>
      </c>
      <c r="L48" s="70">
        <v>0.2</v>
      </c>
      <c r="M48" s="70">
        <f t="shared" si="24"/>
        <v>0.2</v>
      </c>
      <c r="P48" s="262"/>
      <c r="S48" s="358"/>
      <c r="V48" s="70">
        <f t="shared" si="1"/>
        <v>0</v>
      </c>
    </row>
    <row r="49" spans="2:22" s="81" customFormat="1" x14ac:dyDescent="0.2">
      <c r="B49" s="88"/>
      <c r="D49" s="5"/>
      <c r="E49" s="5"/>
      <c r="F49" s="5"/>
      <c r="G49" s="5"/>
      <c r="H49" s="5"/>
      <c r="I49" s="5"/>
      <c r="J49" s="5"/>
      <c r="K49" s="5"/>
      <c r="L49" s="5"/>
      <c r="M49" s="5"/>
      <c r="P49" s="262"/>
      <c r="S49" s="358"/>
      <c r="V49" s="5">
        <f t="shared" si="1"/>
        <v>0</v>
      </c>
    </row>
    <row r="50" spans="2:22" s="81" customFormat="1" x14ac:dyDescent="0.2">
      <c r="B50" s="88"/>
      <c r="D50" s="5" t="s">
        <v>690</v>
      </c>
      <c r="H50" s="120">
        <v>6</v>
      </c>
      <c r="I50" s="120">
        <v>6</v>
      </c>
      <c r="J50" s="120">
        <v>6</v>
      </c>
      <c r="K50" s="120">
        <v>6</v>
      </c>
      <c r="L50" s="120">
        <v>6</v>
      </c>
      <c r="M50" s="120">
        <f>H50</f>
        <v>6</v>
      </c>
      <c r="P50" s="262"/>
      <c r="S50" s="358"/>
      <c r="V50" s="120">
        <f t="shared" si="1"/>
        <v>0</v>
      </c>
    </row>
    <row r="51" spans="2:22" s="81" customFormat="1" x14ac:dyDescent="0.2">
      <c r="B51" s="88"/>
      <c r="D51" s="5" t="s">
        <v>691</v>
      </c>
      <c r="H51" s="120">
        <v>4</v>
      </c>
      <c r="I51" s="120">
        <v>4</v>
      </c>
      <c r="J51" s="120">
        <v>4</v>
      </c>
      <c r="K51" s="120">
        <v>4</v>
      </c>
      <c r="L51" s="120">
        <v>4</v>
      </c>
      <c r="M51" s="120">
        <f t="shared" ref="M51:M52" si="25">H51</f>
        <v>4</v>
      </c>
      <c r="P51" s="262"/>
      <c r="S51" s="358"/>
      <c r="V51" s="120">
        <f t="shared" si="1"/>
        <v>0</v>
      </c>
    </row>
    <row r="52" spans="2:22" s="81" customFormat="1" x14ac:dyDescent="0.2">
      <c r="B52" s="88"/>
      <c r="D52" s="5" t="s">
        <v>959</v>
      </c>
      <c r="H52" s="120">
        <v>6</v>
      </c>
      <c r="I52" s="120">
        <v>6</v>
      </c>
      <c r="J52" s="120">
        <v>6</v>
      </c>
      <c r="K52" s="120">
        <v>6</v>
      </c>
      <c r="L52" s="120">
        <v>6</v>
      </c>
      <c r="M52" s="120">
        <f t="shared" si="25"/>
        <v>6</v>
      </c>
      <c r="P52" s="262"/>
      <c r="S52" s="358"/>
      <c r="V52" s="120">
        <f t="shared" si="1"/>
        <v>0</v>
      </c>
    </row>
    <row r="53" spans="2:22" s="81" customFormat="1" x14ac:dyDescent="0.2">
      <c r="B53" s="88"/>
      <c r="D53" s="339" t="s">
        <v>961</v>
      </c>
      <c r="E53" s="5"/>
      <c r="F53" s="5"/>
      <c r="G53" s="5"/>
      <c r="H53" s="5"/>
      <c r="I53" s="5"/>
      <c r="J53" s="5"/>
      <c r="K53" s="5"/>
      <c r="L53" s="5"/>
      <c r="M53" s="5"/>
      <c r="O53" s="5"/>
      <c r="P53" s="260"/>
      <c r="Q53" s="5"/>
      <c r="S53" s="358"/>
      <c r="V53" s="5">
        <f t="shared" si="1"/>
        <v>0</v>
      </c>
    </row>
    <row r="54" spans="2:22" s="81" customFormat="1" x14ac:dyDescent="0.2">
      <c r="B54" s="88"/>
      <c r="D54" s="5" t="s">
        <v>655</v>
      </c>
      <c r="E54" s="122" t="s">
        <v>657</v>
      </c>
      <c r="H54" s="120">
        <v>8</v>
      </c>
      <c r="I54" s="120">
        <v>4</v>
      </c>
      <c r="J54" s="120">
        <v>4</v>
      </c>
      <c r="K54" s="120">
        <v>8</v>
      </c>
      <c r="L54" s="120">
        <v>8</v>
      </c>
      <c r="M54" s="120">
        <f>H54</f>
        <v>8</v>
      </c>
      <c r="P54" s="262"/>
      <c r="S54" s="358"/>
      <c r="V54" s="120">
        <f t="shared" si="1"/>
        <v>0</v>
      </c>
    </row>
    <row r="55" spans="2:22" s="81" customFormat="1" x14ac:dyDescent="0.2">
      <c r="B55" s="88"/>
      <c r="D55" s="5" t="s">
        <v>656</v>
      </c>
      <c r="H55" s="120">
        <v>8</v>
      </c>
      <c r="I55" s="120">
        <v>4</v>
      </c>
      <c r="J55" s="120">
        <v>4</v>
      </c>
      <c r="K55" s="120">
        <v>8</v>
      </c>
      <c r="L55" s="120">
        <v>8</v>
      </c>
      <c r="M55" s="120">
        <f t="shared" ref="M55:M56" si="26">H55</f>
        <v>8</v>
      </c>
      <c r="P55" s="262"/>
      <c r="S55" s="358"/>
      <c r="V55" s="120">
        <f t="shared" si="1"/>
        <v>0</v>
      </c>
    </row>
    <row r="56" spans="2:22" s="81" customFormat="1" x14ac:dyDescent="0.2">
      <c r="B56" s="88"/>
      <c r="D56" s="5" t="s">
        <v>928</v>
      </c>
      <c r="H56" s="120">
        <v>16</v>
      </c>
      <c r="I56" s="120">
        <v>8</v>
      </c>
      <c r="J56" s="120">
        <v>8</v>
      </c>
      <c r="K56" s="120">
        <v>16</v>
      </c>
      <c r="L56" s="120">
        <v>16</v>
      </c>
      <c r="M56" s="120">
        <f t="shared" si="26"/>
        <v>16</v>
      </c>
      <c r="P56" s="262"/>
      <c r="S56" s="358"/>
      <c r="V56" s="120">
        <f t="shared" si="1"/>
        <v>0</v>
      </c>
    </row>
    <row r="57" spans="2:22" s="81" customFormat="1" x14ac:dyDescent="0.2">
      <c r="P57" s="262"/>
      <c r="S57" s="358"/>
      <c r="V57" s="81">
        <f t="shared" si="1"/>
        <v>0</v>
      </c>
    </row>
    <row r="58" spans="2:22" s="81" customFormat="1" x14ac:dyDescent="0.2">
      <c r="B58" s="88"/>
      <c r="D58" s="5" t="s">
        <v>692</v>
      </c>
      <c r="H58" s="69">
        <v>0.2</v>
      </c>
      <c r="I58" s="69">
        <v>0.2</v>
      </c>
      <c r="J58" s="69">
        <v>0.2</v>
      </c>
      <c r="K58" s="69">
        <v>0.2</v>
      </c>
      <c r="L58" s="69">
        <v>0.2</v>
      </c>
      <c r="M58" s="69">
        <f>H58</f>
        <v>0.2</v>
      </c>
      <c r="P58" s="262"/>
      <c r="S58" s="358"/>
      <c r="V58" s="69">
        <f t="shared" si="1"/>
        <v>0</v>
      </c>
    </row>
    <row r="59" spans="2:22" s="81" customFormat="1" x14ac:dyDescent="0.2">
      <c r="B59" s="88"/>
      <c r="P59" s="262"/>
      <c r="S59" s="358"/>
      <c r="V59" s="81">
        <f t="shared" si="1"/>
        <v>0</v>
      </c>
    </row>
    <row r="60" spans="2:22" s="311" customFormat="1" x14ac:dyDescent="0.2">
      <c r="B60" s="309"/>
      <c r="C60" s="309" t="s">
        <v>497</v>
      </c>
      <c r="S60" s="359"/>
      <c r="V60" s="311">
        <f t="shared" si="1"/>
        <v>0</v>
      </c>
    </row>
    <row r="61" spans="2:22" x14ac:dyDescent="0.2">
      <c r="C61" s="198" t="s">
        <v>4</v>
      </c>
      <c r="V61" s="5">
        <f t="shared" si="1"/>
        <v>0</v>
      </c>
    </row>
    <row r="62" spans="2:22" x14ac:dyDescent="0.2">
      <c r="C62" s="198"/>
      <c r="D62" s="5" t="s">
        <v>1085</v>
      </c>
    </row>
    <row r="63" spans="2:22" x14ac:dyDescent="0.2">
      <c r="D63" s="66" t="s">
        <v>2</v>
      </c>
      <c r="H63" s="69">
        <v>0.35</v>
      </c>
      <c r="I63" s="69">
        <v>0.35</v>
      </c>
      <c r="J63" s="69">
        <v>0.35</v>
      </c>
      <c r="K63" s="69">
        <v>0.35</v>
      </c>
      <c r="L63" s="69">
        <v>0.35</v>
      </c>
      <c r="M63" s="69">
        <f>H63</f>
        <v>0.35</v>
      </c>
      <c r="V63" s="69">
        <f t="shared" si="1"/>
        <v>0</v>
      </c>
    </row>
    <row r="64" spans="2:22" x14ac:dyDescent="0.2">
      <c r="D64" s="66" t="s">
        <v>3</v>
      </c>
      <c r="E64" s="24"/>
      <c r="H64" s="69">
        <v>0.5</v>
      </c>
      <c r="I64" s="69">
        <v>0.5</v>
      </c>
      <c r="J64" s="69">
        <v>0.5</v>
      </c>
      <c r="K64" s="69">
        <v>0.5</v>
      </c>
      <c r="L64" s="69">
        <v>0.5</v>
      </c>
      <c r="M64" s="69">
        <f t="shared" ref="M64:M69" si="27">H64</f>
        <v>0.5</v>
      </c>
      <c r="V64" s="69">
        <f t="shared" si="1"/>
        <v>0</v>
      </c>
    </row>
    <row r="65" spans="1:31" x14ac:dyDescent="0.2">
      <c r="D65" s="66" t="s">
        <v>1093</v>
      </c>
      <c r="E65" s="24"/>
      <c r="H65" s="69">
        <v>0.5</v>
      </c>
      <c r="I65" s="69">
        <v>0.5</v>
      </c>
      <c r="J65" s="69">
        <v>0.5</v>
      </c>
      <c r="K65" s="69">
        <v>0.5</v>
      </c>
      <c r="L65" s="69">
        <v>0.5</v>
      </c>
      <c r="M65" s="69">
        <f t="shared" si="27"/>
        <v>0.5</v>
      </c>
      <c r="V65" s="69">
        <f t="shared" si="1"/>
        <v>0</v>
      </c>
    </row>
    <row r="66" spans="1:31" x14ac:dyDescent="0.2">
      <c r="D66" s="5" t="s">
        <v>1083</v>
      </c>
      <c r="E66" s="24"/>
      <c r="F66" s="24"/>
      <c r="G66" s="24"/>
      <c r="H66" s="24"/>
      <c r="I66" s="24"/>
      <c r="J66" s="24"/>
      <c r="K66" s="24"/>
      <c r="L66" s="24"/>
      <c r="M66" s="24"/>
      <c r="V66" s="69"/>
    </row>
    <row r="67" spans="1:31" x14ac:dyDescent="0.2">
      <c r="D67" s="712" t="s">
        <v>5</v>
      </c>
      <c r="H67" s="120">
        <v>10</v>
      </c>
      <c r="I67" s="120">
        <v>10</v>
      </c>
      <c r="J67" s="120">
        <v>10</v>
      </c>
      <c r="K67" s="120">
        <v>10</v>
      </c>
      <c r="L67" s="120">
        <v>10</v>
      </c>
      <c r="M67" s="120">
        <f t="shared" si="27"/>
        <v>10</v>
      </c>
      <c r="V67" s="120">
        <f t="shared" si="1"/>
        <v>0</v>
      </c>
    </row>
    <row r="68" spans="1:31" x14ac:dyDescent="0.2">
      <c r="D68" s="712" t="s">
        <v>408</v>
      </c>
      <c r="E68" s="24"/>
      <c r="H68" s="120">
        <v>10</v>
      </c>
      <c r="I68" s="120">
        <v>10</v>
      </c>
      <c r="J68" s="120">
        <v>10</v>
      </c>
      <c r="K68" s="120">
        <v>10</v>
      </c>
      <c r="L68" s="120">
        <v>10</v>
      </c>
      <c r="M68" s="120">
        <f t="shared" si="27"/>
        <v>10</v>
      </c>
      <c r="V68" s="120">
        <f t="shared" si="1"/>
        <v>0</v>
      </c>
    </row>
    <row r="69" spans="1:31" x14ac:dyDescent="0.2">
      <c r="D69" s="5" t="s">
        <v>1084</v>
      </c>
      <c r="E69" s="81"/>
      <c r="F69" s="81"/>
      <c r="G69" s="81"/>
      <c r="H69" s="69">
        <v>0.2</v>
      </c>
      <c r="I69" s="69">
        <v>0.2</v>
      </c>
      <c r="J69" s="69">
        <v>0.2</v>
      </c>
      <c r="K69" s="69">
        <v>0.2</v>
      </c>
      <c r="L69" s="69">
        <v>0.2</v>
      </c>
      <c r="M69" s="69">
        <f t="shared" si="27"/>
        <v>0.2</v>
      </c>
      <c r="V69" s="69">
        <f t="shared" si="1"/>
        <v>0</v>
      </c>
    </row>
    <row r="70" spans="1:31" s="79" customFormat="1" x14ac:dyDescent="0.2">
      <c r="B70" s="77"/>
      <c r="E70" s="81"/>
      <c r="F70" s="81"/>
      <c r="G70" s="81"/>
      <c r="H70" s="352"/>
      <c r="I70" s="352"/>
      <c r="J70" s="352"/>
      <c r="K70" s="352"/>
      <c r="L70" s="352"/>
      <c r="M70" s="352"/>
      <c r="V70" s="352">
        <f t="shared" si="1"/>
        <v>0</v>
      </c>
    </row>
    <row r="71" spans="1:31" s="79" customFormat="1" x14ac:dyDescent="0.2">
      <c r="B71" s="77"/>
      <c r="C71" s="79" t="s">
        <v>1354</v>
      </c>
      <c r="E71" s="81"/>
      <c r="F71" s="81"/>
      <c r="G71" s="81"/>
      <c r="H71" s="352"/>
      <c r="I71" s="352"/>
      <c r="J71" s="352"/>
      <c r="K71" s="352"/>
      <c r="L71" s="352"/>
      <c r="M71" s="352"/>
      <c r="V71" s="352">
        <f t="shared" si="1"/>
        <v>0</v>
      </c>
    </row>
    <row r="72" spans="1:31" x14ac:dyDescent="0.2">
      <c r="D72" s="712" t="s">
        <v>1086</v>
      </c>
      <c r="F72" s="81"/>
      <c r="G72" s="81"/>
      <c r="H72" s="120">
        <v>60</v>
      </c>
      <c r="I72" s="120">
        <v>60</v>
      </c>
      <c r="J72" s="120">
        <v>60</v>
      </c>
      <c r="K72" s="120">
        <v>60</v>
      </c>
      <c r="L72" s="120">
        <v>60</v>
      </c>
      <c r="M72" s="120">
        <f>H72</f>
        <v>60</v>
      </c>
      <c r="V72" s="120">
        <f t="shared" ref="V72:V142" si="28">H72-M72</f>
        <v>0</v>
      </c>
    </row>
    <row r="73" spans="1:31" x14ac:dyDescent="0.2">
      <c r="D73" s="712" t="s">
        <v>1087</v>
      </c>
      <c r="F73" s="81"/>
      <c r="G73" s="81"/>
      <c r="H73" s="69">
        <v>0.5</v>
      </c>
      <c r="I73" s="69">
        <v>0.5</v>
      </c>
      <c r="J73" s="69">
        <v>0.5</v>
      </c>
      <c r="K73" s="69">
        <v>0.5</v>
      </c>
      <c r="L73" s="69">
        <v>0.5</v>
      </c>
      <c r="M73" s="69">
        <f>H73</f>
        <v>0.5</v>
      </c>
      <c r="V73" s="69">
        <f t="shared" si="28"/>
        <v>0</v>
      </c>
    </row>
    <row r="74" spans="1:31" x14ac:dyDescent="0.2">
      <c r="V74" s="5">
        <f t="shared" si="28"/>
        <v>0</v>
      </c>
    </row>
    <row r="75" spans="1:31" s="314" customFormat="1" x14ac:dyDescent="0.2">
      <c r="C75" s="315" t="s">
        <v>8</v>
      </c>
      <c r="S75" s="361"/>
      <c r="V75" s="314">
        <f t="shared" si="28"/>
        <v>0</v>
      </c>
    </row>
    <row r="76" spans="1:31" s="99" customFormat="1" x14ac:dyDescent="0.2">
      <c r="B76" s="100"/>
      <c r="C76" s="317" t="s">
        <v>826</v>
      </c>
      <c r="P76" s="262"/>
      <c r="S76" s="358"/>
      <c r="V76" s="99">
        <f t="shared" si="28"/>
        <v>0</v>
      </c>
    </row>
    <row r="77" spans="1:31" s="99" customFormat="1" x14ac:dyDescent="0.2">
      <c r="B77" s="100"/>
      <c r="C77" s="317"/>
      <c r="D77" s="5" t="s">
        <v>409</v>
      </c>
      <c r="P77" s="262"/>
      <c r="S77" s="358"/>
    </row>
    <row r="78" spans="1:31" s="3" customFormat="1" x14ac:dyDescent="0.2">
      <c r="A78" s="5"/>
      <c r="B78" s="5"/>
      <c r="C78" s="5"/>
      <c r="D78" s="711" t="s">
        <v>414</v>
      </c>
      <c r="E78" s="81"/>
      <c r="F78" s="5"/>
      <c r="G78" s="5"/>
      <c r="H78" s="69">
        <v>0.05</v>
      </c>
      <c r="I78" s="69">
        <v>0.05</v>
      </c>
      <c r="J78" s="69">
        <v>0.05</v>
      </c>
      <c r="K78" s="69">
        <v>0.05</v>
      </c>
      <c r="L78" s="69">
        <v>0.05</v>
      </c>
      <c r="M78" s="69">
        <f>H78</f>
        <v>0.05</v>
      </c>
      <c r="N78" s="5"/>
      <c r="O78" s="5"/>
      <c r="P78" s="262"/>
      <c r="Q78" s="5"/>
      <c r="R78" s="5"/>
      <c r="S78" s="359"/>
      <c r="T78" s="5"/>
      <c r="U78" s="5"/>
      <c r="V78" s="69">
        <f t="shared" ref="V78" si="29">H78-M78</f>
        <v>0</v>
      </c>
      <c r="W78" s="5"/>
      <c r="X78" s="5"/>
      <c r="Y78" s="5"/>
      <c r="Z78" s="5"/>
      <c r="AA78" s="5"/>
      <c r="AB78" s="5"/>
      <c r="AC78" s="5"/>
      <c r="AD78" s="5"/>
      <c r="AE78" s="5"/>
    </row>
    <row r="79" spans="1:31" s="3" customFormat="1" x14ac:dyDescent="0.2">
      <c r="A79" s="5"/>
      <c r="B79" s="5"/>
      <c r="C79" s="5"/>
      <c r="D79" s="5" t="s">
        <v>495</v>
      </c>
      <c r="E79" s="81"/>
      <c r="F79" s="5"/>
      <c r="G79" s="5"/>
      <c r="H79" s="5"/>
      <c r="I79" s="5"/>
      <c r="J79" s="5"/>
      <c r="K79" s="5"/>
      <c r="L79" s="5"/>
      <c r="M79" s="5"/>
      <c r="N79" s="5"/>
      <c r="O79" s="5"/>
      <c r="P79" s="262"/>
      <c r="Q79" s="5"/>
      <c r="R79" s="5"/>
      <c r="S79" s="359"/>
      <c r="T79" s="5"/>
      <c r="U79" s="5"/>
      <c r="V79" s="69"/>
      <c r="W79" s="5"/>
      <c r="X79" s="5"/>
      <c r="Y79" s="5"/>
      <c r="Z79" s="5"/>
      <c r="AA79" s="5"/>
      <c r="AB79" s="5"/>
      <c r="AC79" s="5"/>
      <c r="AD79" s="5"/>
      <c r="AE79" s="5"/>
    </row>
    <row r="80" spans="1:31" x14ac:dyDescent="0.2">
      <c r="D80" s="711" t="s">
        <v>410</v>
      </c>
      <c r="H80" s="120">
        <v>2</v>
      </c>
      <c r="I80" s="120">
        <v>2</v>
      </c>
      <c r="J80" s="120">
        <v>2</v>
      </c>
      <c r="K80" s="120">
        <v>2</v>
      </c>
      <c r="L80" s="120">
        <v>2</v>
      </c>
      <c r="M80" s="120">
        <f t="shared" ref="M80:M88" si="30">H80</f>
        <v>2</v>
      </c>
      <c r="V80" s="120">
        <f t="shared" si="28"/>
        <v>0</v>
      </c>
    </row>
    <row r="81" spans="2:22" x14ac:dyDescent="0.2">
      <c r="D81" s="711" t="s">
        <v>411</v>
      </c>
      <c r="H81" s="69">
        <v>0.05</v>
      </c>
      <c r="I81" s="69">
        <v>0.05</v>
      </c>
      <c r="J81" s="69">
        <v>0.05</v>
      </c>
      <c r="K81" s="69">
        <v>0.05</v>
      </c>
      <c r="L81" s="69">
        <v>0.05</v>
      </c>
      <c r="M81" s="69">
        <f t="shared" si="30"/>
        <v>0.05</v>
      </c>
      <c r="V81" s="69">
        <f t="shared" si="28"/>
        <v>0</v>
      </c>
    </row>
    <row r="82" spans="2:22" x14ac:dyDescent="0.2">
      <c r="D82" s="5" t="s">
        <v>827</v>
      </c>
      <c r="V82" s="69"/>
    </row>
    <row r="83" spans="2:22" x14ac:dyDescent="0.2">
      <c r="D83" s="711" t="s">
        <v>35</v>
      </c>
      <c r="H83" s="189">
        <v>5</v>
      </c>
      <c r="I83" s="189">
        <v>5</v>
      </c>
      <c r="J83" s="189">
        <v>5</v>
      </c>
      <c r="K83" s="189">
        <v>5</v>
      </c>
      <c r="L83" s="189">
        <v>5</v>
      </c>
      <c r="M83" s="189">
        <f t="shared" si="30"/>
        <v>5</v>
      </c>
      <c r="V83" s="189">
        <f t="shared" si="28"/>
        <v>0</v>
      </c>
    </row>
    <row r="84" spans="2:22" x14ac:dyDescent="0.2">
      <c r="D84" s="711" t="s">
        <v>10</v>
      </c>
      <c r="H84" s="189">
        <v>10</v>
      </c>
      <c r="I84" s="189">
        <v>10</v>
      </c>
      <c r="J84" s="189">
        <v>10</v>
      </c>
      <c r="K84" s="189">
        <v>10</v>
      </c>
      <c r="L84" s="189">
        <v>10</v>
      </c>
      <c r="M84" s="189">
        <f t="shared" si="30"/>
        <v>10</v>
      </c>
      <c r="V84" s="189">
        <f t="shared" si="28"/>
        <v>0</v>
      </c>
    </row>
    <row r="85" spans="2:22" x14ac:dyDescent="0.2">
      <c r="D85" s="5" t="s">
        <v>9</v>
      </c>
      <c r="V85" s="189"/>
    </row>
    <row r="86" spans="2:22" x14ac:dyDescent="0.2">
      <c r="D86" s="711" t="s">
        <v>1353</v>
      </c>
      <c r="H86" s="69">
        <v>0.15</v>
      </c>
      <c r="I86" s="69">
        <v>0.15</v>
      </c>
      <c r="J86" s="69">
        <v>0.15</v>
      </c>
      <c r="K86" s="69">
        <v>0.15</v>
      </c>
      <c r="L86" s="69">
        <v>0.15</v>
      </c>
      <c r="M86" s="69">
        <f t="shared" si="30"/>
        <v>0.15</v>
      </c>
      <c r="V86" s="69">
        <f t="shared" si="28"/>
        <v>0</v>
      </c>
    </row>
    <row r="87" spans="2:22" x14ac:dyDescent="0.2">
      <c r="D87" s="5" t="s">
        <v>412</v>
      </c>
      <c r="H87" s="189">
        <v>15</v>
      </c>
      <c r="I87" s="189">
        <v>15</v>
      </c>
      <c r="J87" s="189">
        <v>15</v>
      </c>
      <c r="K87" s="189">
        <v>15</v>
      </c>
      <c r="L87" s="189">
        <v>15</v>
      </c>
      <c r="M87" s="189">
        <f t="shared" si="30"/>
        <v>15</v>
      </c>
      <c r="V87" s="189">
        <f t="shared" si="28"/>
        <v>0</v>
      </c>
    </row>
    <row r="88" spans="2:22" x14ac:dyDescent="0.2">
      <c r="D88" s="5" t="s">
        <v>824</v>
      </c>
      <c r="H88" s="69">
        <v>0.15</v>
      </c>
      <c r="I88" s="69">
        <v>0.15</v>
      </c>
      <c r="J88" s="69">
        <v>0.15</v>
      </c>
      <c r="K88" s="69">
        <v>0.15</v>
      </c>
      <c r="L88" s="69">
        <v>0.15</v>
      </c>
      <c r="M88" s="69">
        <f t="shared" si="30"/>
        <v>0.15</v>
      </c>
      <c r="V88" s="69">
        <f t="shared" si="28"/>
        <v>0</v>
      </c>
    </row>
    <row r="89" spans="2:22" x14ac:dyDescent="0.2">
      <c r="V89" s="5">
        <f t="shared" si="28"/>
        <v>0</v>
      </c>
    </row>
    <row r="90" spans="2:22" x14ac:dyDescent="0.2">
      <c r="C90" s="198" t="s">
        <v>538</v>
      </c>
      <c r="V90" s="5">
        <f t="shared" si="28"/>
        <v>0</v>
      </c>
    </row>
    <row r="91" spans="2:22" x14ac:dyDescent="0.2">
      <c r="B91" s="5"/>
      <c r="D91" s="6" t="s">
        <v>832</v>
      </c>
      <c r="V91" s="5">
        <f t="shared" si="28"/>
        <v>0</v>
      </c>
    </row>
    <row r="92" spans="2:22" x14ac:dyDescent="0.2">
      <c r="B92" s="5"/>
      <c r="D92" s="708" t="s">
        <v>12</v>
      </c>
      <c r="E92" s="707"/>
      <c r="F92" s="707"/>
      <c r="G92" s="707"/>
    </row>
    <row r="93" spans="2:22" x14ac:dyDescent="0.2">
      <c r="D93" s="90" t="s">
        <v>405</v>
      </c>
      <c r="F93" s="25"/>
      <c r="G93" s="25"/>
      <c r="H93" s="120">
        <v>2</v>
      </c>
      <c r="I93" s="120">
        <v>2</v>
      </c>
      <c r="J93" s="120">
        <v>2</v>
      </c>
      <c r="K93" s="120">
        <v>2</v>
      </c>
      <c r="L93" s="120">
        <v>2</v>
      </c>
      <c r="M93" s="120">
        <f>H93</f>
        <v>2</v>
      </c>
      <c r="V93" s="120">
        <f t="shared" si="28"/>
        <v>0</v>
      </c>
    </row>
    <row r="94" spans="2:22" x14ac:dyDescent="0.2">
      <c r="D94" s="90" t="s">
        <v>717</v>
      </c>
      <c r="F94" s="25"/>
      <c r="G94" s="25"/>
      <c r="H94" s="120">
        <v>2</v>
      </c>
      <c r="I94" s="120">
        <v>2</v>
      </c>
      <c r="J94" s="120">
        <v>2</v>
      </c>
      <c r="K94" s="120">
        <v>2</v>
      </c>
      <c r="L94" s="120">
        <v>2</v>
      </c>
      <c r="M94" s="120">
        <f t="shared" ref="M94:M99" si="31">H94</f>
        <v>2</v>
      </c>
      <c r="V94" s="120">
        <f t="shared" si="28"/>
        <v>0</v>
      </c>
    </row>
    <row r="95" spans="2:22" x14ac:dyDescent="0.2">
      <c r="D95" s="90" t="s">
        <v>834</v>
      </c>
      <c r="H95" s="120">
        <v>5</v>
      </c>
      <c r="I95" s="120">
        <v>5</v>
      </c>
      <c r="J95" s="120">
        <v>5</v>
      </c>
      <c r="K95" s="120">
        <v>5</v>
      </c>
      <c r="L95" s="120">
        <v>5</v>
      </c>
      <c r="M95" s="120">
        <f t="shared" si="31"/>
        <v>5</v>
      </c>
      <c r="V95" s="120">
        <f t="shared" si="28"/>
        <v>0</v>
      </c>
    </row>
    <row r="96" spans="2:22" x14ac:dyDescent="0.2">
      <c r="D96" s="708" t="s">
        <v>646</v>
      </c>
      <c r="E96" s="709"/>
      <c r="F96" s="709"/>
      <c r="G96" s="709"/>
      <c r="V96" s="120"/>
    </row>
    <row r="97" spans="1:22" x14ac:dyDescent="0.2">
      <c r="D97" s="90" t="s">
        <v>405</v>
      </c>
      <c r="F97" s="25"/>
      <c r="G97" s="25"/>
      <c r="H97" s="120">
        <v>2</v>
      </c>
      <c r="I97" s="120">
        <v>2</v>
      </c>
      <c r="J97" s="120">
        <v>2</v>
      </c>
      <c r="K97" s="120">
        <v>2</v>
      </c>
      <c r="L97" s="120">
        <v>2</v>
      </c>
      <c r="M97" s="120">
        <f t="shared" si="31"/>
        <v>2</v>
      </c>
      <c r="V97" s="120">
        <f t="shared" si="28"/>
        <v>0</v>
      </c>
    </row>
    <row r="98" spans="1:22" x14ac:dyDescent="0.2">
      <c r="D98" s="90" t="s">
        <v>717</v>
      </c>
      <c r="F98" s="25"/>
      <c r="G98" s="25"/>
      <c r="H98" s="120">
        <v>2</v>
      </c>
      <c r="I98" s="120">
        <v>2</v>
      </c>
      <c r="J98" s="120">
        <v>2</v>
      </c>
      <c r="K98" s="120">
        <v>2</v>
      </c>
      <c r="L98" s="120">
        <v>2</v>
      </c>
      <c r="M98" s="120">
        <f t="shared" si="31"/>
        <v>2</v>
      </c>
      <c r="V98" s="120">
        <f t="shared" si="28"/>
        <v>0</v>
      </c>
    </row>
    <row r="99" spans="1:22" x14ac:dyDescent="0.2">
      <c r="D99" s="90" t="s">
        <v>835</v>
      </c>
      <c r="H99" s="120">
        <v>5</v>
      </c>
      <c r="I99" s="120">
        <v>5</v>
      </c>
      <c r="J99" s="120">
        <v>5</v>
      </c>
      <c r="K99" s="120">
        <v>5</v>
      </c>
      <c r="L99" s="120">
        <v>5</v>
      </c>
      <c r="M99" s="120">
        <f t="shared" si="31"/>
        <v>5</v>
      </c>
      <c r="V99" s="120">
        <f t="shared" si="28"/>
        <v>0</v>
      </c>
    </row>
    <row r="100" spans="1:22" x14ac:dyDescent="0.2">
      <c r="D100" s="710" t="s">
        <v>831</v>
      </c>
      <c r="E100" s="709"/>
      <c r="F100" s="709"/>
      <c r="G100" s="709"/>
      <c r="V100" s="5">
        <f t="shared" si="28"/>
        <v>0</v>
      </c>
    </row>
    <row r="101" spans="1:22" x14ac:dyDescent="0.2">
      <c r="B101" s="5"/>
      <c r="D101" s="72" t="s">
        <v>405</v>
      </c>
      <c r="F101" s="25"/>
      <c r="G101" s="25"/>
      <c r="H101" s="120">
        <v>1</v>
      </c>
      <c r="I101" s="120">
        <v>1</v>
      </c>
      <c r="J101" s="120">
        <v>1</v>
      </c>
      <c r="K101" s="120">
        <v>1</v>
      </c>
      <c r="L101" s="120">
        <v>1</v>
      </c>
      <c r="M101" s="120">
        <f>H101</f>
        <v>1</v>
      </c>
      <c r="V101" s="120">
        <f t="shared" si="28"/>
        <v>0</v>
      </c>
    </row>
    <row r="102" spans="1:22" x14ac:dyDescent="0.2">
      <c r="B102" s="5"/>
      <c r="D102" s="72" t="s">
        <v>717</v>
      </c>
      <c r="G102" s="25"/>
      <c r="H102" s="120">
        <v>2</v>
      </c>
      <c r="I102" s="120">
        <v>2</v>
      </c>
      <c r="J102" s="120">
        <v>2</v>
      </c>
      <c r="K102" s="120">
        <v>2</v>
      </c>
      <c r="L102" s="120">
        <v>2</v>
      </c>
      <c r="M102" s="120">
        <f t="shared" ref="M102:M103" si="32">H102</f>
        <v>2</v>
      </c>
      <c r="V102" s="120">
        <f t="shared" si="28"/>
        <v>0</v>
      </c>
    </row>
    <row r="103" spans="1:22" x14ac:dyDescent="0.2">
      <c r="D103" s="72" t="s">
        <v>836</v>
      </c>
      <c r="H103" s="120">
        <v>6</v>
      </c>
      <c r="I103" s="120">
        <v>6</v>
      </c>
      <c r="J103" s="120">
        <v>6</v>
      </c>
      <c r="K103" s="120">
        <v>6</v>
      </c>
      <c r="L103" s="120">
        <v>6</v>
      </c>
      <c r="M103" s="120">
        <f t="shared" si="32"/>
        <v>6</v>
      </c>
      <c r="V103" s="120">
        <f t="shared" si="28"/>
        <v>0</v>
      </c>
    </row>
    <row r="104" spans="1:22" x14ac:dyDescent="0.2">
      <c r="D104" s="6"/>
      <c r="E104" s="6"/>
      <c r="F104" s="6"/>
      <c r="G104" s="6"/>
      <c r="H104" s="6"/>
      <c r="I104" s="6"/>
      <c r="J104" s="6"/>
      <c r="K104" s="6"/>
      <c r="L104" s="6"/>
      <c r="M104" s="6"/>
      <c r="N104" s="6"/>
      <c r="O104" s="6"/>
      <c r="P104" s="6"/>
      <c r="Q104" s="6"/>
      <c r="V104" s="6">
        <f t="shared" si="28"/>
        <v>0</v>
      </c>
    </row>
    <row r="105" spans="1:22" x14ac:dyDescent="0.2">
      <c r="C105" s="198" t="s">
        <v>539</v>
      </c>
      <c r="V105" s="5">
        <f t="shared" si="28"/>
        <v>0</v>
      </c>
    </row>
    <row r="106" spans="1:22" x14ac:dyDescent="0.2">
      <c r="A106" s="79"/>
      <c r="D106" s="6"/>
      <c r="F106" s="6"/>
      <c r="J106" s="6"/>
      <c r="M106" s="6"/>
      <c r="V106" s="6" t="e">
        <f>G107-M106</f>
        <v>#VALUE!</v>
      </c>
    </row>
    <row r="107" spans="1:22" ht="38.25" x14ac:dyDescent="0.2">
      <c r="A107" s="79"/>
      <c r="D107" s="7" t="s">
        <v>962</v>
      </c>
      <c r="F107" s="6"/>
      <c r="G107" s="934" t="s">
        <v>1673</v>
      </c>
      <c r="J107" s="6"/>
      <c r="M107" s="6"/>
      <c r="V107" s="6" t="e">
        <f>#REF!-M107</f>
        <v>#REF!</v>
      </c>
    </row>
    <row r="108" spans="1:22" x14ac:dyDescent="0.2">
      <c r="A108" s="79"/>
      <c r="D108" s="66" t="s">
        <v>115</v>
      </c>
      <c r="F108" s="6"/>
      <c r="G108" s="190">
        <v>25</v>
      </c>
      <c r="H108" s="258">
        <f>G108*'H&amp;S Demand'!J18</f>
        <v>9979817.0362476632</v>
      </c>
      <c r="I108" s="258">
        <f>H108*(1+GenAssumptions!E$6)</f>
        <v>10538686.790277533</v>
      </c>
      <c r="J108" s="258">
        <f>I108*(1+GenAssumptions!F$6)</f>
        <v>11128853.250533076</v>
      </c>
      <c r="K108" s="258">
        <f>H108*(1+GenAssumptions!G$6)</f>
        <v>9979817.0362476632</v>
      </c>
      <c r="L108" s="258">
        <f>H108*(1+GenAssumptions!I$6)</f>
        <v>9979817.0362476632</v>
      </c>
      <c r="M108" s="258">
        <f>H108</f>
        <v>9979817.0362476632</v>
      </c>
      <c r="V108" s="258">
        <f t="shared" ref="V108:V116" si="33">G108-M108</f>
        <v>-9979792.0362476632</v>
      </c>
    </row>
    <row r="109" spans="1:22" x14ac:dyDescent="0.2">
      <c r="A109" s="79"/>
      <c r="D109" s="66" t="s">
        <v>109</v>
      </c>
      <c r="F109" s="66"/>
      <c r="G109" s="190">
        <v>25</v>
      </c>
      <c r="H109" s="258">
        <f>G109*'H&amp;S Demand'!J19</f>
        <v>3062252.4739658516</v>
      </c>
      <c r="I109" s="258">
        <f>H109*(1+GenAssumptions!E$6)</f>
        <v>3233738.6125079393</v>
      </c>
      <c r="J109" s="258">
        <f>I109*(1+GenAssumptions!F$6)</f>
        <v>3414827.9748083842</v>
      </c>
      <c r="K109" s="258">
        <f>H109*(1+GenAssumptions!G$6)</f>
        <v>3062252.4739658516</v>
      </c>
      <c r="L109" s="258">
        <f>H109*(1+GenAssumptions!I$6)</f>
        <v>3062252.4739658516</v>
      </c>
      <c r="M109" s="258">
        <f t="shared" ref="M109:M116" si="34">H109</f>
        <v>3062252.4739658516</v>
      </c>
      <c r="V109" s="258">
        <f t="shared" si="33"/>
        <v>-3062227.4739658516</v>
      </c>
    </row>
    <row r="110" spans="1:22" x14ac:dyDescent="0.2">
      <c r="A110" s="79"/>
      <c r="D110" s="66" t="s">
        <v>103</v>
      </c>
      <c r="F110" s="66"/>
      <c r="G110" s="190">
        <v>25</v>
      </c>
      <c r="H110" s="258">
        <f>G110*'H&amp;S Demand'!J20</f>
        <v>8599005.4201334901</v>
      </c>
      <c r="I110" s="258">
        <f>H110*(1+GenAssumptions!E$6)</f>
        <v>9080549.7236609664</v>
      </c>
      <c r="J110" s="258">
        <f>I110*(1+GenAssumptions!F$6)</f>
        <v>9589060.5081859808</v>
      </c>
      <c r="K110" s="258">
        <f>H110*(1+GenAssumptions!G$6)</f>
        <v>8599005.4201334901</v>
      </c>
      <c r="L110" s="258">
        <f>H110*(1+GenAssumptions!I$6)</f>
        <v>8599005.4201334901</v>
      </c>
      <c r="M110" s="258">
        <f t="shared" si="34"/>
        <v>8599005.4201334901</v>
      </c>
      <c r="V110" s="258">
        <f t="shared" si="33"/>
        <v>-8598980.4201334901</v>
      </c>
    </row>
    <row r="111" spans="1:22" x14ac:dyDescent="0.2">
      <c r="A111" s="79"/>
      <c r="D111" s="66" t="s">
        <v>91</v>
      </c>
      <c r="F111" s="6"/>
      <c r="G111" s="190">
        <v>25</v>
      </c>
      <c r="H111" s="258">
        <f>G111*'H&amp;S Demand'!J21</f>
        <v>13571421.145760056</v>
      </c>
      <c r="I111" s="258">
        <f>H111*(1+GenAssumptions!E$6)</f>
        <v>14331420.729922619</v>
      </c>
      <c r="J111" s="258">
        <f>I111*(1+GenAssumptions!F$6)</f>
        <v>15133980.290798286</v>
      </c>
      <c r="K111" s="258">
        <f>H111*(1+GenAssumptions!G$6)</f>
        <v>13571421.145760056</v>
      </c>
      <c r="L111" s="258">
        <f>H111*(1+GenAssumptions!I$6)</f>
        <v>13571421.145760056</v>
      </c>
      <c r="M111" s="258">
        <f t="shared" si="34"/>
        <v>13571421.145760056</v>
      </c>
      <c r="V111" s="258">
        <f t="shared" si="33"/>
        <v>-13571396.145760056</v>
      </c>
    </row>
    <row r="112" spans="1:22" x14ac:dyDescent="0.2">
      <c r="A112" s="79"/>
      <c r="D112" s="66" t="s">
        <v>85</v>
      </c>
      <c r="F112" s="6"/>
      <c r="G112" s="190">
        <v>25</v>
      </c>
      <c r="H112" s="258">
        <f>G112*'H&amp;S Demand'!J22</f>
        <v>8988160.50570965</v>
      </c>
      <c r="I112" s="258">
        <f>H112*(1+GenAssumptions!E$6)</f>
        <v>9491497.4940293916</v>
      </c>
      <c r="J112" s="258">
        <f>I112*(1+GenAssumptions!F$6)</f>
        <v>10023021.353695039</v>
      </c>
      <c r="K112" s="258">
        <f>H112*(1+GenAssumptions!G$6)</f>
        <v>8988160.50570965</v>
      </c>
      <c r="L112" s="258">
        <f>H112*(1+GenAssumptions!I$6)</f>
        <v>8988160.50570965</v>
      </c>
      <c r="M112" s="258">
        <f t="shared" si="34"/>
        <v>8988160.50570965</v>
      </c>
      <c r="V112" s="258">
        <f t="shared" si="33"/>
        <v>-8988135.50570965</v>
      </c>
    </row>
    <row r="113" spans="1:22" x14ac:dyDescent="0.2">
      <c r="A113" s="79"/>
      <c r="D113" s="66" t="s">
        <v>81</v>
      </c>
      <c r="F113" s="6"/>
      <c r="G113" s="190">
        <v>25</v>
      </c>
      <c r="H113" s="258">
        <f>G113*'H&amp;S Demand'!J23</f>
        <v>5452582.5306012314</v>
      </c>
      <c r="I113" s="258">
        <f>H113*(1+GenAssumptions!E$6)</f>
        <v>5757927.1523149004</v>
      </c>
      <c r="J113" s="258">
        <f>I113*(1+GenAssumptions!F$6)</f>
        <v>6080371.0728445351</v>
      </c>
      <c r="K113" s="258">
        <f>H113*(1+GenAssumptions!G$6)</f>
        <v>5452582.5306012314</v>
      </c>
      <c r="L113" s="258">
        <f>H113*(1+GenAssumptions!I$6)</f>
        <v>5452582.5306012314</v>
      </c>
      <c r="M113" s="258">
        <f t="shared" si="34"/>
        <v>5452582.5306012314</v>
      </c>
      <c r="V113" s="258">
        <f t="shared" si="33"/>
        <v>-5452557.5306012314</v>
      </c>
    </row>
    <row r="114" spans="1:22" x14ac:dyDescent="0.2">
      <c r="A114" s="79"/>
      <c r="D114" s="66" t="s">
        <v>76</v>
      </c>
      <c r="F114" s="6"/>
      <c r="G114" s="190">
        <v>25</v>
      </c>
      <c r="H114" s="258">
        <f>G114*'H&amp;S Demand'!J24</f>
        <v>4122228.5149161397</v>
      </c>
      <c r="I114" s="258">
        <f>H114*(1+GenAssumptions!E$6)</f>
        <v>4353073.3117514439</v>
      </c>
      <c r="J114" s="258">
        <f>I114*(1+GenAssumptions!F$6)</f>
        <v>4596845.4172095247</v>
      </c>
      <c r="K114" s="258">
        <f>H114*(1+GenAssumptions!G$6)</f>
        <v>4122228.5149161397</v>
      </c>
      <c r="L114" s="258">
        <f>H114*(1+GenAssumptions!I$6)</f>
        <v>4122228.5149161397</v>
      </c>
      <c r="M114" s="258">
        <f t="shared" si="34"/>
        <v>4122228.5149161397</v>
      </c>
      <c r="V114" s="258">
        <f t="shared" si="33"/>
        <v>-4122203.5149161397</v>
      </c>
    </row>
    <row r="115" spans="1:22" x14ac:dyDescent="0.2">
      <c r="A115" s="79"/>
      <c r="D115" s="66" t="s">
        <v>70</v>
      </c>
      <c r="G115" s="190">
        <v>25</v>
      </c>
      <c r="H115" s="258">
        <f>G115*'H&amp;S Demand'!J25</f>
        <v>1459794.1677822163</v>
      </c>
      <c r="I115" s="258">
        <f>H115*(1+GenAssumptions!E$6)</f>
        <v>1541542.6411780205</v>
      </c>
      <c r="J115" s="258">
        <f>I115*(1+GenAssumptions!F$6)</f>
        <v>1627869.0290839898</v>
      </c>
      <c r="K115" s="258">
        <f>H115*(1+GenAssumptions!G$6)</f>
        <v>1459794.1677822163</v>
      </c>
      <c r="L115" s="258">
        <f>H115*(1+GenAssumptions!I$6)</f>
        <v>1459794.1677822163</v>
      </c>
      <c r="M115" s="258">
        <f t="shared" si="34"/>
        <v>1459794.1677822163</v>
      </c>
      <c r="V115" s="258">
        <f t="shared" si="33"/>
        <v>-1459769.1677822163</v>
      </c>
    </row>
    <row r="116" spans="1:22" x14ac:dyDescent="0.2">
      <c r="A116" s="79"/>
      <c r="D116" s="66" t="s">
        <v>63</v>
      </c>
      <c r="G116" s="190">
        <v>25</v>
      </c>
      <c r="H116" s="258">
        <f>G116*'H&amp;S Demand'!J26</f>
        <v>3087129.1156580541</v>
      </c>
      <c r="I116" s="258">
        <f>H116*(1+GenAssumptions!E$6)</f>
        <v>3260008.3461349052</v>
      </c>
      <c r="J116" s="258">
        <f>I116*(1+GenAssumptions!F$6)</f>
        <v>3442568.8135184599</v>
      </c>
      <c r="K116" s="258">
        <f>H116*(1+GenAssumptions!G$6)</f>
        <v>3087129.1156580541</v>
      </c>
      <c r="L116" s="258">
        <f>H116*(1+GenAssumptions!I$6)</f>
        <v>3087129.1156580541</v>
      </c>
      <c r="M116" s="258">
        <f t="shared" si="34"/>
        <v>3087129.1156580541</v>
      </c>
      <c r="V116" s="258">
        <f t="shared" si="33"/>
        <v>-3087104.1156580541</v>
      </c>
    </row>
    <row r="117" spans="1:22" ht="13.5" thickBot="1" x14ac:dyDescent="0.25">
      <c r="A117" s="79"/>
      <c r="D117" s="66" t="s">
        <v>724</v>
      </c>
      <c r="H117" s="250">
        <f>SUM(H108:H116)</f>
        <v>58322390.910774343</v>
      </c>
      <c r="I117" s="250">
        <f t="shared" ref="I117:M117" si="35">SUM(I108:I116)</f>
        <v>61588444.80177772</v>
      </c>
      <c r="J117" s="250">
        <f t="shared" si="35"/>
        <v>65037397.710677266</v>
      </c>
      <c r="K117" s="250">
        <f t="shared" si="35"/>
        <v>58322390.910774343</v>
      </c>
      <c r="L117" s="250">
        <f t="shared" ref="L117" si="36">SUM(L108:L116)</f>
        <v>58322390.910774343</v>
      </c>
      <c r="M117" s="250">
        <f t="shared" si="35"/>
        <v>58322390.910774343</v>
      </c>
      <c r="V117" s="250">
        <f t="shared" si="28"/>
        <v>0</v>
      </c>
    </row>
    <row r="118" spans="1:22" ht="13.5" thickTop="1" x14ac:dyDescent="0.2">
      <c r="A118" s="79"/>
      <c r="V118" s="5">
        <f t="shared" si="28"/>
        <v>0</v>
      </c>
    </row>
    <row r="119" spans="1:22" s="314" customFormat="1" x14ac:dyDescent="0.2">
      <c r="B119" s="315" t="s">
        <v>11</v>
      </c>
      <c r="C119" s="315"/>
      <c r="S119" s="361"/>
      <c r="V119" s="314">
        <f t="shared" si="28"/>
        <v>0</v>
      </c>
    </row>
    <row r="120" spans="1:22" s="318" customFormat="1" ht="14.25" x14ac:dyDescent="0.2">
      <c r="B120" s="319"/>
      <c r="C120" s="320" t="s">
        <v>1091</v>
      </c>
      <c r="E120" s="321"/>
      <c r="F120" s="321"/>
      <c r="G120" s="321"/>
      <c r="H120" s="321"/>
      <c r="I120" s="321"/>
      <c r="J120" s="321"/>
      <c r="K120" s="321"/>
      <c r="L120" s="321"/>
      <c r="M120" s="321"/>
      <c r="S120" s="362"/>
      <c r="V120" s="321">
        <f t="shared" si="28"/>
        <v>0</v>
      </c>
    </row>
    <row r="121" spans="1:22" hidden="1" x14ac:dyDescent="0.2">
      <c r="D121" s="5" t="s">
        <v>1095</v>
      </c>
      <c r="H121" s="69">
        <v>0</v>
      </c>
      <c r="I121" s="69">
        <v>0.7</v>
      </c>
      <c r="J121" s="69">
        <v>0.7</v>
      </c>
      <c r="K121" s="69">
        <v>0.7</v>
      </c>
      <c r="L121" s="69">
        <v>0.7</v>
      </c>
      <c r="M121" s="69">
        <f>H121</f>
        <v>0</v>
      </c>
      <c r="V121" s="69">
        <f t="shared" si="28"/>
        <v>0</v>
      </c>
    </row>
    <row r="122" spans="1:22" hidden="1" x14ac:dyDescent="0.2">
      <c r="D122" s="5" t="s">
        <v>1096</v>
      </c>
      <c r="H122" s="69">
        <v>0.45</v>
      </c>
      <c r="I122" s="69">
        <v>0.45</v>
      </c>
      <c r="J122" s="69">
        <v>0.45</v>
      </c>
      <c r="K122" s="69">
        <v>0.45</v>
      </c>
      <c r="L122" s="69">
        <v>0.45</v>
      </c>
      <c r="M122" s="69">
        <f>H122</f>
        <v>0.45</v>
      </c>
      <c r="V122" s="69">
        <f t="shared" si="28"/>
        <v>0</v>
      </c>
    </row>
    <row r="123" spans="1:22" hidden="1" x14ac:dyDescent="0.2">
      <c r="D123" s="5" t="s">
        <v>1097</v>
      </c>
      <c r="H123" s="71">
        <f>SUM(H121:H122)-1</f>
        <v>-0.55000000000000004</v>
      </c>
      <c r="I123" s="71">
        <f t="shared" ref="I123:M123" si="37">SUM(I121:I122)-1</f>
        <v>0.14999999999999991</v>
      </c>
      <c r="J123" s="71">
        <f t="shared" si="37"/>
        <v>0.14999999999999991</v>
      </c>
      <c r="K123" s="71">
        <f t="shared" si="37"/>
        <v>0.14999999999999991</v>
      </c>
      <c r="L123" s="71">
        <f t="shared" ref="L123" si="38">SUM(L121:L122)-1</f>
        <v>0.14999999999999991</v>
      </c>
      <c r="M123" s="71">
        <f t="shared" si="37"/>
        <v>-0.55000000000000004</v>
      </c>
      <c r="V123" s="71">
        <f t="shared" si="28"/>
        <v>0</v>
      </c>
    </row>
    <row r="124" spans="1:22" x14ac:dyDescent="0.2">
      <c r="V124" s="5">
        <f t="shared" si="28"/>
        <v>0</v>
      </c>
    </row>
    <row r="125" spans="1:22" ht="15" x14ac:dyDescent="0.25">
      <c r="D125" s="253" t="s">
        <v>1674</v>
      </c>
      <c r="H125" s="24" t="s">
        <v>1089</v>
      </c>
      <c r="V125" s="5" t="e">
        <f t="shared" si="28"/>
        <v>#VALUE!</v>
      </c>
    </row>
    <row r="126" spans="1:22" x14ac:dyDescent="0.2">
      <c r="D126" s="713" t="s">
        <v>41</v>
      </c>
      <c r="H126" s="120">
        <v>10</v>
      </c>
      <c r="I126" s="120">
        <v>10</v>
      </c>
      <c r="J126" s="120">
        <v>10</v>
      </c>
      <c r="K126" s="120">
        <v>10</v>
      </c>
      <c r="L126" s="120">
        <v>10</v>
      </c>
      <c r="M126" s="120">
        <f>H126</f>
        <v>10</v>
      </c>
      <c r="V126" s="120">
        <f t="shared" si="28"/>
        <v>0</v>
      </c>
    </row>
    <row r="127" spans="1:22" x14ac:dyDescent="0.2">
      <c r="D127" s="713" t="s">
        <v>43</v>
      </c>
      <c r="H127" s="120">
        <v>35</v>
      </c>
      <c r="I127" s="120">
        <v>35</v>
      </c>
      <c r="J127" s="120">
        <v>35</v>
      </c>
      <c r="K127" s="120">
        <v>35</v>
      </c>
      <c r="L127" s="120">
        <v>35</v>
      </c>
      <c r="M127" s="120">
        <f t="shared" ref="M127:M134" si="39">H127</f>
        <v>35</v>
      </c>
      <c r="V127" s="120">
        <f t="shared" si="28"/>
        <v>0</v>
      </c>
    </row>
    <row r="128" spans="1:22" x14ac:dyDescent="0.2">
      <c r="D128" s="713" t="s">
        <v>44</v>
      </c>
      <c r="H128" s="120">
        <v>15</v>
      </c>
      <c r="I128" s="120">
        <v>15</v>
      </c>
      <c r="J128" s="120">
        <v>15</v>
      </c>
      <c r="K128" s="120">
        <v>15</v>
      </c>
      <c r="L128" s="120">
        <v>15</v>
      </c>
      <c r="M128" s="120">
        <f t="shared" si="39"/>
        <v>15</v>
      </c>
      <c r="V128" s="120">
        <f t="shared" si="28"/>
        <v>0</v>
      </c>
    </row>
    <row r="129" spans="3:22" x14ac:dyDescent="0.2">
      <c r="D129" s="713" t="s">
        <v>45</v>
      </c>
      <c r="H129" s="120">
        <v>10</v>
      </c>
      <c r="I129" s="120">
        <v>10</v>
      </c>
      <c r="J129" s="120">
        <v>10</v>
      </c>
      <c r="K129" s="120">
        <v>10</v>
      </c>
      <c r="L129" s="120">
        <v>10</v>
      </c>
      <c r="M129" s="120">
        <f t="shared" si="39"/>
        <v>10</v>
      </c>
      <c r="V129" s="120">
        <f t="shared" si="28"/>
        <v>0</v>
      </c>
    </row>
    <row r="130" spans="3:22" x14ac:dyDescent="0.2">
      <c r="D130" s="713" t="s">
        <v>811</v>
      </c>
      <c r="H130" s="120">
        <v>3</v>
      </c>
      <c r="I130" s="120">
        <v>3</v>
      </c>
      <c r="J130" s="120">
        <v>3</v>
      </c>
      <c r="K130" s="120">
        <v>3</v>
      </c>
      <c r="L130" s="120">
        <v>3</v>
      </c>
      <c r="M130" s="120">
        <f t="shared" si="39"/>
        <v>3</v>
      </c>
      <c r="V130" s="120">
        <f t="shared" si="28"/>
        <v>0</v>
      </c>
    </row>
    <row r="131" spans="3:22" x14ac:dyDescent="0.2">
      <c r="D131" s="713" t="s">
        <v>812</v>
      </c>
      <c r="H131" s="120">
        <v>3</v>
      </c>
      <c r="I131" s="120">
        <v>3</v>
      </c>
      <c r="J131" s="120">
        <v>3</v>
      </c>
      <c r="K131" s="120">
        <v>3</v>
      </c>
      <c r="L131" s="120">
        <v>3</v>
      </c>
      <c r="M131" s="120">
        <f t="shared" si="39"/>
        <v>3</v>
      </c>
      <c r="V131" s="120">
        <f t="shared" si="28"/>
        <v>0</v>
      </c>
    </row>
    <row r="132" spans="3:22" x14ac:dyDescent="0.2">
      <c r="D132" s="713" t="s">
        <v>813</v>
      </c>
      <c r="H132" s="120">
        <v>3</v>
      </c>
      <c r="I132" s="120">
        <v>3</v>
      </c>
      <c r="J132" s="120">
        <v>3</v>
      </c>
      <c r="K132" s="120">
        <v>3</v>
      </c>
      <c r="L132" s="120">
        <v>3</v>
      </c>
      <c r="M132" s="120">
        <f t="shared" si="39"/>
        <v>3</v>
      </c>
      <c r="V132" s="120">
        <f t="shared" si="28"/>
        <v>0</v>
      </c>
    </row>
    <row r="133" spans="3:22" x14ac:dyDescent="0.2">
      <c r="D133" s="713" t="s">
        <v>814</v>
      </c>
      <c r="H133" s="120">
        <v>3</v>
      </c>
      <c r="I133" s="120">
        <v>3</v>
      </c>
      <c r="J133" s="120">
        <v>3</v>
      </c>
      <c r="K133" s="120">
        <v>3</v>
      </c>
      <c r="L133" s="120">
        <v>3</v>
      </c>
      <c r="M133" s="120">
        <f t="shared" si="39"/>
        <v>3</v>
      </c>
      <c r="V133" s="120">
        <f t="shared" si="28"/>
        <v>0</v>
      </c>
    </row>
    <row r="134" spans="3:22" x14ac:dyDescent="0.2">
      <c r="D134" s="713" t="s">
        <v>1018</v>
      </c>
      <c r="H134" s="120">
        <v>3</v>
      </c>
      <c r="I134" s="120">
        <v>3</v>
      </c>
      <c r="J134" s="120">
        <v>3</v>
      </c>
      <c r="K134" s="120">
        <v>3</v>
      </c>
      <c r="L134" s="120">
        <v>3</v>
      </c>
      <c r="M134" s="120">
        <f t="shared" si="39"/>
        <v>3</v>
      </c>
      <c r="V134" s="120">
        <f t="shared" si="28"/>
        <v>0</v>
      </c>
    </row>
    <row r="135" spans="3:22" x14ac:dyDescent="0.2">
      <c r="D135" s="5" t="s">
        <v>839</v>
      </c>
      <c r="H135" s="191">
        <f t="shared" ref="H135:L135" si="40">H447/Minutes_per_Year</f>
        <v>760.21463960252856</v>
      </c>
      <c r="I135" s="191">
        <f t="shared" si="40"/>
        <v>760.21463960252856</v>
      </c>
      <c r="J135" s="191">
        <f t="shared" si="40"/>
        <v>760.21463960252856</v>
      </c>
      <c r="K135" s="191">
        <f t="shared" si="40"/>
        <v>394.18502202496535</v>
      </c>
      <c r="L135" s="191">
        <f t="shared" si="40"/>
        <v>697.92434824105703</v>
      </c>
      <c r="M135" s="191">
        <f>M447/Minutes_per_Year</f>
        <v>760.21463960252856</v>
      </c>
      <c r="V135" s="251">
        <f t="shared" si="28"/>
        <v>0</v>
      </c>
    </row>
    <row r="136" spans="3:22" x14ac:dyDescent="0.2">
      <c r="D136" s="5" t="s">
        <v>858</v>
      </c>
      <c r="H136" s="120">
        <v>15</v>
      </c>
      <c r="I136" s="120">
        <v>15</v>
      </c>
      <c r="J136" s="120">
        <v>15</v>
      </c>
      <c r="K136" s="120">
        <v>15</v>
      </c>
      <c r="L136" s="120">
        <v>15</v>
      </c>
      <c r="M136" s="120">
        <f>H136</f>
        <v>15</v>
      </c>
      <c r="V136" s="120">
        <f t="shared" si="28"/>
        <v>0</v>
      </c>
    </row>
    <row r="137" spans="3:22" x14ac:dyDescent="0.2">
      <c r="D137" s="5" t="s">
        <v>857</v>
      </c>
      <c r="H137" s="191">
        <f>H135/H136</f>
        <v>50.680975973501901</v>
      </c>
      <c r="I137" s="191">
        <f t="shared" ref="I137:K137" si="41">I135/I136</f>
        <v>50.680975973501901</v>
      </c>
      <c r="J137" s="191">
        <f t="shared" si="41"/>
        <v>50.680975973501901</v>
      </c>
      <c r="K137" s="191">
        <f t="shared" si="41"/>
        <v>26.279001468331025</v>
      </c>
      <c r="L137" s="191">
        <f t="shared" ref="L137" si="42">L135/L136</f>
        <v>46.528289882737134</v>
      </c>
      <c r="M137" s="191">
        <f>M135/M136</f>
        <v>50.680975973501901</v>
      </c>
      <c r="V137" s="251">
        <f t="shared" si="28"/>
        <v>0</v>
      </c>
    </row>
    <row r="138" spans="3:22" x14ac:dyDescent="0.2">
      <c r="D138" s="5" t="s">
        <v>1741</v>
      </c>
      <c r="H138" s="69">
        <v>0.35</v>
      </c>
      <c r="I138" s="69">
        <v>0.35</v>
      </c>
      <c r="J138" s="69">
        <v>0.35</v>
      </c>
      <c r="K138" s="69">
        <v>0.35</v>
      </c>
      <c r="L138" s="69">
        <v>0.35</v>
      </c>
      <c r="M138" s="578">
        <f>H138</f>
        <v>0.35</v>
      </c>
      <c r="V138" s="983"/>
    </row>
    <row r="139" spans="3:22" x14ac:dyDescent="0.2">
      <c r="D139" s="4" t="s">
        <v>1235</v>
      </c>
      <c r="V139" s="5">
        <f t="shared" si="28"/>
        <v>0</v>
      </c>
    </row>
    <row r="140" spans="3:22" x14ac:dyDescent="0.2">
      <c r="D140" s="6" t="s">
        <v>1236</v>
      </c>
      <c r="H140" s="120">
        <v>30</v>
      </c>
      <c r="I140" s="120">
        <v>30</v>
      </c>
      <c r="J140" s="120">
        <v>30</v>
      </c>
      <c r="K140" s="120">
        <v>30</v>
      </c>
      <c r="L140" s="120">
        <v>30</v>
      </c>
      <c r="M140" s="120">
        <f>H140</f>
        <v>30</v>
      </c>
      <c r="V140" s="120">
        <f t="shared" si="28"/>
        <v>0</v>
      </c>
    </row>
    <row r="141" spans="3:22" x14ac:dyDescent="0.2">
      <c r="V141" s="5">
        <f t="shared" si="28"/>
        <v>0</v>
      </c>
    </row>
    <row r="142" spans="3:22" x14ac:dyDescent="0.2">
      <c r="V142" s="5">
        <f t="shared" si="28"/>
        <v>0</v>
      </c>
    </row>
    <row r="143" spans="3:22" x14ac:dyDescent="0.2">
      <c r="C143" s="198" t="s">
        <v>417</v>
      </c>
    </row>
    <row r="144" spans="3:22" x14ac:dyDescent="0.2">
      <c r="D144" s="5" t="s">
        <v>1385</v>
      </c>
      <c r="H144" s="69">
        <v>0.8</v>
      </c>
      <c r="I144" s="69">
        <v>0.8</v>
      </c>
      <c r="J144" s="69">
        <v>0.8</v>
      </c>
      <c r="K144" s="69">
        <v>0.8</v>
      </c>
      <c r="L144" s="69">
        <v>0.8</v>
      </c>
      <c r="M144" s="69">
        <f>H144</f>
        <v>0.8</v>
      </c>
      <c r="V144" s="5" t="e">
        <f>H145-M144</f>
        <v>#VALUE!</v>
      </c>
    </row>
    <row r="145" spans="2:22" x14ac:dyDescent="0.2">
      <c r="C145" s="198"/>
      <c r="G145" s="68" t="s">
        <v>415</v>
      </c>
      <c r="H145" s="24" t="s">
        <v>1386</v>
      </c>
    </row>
    <row r="146" spans="2:22" x14ac:dyDescent="0.2">
      <c r="D146" s="65" t="s">
        <v>48</v>
      </c>
      <c r="G146" s="120">
        <v>1</v>
      </c>
      <c r="H146" s="240">
        <v>0.05</v>
      </c>
      <c r="I146" s="70">
        <v>0.05</v>
      </c>
      <c r="J146" s="69">
        <v>0.05</v>
      </c>
      <c r="K146" s="69">
        <v>0.05</v>
      </c>
      <c r="L146" s="69">
        <v>0.05</v>
      </c>
      <c r="M146" s="69">
        <f>H146</f>
        <v>0.05</v>
      </c>
      <c r="V146" s="69">
        <f t="shared" ref="V146:V213" si="43">H146-M146</f>
        <v>0</v>
      </c>
    </row>
    <row r="147" spans="2:22" x14ac:dyDescent="0.2">
      <c r="D147" s="65" t="s">
        <v>1128</v>
      </c>
      <c r="G147" s="120">
        <v>1</v>
      </c>
      <c r="H147" s="240">
        <v>0.03</v>
      </c>
      <c r="I147" s="70">
        <v>0.03</v>
      </c>
      <c r="J147" s="69">
        <v>0.03</v>
      </c>
      <c r="K147" s="69">
        <v>0.03</v>
      </c>
      <c r="L147" s="69">
        <v>0.03</v>
      </c>
      <c r="M147" s="69">
        <f t="shared" ref="M147:M153" si="44">H147</f>
        <v>0.03</v>
      </c>
      <c r="V147" s="69">
        <f t="shared" si="43"/>
        <v>0</v>
      </c>
    </row>
    <row r="148" spans="2:22" x14ac:dyDescent="0.2">
      <c r="D148" s="65" t="s">
        <v>419</v>
      </c>
      <c r="G148" s="120">
        <v>1</v>
      </c>
      <c r="H148" s="240">
        <v>0.15</v>
      </c>
      <c r="I148" s="70">
        <v>0.15</v>
      </c>
      <c r="J148" s="69">
        <v>0.15</v>
      </c>
      <c r="K148" s="69">
        <v>0.15</v>
      </c>
      <c r="L148" s="69">
        <v>0.15</v>
      </c>
      <c r="M148" s="69">
        <f t="shared" si="44"/>
        <v>0.15</v>
      </c>
      <c r="V148" s="69">
        <f t="shared" si="43"/>
        <v>0</v>
      </c>
    </row>
    <row r="149" spans="2:22" x14ac:dyDescent="0.2">
      <c r="D149" s="65" t="s">
        <v>420</v>
      </c>
      <c r="G149" s="120">
        <v>1</v>
      </c>
      <c r="H149" s="240">
        <v>0.03</v>
      </c>
      <c r="I149" s="70">
        <v>0.03</v>
      </c>
      <c r="J149" s="69">
        <v>0.03</v>
      </c>
      <c r="K149" s="69">
        <v>0.03</v>
      </c>
      <c r="L149" s="69">
        <v>0.03</v>
      </c>
      <c r="M149" s="69">
        <f t="shared" si="44"/>
        <v>0.03</v>
      </c>
      <c r="V149" s="69">
        <f t="shared" si="43"/>
        <v>0</v>
      </c>
    </row>
    <row r="150" spans="2:22" x14ac:dyDescent="0.2">
      <c r="D150" s="65" t="s">
        <v>421</v>
      </c>
      <c r="G150" s="120">
        <v>1</v>
      </c>
      <c r="H150" s="240">
        <v>0.15</v>
      </c>
      <c r="I150" s="70">
        <v>0.15</v>
      </c>
      <c r="J150" s="69">
        <v>0.15</v>
      </c>
      <c r="K150" s="69">
        <v>0.15</v>
      </c>
      <c r="L150" s="69">
        <v>0.15</v>
      </c>
      <c r="M150" s="69">
        <f t="shared" si="44"/>
        <v>0.15</v>
      </c>
      <c r="V150" s="69">
        <f t="shared" si="43"/>
        <v>0</v>
      </c>
    </row>
    <row r="151" spans="2:22" x14ac:dyDescent="0.2">
      <c r="D151" s="65" t="s">
        <v>422</v>
      </c>
      <c r="G151" s="120">
        <v>1</v>
      </c>
      <c r="H151" s="240">
        <v>0.15</v>
      </c>
      <c r="I151" s="70">
        <v>0.15</v>
      </c>
      <c r="J151" s="69">
        <v>0.15</v>
      </c>
      <c r="K151" s="69">
        <v>0.15</v>
      </c>
      <c r="L151" s="69">
        <v>0.15</v>
      </c>
      <c r="M151" s="69">
        <f t="shared" si="44"/>
        <v>0.15</v>
      </c>
      <c r="V151" s="69">
        <f t="shared" si="43"/>
        <v>0</v>
      </c>
    </row>
    <row r="152" spans="2:22" x14ac:dyDescent="0.2">
      <c r="D152" s="65" t="s">
        <v>423</v>
      </c>
      <c r="G152" s="120">
        <v>1</v>
      </c>
      <c r="H152" s="240">
        <v>0.05</v>
      </c>
      <c r="I152" s="70">
        <v>0.05</v>
      </c>
      <c r="J152" s="69">
        <v>0.05</v>
      </c>
      <c r="K152" s="69">
        <v>0.05</v>
      </c>
      <c r="L152" s="69">
        <v>0.05</v>
      </c>
      <c r="M152" s="69">
        <f t="shared" si="44"/>
        <v>0.05</v>
      </c>
      <c r="V152" s="69">
        <f t="shared" si="43"/>
        <v>0</v>
      </c>
    </row>
    <row r="153" spans="2:22" x14ac:dyDescent="0.2">
      <c r="D153" s="65" t="s">
        <v>424</v>
      </c>
      <c r="G153" s="120">
        <v>3</v>
      </c>
      <c r="H153" s="240">
        <v>0.35</v>
      </c>
      <c r="I153" s="70">
        <v>0.35</v>
      </c>
      <c r="J153" s="69">
        <v>0.35</v>
      </c>
      <c r="K153" s="69">
        <v>0.35</v>
      </c>
      <c r="L153" s="69">
        <v>0.35</v>
      </c>
      <c r="M153" s="69">
        <f t="shared" si="44"/>
        <v>0.35</v>
      </c>
      <c r="V153" s="69">
        <f t="shared" si="43"/>
        <v>0</v>
      </c>
    </row>
    <row r="154" spans="2:22" x14ac:dyDescent="0.2">
      <c r="V154" s="5">
        <f t="shared" si="43"/>
        <v>0</v>
      </c>
    </row>
    <row r="155" spans="2:22" s="389" customFormat="1" ht="14.25" x14ac:dyDescent="0.2">
      <c r="B155" s="64"/>
      <c r="C155" s="394" t="s">
        <v>856</v>
      </c>
      <c r="V155" s="389">
        <f t="shared" si="43"/>
        <v>0</v>
      </c>
    </row>
    <row r="156" spans="2:22" x14ac:dyDescent="0.2">
      <c r="D156" s="67" t="s">
        <v>416</v>
      </c>
      <c r="V156" s="5">
        <f t="shared" si="43"/>
        <v>0</v>
      </c>
    </row>
    <row r="157" spans="2:22" x14ac:dyDescent="0.2">
      <c r="D157" s="65" t="s">
        <v>840</v>
      </c>
      <c r="H157" s="69">
        <v>0.85</v>
      </c>
      <c r="I157" s="69">
        <v>0.85</v>
      </c>
      <c r="J157" s="69">
        <v>0.85</v>
      </c>
      <c r="K157" s="69">
        <v>0.25</v>
      </c>
      <c r="L157" s="69">
        <v>0.9</v>
      </c>
      <c r="M157" s="69">
        <f>'Budget Choices'!E26/100</f>
        <v>0.85</v>
      </c>
      <c r="V157" s="69">
        <f t="shared" si="43"/>
        <v>0</v>
      </c>
    </row>
    <row r="158" spans="2:22" x14ac:dyDescent="0.2">
      <c r="D158" s="65" t="s">
        <v>413</v>
      </c>
      <c r="V158" s="69"/>
    </row>
    <row r="159" spans="2:22" x14ac:dyDescent="0.2">
      <c r="D159" s="66" t="s">
        <v>1755</v>
      </c>
      <c r="H159" s="120">
        <v>3</v>
      </c>
      <c r="I159" s="120">
        <v>3</v>
      </c>
      <c r="J159" s="120">
        <v>3</v>
      </c>
      <c r="K159" s="120">
        <v>2</v>
      </c>
      <c r="L159" s="120">
        <v>3</v>
      </c>
      <c r="M159" s="120">
        <f>H159</f>
        <v>3</v>
      </c>
      <c r="V159" s="120">
        <f t="shared" si="43"/>
        <v>0</v>
      </c>
    </row>
    <row r="160" spans="2:22" x14ac:dyDescent="0.2">
      <c r="D160" s="66" t="s">
        <v>1686</v>
      </c>
      <c r="H160" s="120">
        <v>5</v>
      </c>
      <c r="I160" s="120">
        <v>5</v>
      </c>
      <c r="J160" s="120">
        <v>5</v>
      </c>
      <c r="K160" s="120">
        <v>20</v>
      </c>
      <c r="L160" s="120">
        <v>5</v>
      </c>
      <c r="M160" s="120">
        <f>H160</f>
        <v>5</v>
      </c>
      <c r="V160" s="120"/>
    </row>
    <row r="161" spans="2:22" x14ac:dyDescent="0.2">
      <c r="D161" s="66" t="s">
        <v>1679</v>
      </c>
      <c r="H161" s="191">
        <f>H159*H26*H157</f>
        <v>10906.35</v>
      </c>
      <c r="I161" s="191">
        <f t="shared" ref="I161:M161" si="45">I159*I26*I157</f>
        <v>10906.35</v>
      </c>
      <c r="J161" s="191">
        <f t="shared" si="45"/>
        <v>10906.35</v>
      </c>
      <c r="K161" s="191">
        <f t="shared" si="45"/>
        <v>2138.5</v>
      </c>
      <c r="L161" s="191">
        <f t="shared" si="45"/>
        <v>11547.9</v>
      </c>
      <c r="M161" s="191">
        <f t="shared" si="45"/>
        <v>10906.35</v>
      </c>
      <c r="V161" s="191">
        <f t="shared" si="43"/>
        <v>0</v>
      </c>
    </row>
    <row r="162" spans="2:22" x14ac:dyDescent="0.2">
      <c r="D162" s="66" t="s">
        <v>1675</v>
      </c>
      <c r="H162" s="191">
        <f>(H157*H26)/H160</f>
        <v>727.08999999999992</v>
      </c>
      <c r="I162" s="191">
        <f t="shared" ref="I162:M162" si="46">(I157*I26)/I160</f>
        <v>727.08999999999992</v>
      </c>
      <c r="J162" s="191">
        <f t="shared" si="46"/>
        <v>727.08999999999992</v>
      </c>
      <c r="K162" s="191">
        <f t="shared" si="46"/>
        <v>53.462499999999999</v>
      </c>
      <c r="L162" s="191">
        <f t="shared" si="46"/>
        <v>769.86</v>
      </c>
      <c r="M162" s="191">
        <f t="shared" si="46"/>
        <v>727.08999999999992</v>
      </c>
      <c r="V162" s="399"/>
    </row>
    <row r="163" spans="2:22" x14ac:dyDescent="0.2">
      <c r="D163" s="66" t="s">
        <v>1685</v>
      </c>
      <c r="H163" s="69">
        <v>0.35</v>
      </c>
      <c r="I163" s="69">
        <v>0.35</v>
      </c>
      <c r="J163" s="69">
        <v>0.35</v>
      </c>
      <c r="K163" s="69">
        <v>0.35</v>
      </c>
      <c r="L163" s="69">
        <v>0.35</v>
      </c>
      <c r="M163" s="69">
        <f>H163</f>
        <v>0.35</v>
      </c>
      <c r="V163" s="5">
        <f t="shared" si="43"/>
        <v>0</v>
      </c>
    </row>
    <row r="164" spans="2:22" x14ac:dyDescent="0.2">
      <c r="D164" s="66" t="s">
        <v>1094</v>
      </c>
      <c r="H164" s="120">
        <v>0</v>
      </c>
      <c r="I164" s="120">
        <v>0</v>
      </c>
      <c r="J164" s="120">
        <v>0</v>
      </c>
      <c r="K164" s="120">
        <v>0</v>
      </c>
      <c r="L164" s="120">
        <v>0</v>
      </c>
      <c r="M164" s="120">
        <f>H164</f>
        <v>0</v>
      </c>
      <c r="V164" s="120">
        <f t="shared" si="43"/>
        <v>0</v>
      </c>
    </row>
    <row r="165" spans="2:22" x14ac:dyDescent="0.2">
      <c r="D165" s="89" t="s">
        <v>1676</v>
      </c>
      <c r="V165" s="120"/>
    </row>
    <row r="166" spans="2:22" x14ac:dyDescent="0.2">
      <c r="D166" s="65" t="s">
        <v>31</v>
      </c>
      <c r="H166" s="120">
        <v>1</v>
      </c>
      <c r="I166" s="120">
        <v>1</v>
      </c>
      <c r="J166" s="120">
        <v>1</v>
      </c>
      <c r="K166" s="120">
        <v>1</v>
      </c>
      <c r="L166" s="120">
        <v>1</v>
      </c>
      <c r="M166" s="120">
        <f>H166</f>
        <v>1</v>
      </c>
      <c r="V166" s="120">
        <f t="shared" si="43"/>
        <v>0</v>
      </c>
    </row>
    <row r="167" spans="2:22" x14ac:dyDescent="0.2">
      <c r="D167" s="65" t="s">
        <v>838</v>
      </c>
      <c r="H167" s="191">
        <f>H166*PDSD!H33</f>
        <v>44167.032459417424</v>
      </c>
      <c r="I167" s="191">
        <f>I166*PDSD!I33</f>
        <v>44167.032459417424</v>
      </c>
      <c r="J167" s="191">
        <f>J166*PDSD!J33</f>
        <v>44167.032459417424</v>
      </c>
      <c r="K167" s="191">
        <f>K166*PDSD!K33</f>
        <v>18547.057135584811</v>
      </c>
      <c r="L167" s="443">
        <f>L166*PDSD!M33</f>
        <v>37345.858203799558</v>
      </c>
      <c r="M167" s="443">
        <f>M166*PDSD!M33</f>
        <v>37345.858203799558</v>
      </c>
      <c r="V167" s="191">
        <f t="shared" si="43"/>
        <v>6821.1742556178651</v>
      </c>
    </row>
    <row r="168" spans="2:22" x14ac:dyDescent="0.2">
      <c r="D168" s="65" t="s">
        <v>842</v>
      </c>
      <c r="H168" s="120">
        <v>30</v>
      </c>
      <c r="I168" s="120">
        <v>30</v>
      </c>
      <c r="J168" s="120">
        <v>30</v>
      </c>
      <c r="K168" s="120">
        <v>30</v>
      </c>
      <c r="L168" s="120">
        <v>30</v>
      </c>
      <c r="M168" s="120">
        <f>H168</f>
        <v>30</v>
      </c>
      <c r="V168" s="120">
        <f t="shared" si="43"/>
        <v>0</v>
      </c>
    </row>
    <row r="169" spans="2:22" x14ac:dyDescent="0.2">
      <c r="D169" s="65" t="s">
        <v>1677</v>
      </c>
      <c r="H169" s="120">
        <v>15</v>
      </c>
      <c r="I169" s="120">
        <v>15</v>
      </c>
      <c r="J169" s="120">
        <v>15</v>
      </c>
      <c r="K169" s="120">
        <v>15</v>
      </c>
      <c r="L169" s="120">
        <v>15</v>
      </c>
      <c r="M169" s="120">
        <f>H169</f>
        <v>15</v>
      </c>
      <c r="V169" s="120"/>
    </row>
    <row r="170" spans="2:22" x14ac:dyDescent="0.2">
      <c r="D170" s="65" t="s">
        <v>841</v>
      </c>
      <c r="H170" s="251">
        <f>H168*H167/GenAssumptions!$E$47</f>
        <v>14.265837357692964</v>
      </c>
      <c r="I170" s="191">
        <f>I168*I167/GenAssumptions!$E$47</f>
        <v>14.265837357692964</v>
      </c>
      <c r="J170" s="191">
        <f>J168*J167/GenAssumptions!$E$47</f>
        <v>14.265837357692964</v>
      </c>
      <c r="K170" s="191">
        <f>K168*K167/GenAssumptions!$E$47</f>
        <v>5.9906515295816574</v>
      </c>
      <c r="L170" s="191">
        <f>L168*L167/GenAssumptions!$E$47</f>
        <v>12.062615698901666</v>
      </c>
      <c r="M170" s="191">
        <f>M168*M167/GenAssumptions!$E$47</f>
        <v>12.062615698901666</v>
      </c>
      <c r="V170" s="191">
        <f t="shared" si="43"/>
        <v>2.2032216587912981</v>
      </c>
    </row>
    <row r="171" spans="2:22" x14ac:dyDescent="0.2">
      <c r="D171" s="65" t="s">
        <v>1090</v>
      </c>
      <c r="H171" s="69">
        <v>0.1</v>
      </c>
      <c r="I171" s="69">
        <v>0.1</v>
      </c>
      <c r="J171" s="69">
        <v>0.1</v>
      </c>
      <c r="K171" s="69">
        <v>0.1</v>
      </c>
      <c r="L171" s="69">
        <v>0.1</v>
      </c>
      <c r="M171" s="69">
        <f>H171</f>
        <v>0.1</v>
      </c>
      <c r="V171" s="69">
        <f t="shared" si="43"/>
        <v>0</v>
      </c>
    </row>
    <row r="172" spans="2:22" x14ac:dyDescent="0.2">
      <c r="D172" s="65" t="s">
        <v>1678</v>
      </c>
      <c r="H172" s="443">
        <f t="shared" ref="H172:M172" si="47">(1+H171)*H170</f>
        <v>15.692421093462261</v>
      </c>
      <c r="I172" s="443">
        <f t="shared" si="47"/>
        <v>15.692421093462261</v>
      </c>
      <c r="J172" s="443">
        <f t="shared" si="47"/>
        <v>15.692421093462261</v>
      </c>
      <c r="K172" s="443">
        <f t="shared" si="47"/>
        <v>6.5897166825398239</v>
      </c>
      <c r="L172" s="443">
        <f t="shared" si="47"/>
        <v>13.268877268791835</v>
      </c>
      <c r="M172" s="443">
        <f t="shared" si="47"/>
        <v>13.268877268791835</v>
      </c>
      <c r="V172" s="443">
        <f t="shared" si="43"/>
        <v>2.4235438246704266</v>
      </c>
    </row>
    <row r="173" spans="2:22" x14ac:dyDescent="0.2">
      <c r="V173" s="5">
        <f t="shared" si="43"/>
        <v>0</v>
      </c>
    </row>
    <row r="174" spans="2:22" s="392" customFormat="1" ht="14.25" x14ac:dyDescent="0.2">
      <c r="C174" s="393" t="s">
        <v>541</v>
      </c>
      <c r="V174" s="392">
        <f t="shared" si="43"/>
        <v>0</v>
      </c>
    </row>
    <row r="175" spans="2:22" x14ac:dyDescent="0.2">
      <c r="B175" s="5"/>
      <c r="D175" s="76" t="s">
        <v>425</v>
      </c>
      <c r="E175" s="25"/>
      <c r="V175" s="5">
        <f t="shared" si="43"/>
        <v>0</v>
      </c>
    </row>
    <row r="176" spans="2:22" x14ac:dyDescent="0.2">
      <c r="B176" s="5"/>
      <c r="D176" s="272" t="s">
        <v>1687</v>
      </c>
      <c r="E176" s="25"/>
      <c r="H176" s="166" t="s">
        <v>720</v>
      </c>
      <c r="I176" s="166" t="s">
        <v>720</v>
      </c>
      <c r="J176" s="166" t="s">
        <v>720</v>
      </c>
      <c r="K176" s="166" t="s">
        <v>720</v>
      </c>
      <c r="L176" s="166" t="s">
        <v>720</v>
      </c>
      <c r="M176" s="166" t="str">
        <f>H176</f>
        <v>Yes</v>
      </c>
    </row>
    <row r="177" spans="2:22" s="79" customFormat="1" x14ac:dyDescent="0.2">
      <c r="D177" s="355"/>
      <c r="E177" s="328"/>
      <c r="S177" s="359"/>
      <c r="V177" s="79">
        <f t="shared" si="43"/>
        <v>0</v>
      </c>
    </row>
    <row r="178" spans="2:22" s="79" customFormat="1" x14ac:dyDescent="0.2">
      <c r="D178" s="272" t="s">
        <v>990</v>
      </c>
      <c r="G178" s="166" t="s">
        <v>720</v>
      </c>
      <c r="H178" s="258">
        <f>'Prev Treat'!J8*PDOH!H314*IF($G$178="Yes",1,0)</f>
        <v>10800709.522368424</v>
      </c>
      <c r="I178" s="258">
        <f>'Prev Treat'!K8*PDOH!I314*IF($G$178="Yes",1,0)</f>
        <v>11772773.379381584</v>
      </c>
      <c r="J178" s="258">
        <f>'Prev Treat'!L8*PDOH!J314*IF($G$178="Yes",1,0)</f>
        <v>12832322.983525928</v>
      </c>
      <c r="K178" s="258">
        <f>'Prev Treat'!M8*PDOH!K314*IF($G$178="Yes",1,0)</f>
        <v>5596844.6589462617</v>
      </c>
      <c r="L178" s="258">
        <f>'Prev Treat'!O8*PDOH!L314*IF($G$178="Yes",1,0)</f>
        <v>9913519.6830669362</v>
      </c>
      <c r="M178" s="258">
        <f>'Prev Treat'!O8*PDOH!M314*IF($G$178="Yes",1,0)</f>
        <v>10800709.522368424</v>
      </c>
      <c r="P178" s="79" t="s">
        <v>1274</v>
      </c>
      <c r="R178" s="356"/>
      <c r="S178" s="359"/>
      <c r="V178" s="258">
        <f t="shared" si="43"/>
        <v>0</v>
      </c>
    </row>
    <row r="179" spans="2:22" s="79" customFormat="1" x14ac:dyDescent="0.2">
      <c r="D179" s="221"/>
      <c r="E179" s="221"/>
      <c r="F179" s="221"/>
      <c r="G179" s="221"/>
      <c r="H179" s="221"/>
      <c r="I179" s="221"/>
      <c r="J179" s="221"/>
      <c r="K179" s="221"/>
      <c r="L179" s="221"/>
      <c r="M179" s="221"/>
      <c r="R179" s="356"/>
      <c r="S179" s="359"/>
      <c r="V179" s="221">
        <f t="shared" si="43"/>
        <v>0</v>
      </c>
    </row>
    <row r="180" spans="2:22" s="79" customFormat="1" x14ac:dyDescent="0.2">
      <c r="D180" s="458" t="s">
        <v>1207</v>
      </c>
      <c r="E180" s="221"/>
      <c r="F180" s="221"/>
      <c r="G180" s="166" t="s">
        <v>721</v>
      </c>
      <c r="H180" s="258">
        <f>IF($G$180="Yes",1,0)*'Prev Treat'!J32*PDOH!H28*PDOH!H181</f>
        <v>0</v>
      </c>
      <c r="I180" s="258">
        <f>IF($G$180="Yes",1,0)*'Prev Treat'!K32*PDOH!I28*PDOH!I181</f>
        <v>0</v>
      </c>
      <c r="J180" s="258">
        <f>IF($G$180="Yes",1,0)*'Prev Treat'!L32*PDOH!J28*PDOH!J181</f>
        <v>0</v>
      </c>
      <c r="K180" s="258">
        <f>IF($G$180="Yes",1,0)*'Prev Treat'!M32*PDOH!K28*PDOH!K181</f>
        <v>0</v>
      </c>
      <c r="L180" s="258">
        <f>IF($G$180="Yes",1,0)*'Prev Treat'!O32*PDOH!L28*PDOH!L181</f>
        <v>0</v>
      </c>
      <c r="M180" s="258">
        <f>IF($G$180="Yes",1,0)*'Prev Treat'!O32*PDOH!M28*PDOH!M181</f>
        <v>0</v>
      </c>
      <c r="P180" s="79" t="s">
        <v>864</v>
      </c>
      <c r="R180" s="356" t="s">
        <v>986</v>
      </c>
      <c r="S180" s="359" t="str">
        <f t="shared" ref="S180" si="48">CONCATENATE(P180,R180)</f>
        <v>MSPI</v>
      </c>
      <c r="V180" s="258">
        <f t="shared" si="43"/>
        <v>0</v>
      </c>
    </row>
    <row r="181" spans="2:22" s="79" customFormat="1" x14ac:dyDescent="0.2">
      <c r="D181" s="546" t="s">
        <v>1210</v>
      </c>
      <c r="F181" s="221"/>
      <c r="H181" s="69">
        <v>0.4</v>
      </c>
      <c r="I181" s="69">
        <v>0.4</v>
      </c>
      <c r="J181" s="69">
        <v>0.4</v>
      </c>
      <c r="K181" s="69">
        <v>0.4</v>
      </c>
      <c r="L181" s="69">
        <v>0.4</v>
      </c>
      <c r="M181" s="69">
        <f>H181</f>
        <v>0.4</v>
      </c>
      <c r="R181" s="356"/>
      <c r="S181" s="359"/>
      <c r="V181" s="69">
        <f t="shared" si="43"/>
        <v>0</v>
      </c>
    </row>
    <row r="182" spans="2:22" s="79" customFormat="1" x14ac:dyDescent="0.2">
      <c r="D182" s="221"/>
      <c r="E182" s="328"/>
      <c r="G182" s="352"/>
      <c r="H182" s="352"/>
      <c r="I182" s="352"/>
      <c r="J182" s="352"/>
      <c r="K182" s="352"/>
      <c r="L182" s="352"/>
      <c r="M182" s="352"/>
      <c r="S182" s="359"/>
      <c r="V182" s="352">
        <f t="shared" si="43"/>
        <v>0</v>
      </c>
    </row>
    <row r="183" spans="2:22" x14ac:dyDescent="0.2">
      <c r="B183" s="5"/>
      <c r="D183" s="76" t="s">
        <v>496</v>
      </c>
      <c r="E183" s="25"/>
      <c r="G183" s="96"/>
      <c r="V183" s="5">
        <f t="shared" si="43"/>
        <v>0</v>
      </c>
    </row>
    <row r="184" spans="2:22" x14ac:dyDescent="0.2">
      <c r="B184" s="5"/>
      <c r="D184" s="27" t="s">
        <v>46</v>
      </c>
      <c r="H184" s="24" t="s">
        <v>433</v>
      </c>
      <c r="V184" s="5" t="e">
        <f t="shared" si="43"/>
        <v>#VALUE!</v>
      </c>
    </row>
    <row r="185" spans="2:22" x14ac:dyDescent="0.2">
      <c r="B185" s="5"/>
      <c r="D185" s="72" t="s">
        <v>41</v>
      </c>
      <c r="E185" s="25"/>
      <c r="G185" s="25"/>
      <c r="H185" s="166" t="s">
        <v>721</v>
      </c>
      <c r="I185" s="166" t="s">
        <v>721</v>
      </c>
      <c r="J185" s="166" t="s">
        <v>721</v>
      </c>
      <c r="K185" s="166" t="s">
        <v>721</v>
      </c>
      <c r="L185" s="166" t="s">
        <v>721</v>
      </c>
      <c r="M185" s="166" t="str">
        <f>H185</f>
        <v>No</v>
      </c>
      <c r="V185" s="166" t="e">
        <f t="shared" si="43"/>
        <v>#VALUE!</v>
      </c>
    </row>
    <row r="186" spans="2:22" x14ac:dyDescent="0.2">
      <c r="B186" s="5"/>
      <c r="D186" s="72" t="s">
        <v>42</v>
      </c>
      <c r="E186" s="25"/>
      <c r="G186" s="25"/>
      <c r="H186" s="166" t="s">
        <v>721</v>
      </c>
      <c r="I186" s="166" t="s">
        <v>721</v>
      </c>
      <c r="J186" s="166" t="s">
        <v>721</v>
      </c>
      <c r="K186" s="166" t="s">
        <v>721</v>
      </c>
      <c r="L186" s="166" t="s">
        <v>721</v>
      </c>
      <c r="M186" s="166" t="str">
        <f t="shared" ref="M186:M194" si="49">H186</f>
        <v>No</v>
      </c>
      <c r="V186" s="166" t="e">
        <f t="shared" si="43"/>
        <v>#VALUE!</v>
      </c>
    </row>
    <row r="187" spans="2:22" x14ac:dyDescent="0.2">
      <c r="B187" s="5"/>
      <c r="D187" s="72" t="s">
        <v>43</v>
      </c>
      <c r="E187" s="25"/>
      <c r="G187" s="25"/>
      <c r="H187" s="166" t="s">
        <v>720</v>
      </c>
      <c r="I187" s="166" t="s">
        <v>720</v>
      </c>
      <c r="J187" s="166" t="s">
        <v>720</v>
      </c>
      <c r="K187" s="166" t="s">
        <v>720</v>
      </c>
      <c r="L187" s="166" t="s">
        <v>720</v>
      </c>
      <c r="M187" s="166" t="str">
        <f t="shared" si="49"/>
        <v>Yes</v>
      </c>
      <c r="V187" s="166" t="e">
        <f t="shared" si="43"/>
        <v>#VALUE!</v>
      </c>
    </row>
    <row r="188" spans="2:22" x14ac:dyDescent="0.2">
      <c r="B188" s="5"/>
      <c r="D188" s="72" t="s">
        <v>44</v>
      </c>
      <c r="E188" s="25"/>
      <c r="G188" s="25"/>
      <c r="H188" s="166" t="s">
        <v>720</v>
      </c>
      <c r="I188" s="166" t="s">
        <v>720</v>
      </c>
      <c r="J188" s="166" t="s">
        <v>720</v>
      </c>
      <c r="K188" s="166" t="s">
        <v>720</v>
      </c>
      <c r="L188" s="166" t="s">
        <v>720</v>
      </c>
      <c r="M188" s="166" t="str">
        <f t="shared" si="49"/>
        <v>Yes</v>
      </c>
      <c r="V188" s="166" t="e">
        <f t="shared" si="43"/>
        <v>#VALUE!</v>
      </c>
    </row>
    <row r="189" spans="2:22" x14ac:dyDescent="0.2">
      <c r="B189" s="5"/>
      <c r="D189" s="72" t="s">
        <v>45</v>
      </c>
      <c r="G189" s="25"/>
      <c r="H189" s="166" t="s">
        <v>720</v>
      </c>
      <c r="I189" s="166" t="s">
        <v>720</v>
      </c>
      <c r="J189" s="166" t="s">
        <v>720</v>
      </c>
      <c r="K189" s="166" t="s">
        <v>720</v>
      </c>
      <c r="L189" s="166" t="s">
        <v>720</v>
      </c>
      <c r="M189" s="166" t="str">
        <f t="shared" si="49"/>
        <v>Yes</v>
      </c>
      <c r="V189" s="166" t="e">
        <f t="shared" si="43"/>
        <v>#VALUE!</v>
      </c>
    </row>
    <row r="190" spans="2:22" x14ac:dyDescent="0.2">
      <c r="B190" s="5"/>
      <c r="D190" s="221" t="s">
        <v>1021</v>
      </c>
      <c r="G190" s="25"/>
      <c r="H190" s="166" t="s">
        <v>720</v>
      </c>
      <c r="I190" s="166" t="s">
        <v>720</v>
      </c>
      <c r="J190" s="166" t="s">
        <v>720</v>
      </c>
      <c r="K190" s="166" t="s">
        <v>720</v>
      </c>
      <c r="L190" s="166" t="s">
        <v>720</v>
      </c>
      <c r="M190" s="166" t="str">
        <f t="shared" si="49"/>
        <v>Yes</v>
      </c>
      <c r="V190" s="166" t="e">
        <f t="shared" si="43"/>
        <v>#VALUE!</v>
      </c>
    </row>
    <row r="191" spans="2:22" x14ac:dyDescent="0.2">
      <c r="B191" s="5"/>
      <c r="D191" s="221" t="s">
        <v>812</v>
      </c>
      <c r="G191" s="25"/>
      <c r="H191" s="166" t="s">
        <v>720</v>
      </c>
      <c r="I191" s="166" t="s">
        <v>720</v>
      </c>
      <c r="J191" s="166" t="s">
        <v>720</v>
      </c>
      <c r="K191" s="166" t="s">
        <v>720</v>
      </c>
      <c r="L191" s="166" t="s">
        <v>720</v>
      </c>
      <c r="M191" s="166" t="str">
        <f t="shared" si="49"/>
        <v>Yes</v>
      </c>
      <c r="V191" s="166" t="e">
        <f t="shared" si="43"/>
        <v>#VALUE!</v>
      </c>
    </row>
    <row r="192" spans="2:22" x14ac:dyDescent="0.2">
      <c r="B192" s="5"/>
      <c r="D192" s="221" t="s">
        <v>813</v>
      </c>
      <c r="G192" s="25"/>
      <c r="H192" s="166" t="s">
        <v>720</v>
      </c>
      <c r="I192" s="166" t="s">
        <v>720</v>
      </c>
      <c r="J192" s="166" t="s">
        <v>720</v>
      </c>
      <c r="K192" s="166" t="s">
        <v>720</v>
      </c>
      <c r="L192" s="166" t="s">
        <v>720</v>
      </c>
      <c r="M192" s="166" t="str">
        <f t="shared" si="49"/>
        <v>Yes</v>
      </c>
      <c r="V192" s="166" t="e">
        <f t="shared" si="43"/>
        <v>#VALUE!</v>
      </c>
    </row>
    <row r="193" spans="2:22" x14ac:dyDescent="0.2">
      <c r="B193" s="5"/>
      <c r="D193" s="221" t="s">
        <v>814</v>
      </c>
      <c r="G193" s="25"/>
      <c r="H193" s="166" t="s">
        <v>720</v>
      </c>
      <c r="I193" s="166" t="s">
        <v>720</v>
      </c>
      <c r="J193" s="166" t="s">
        <v>720</v>
      </c>
      <c r="K193" s="166" t="s">
        <v>720</v>
      </c>
      <c r="L193" s="166" t="s">
        <v>720</v>
      </c>
      <c r="M193" s="166" t="str">
        <f t="shared" si="49"/>
        <v>Yes</v>
      </c>
      <c r="V193" s="166" t="e">
        <f t="shared" si="43"/>
        <v>#VALUE!</v>
      </c>
    </row>
    <row r="194" spans="2:22" x14ac:dyDescent="0.2">
      <c r="B194" s="5"/>
      <c r="D194" s="221" t="s">
        <v>1018</v>
      </c>
      <c r="G194" s="25"/>
      <c r="H194" s="166" t="s">
        <v>721</v>
      </c>
      <c r="I194" s="166" t="s">
        <v>721</v>
      </c>
      <c r="J194" s="166" t="s">
        <v>721</v>
      </c>
      <c r="K194" s="166" t="s">
        <v>721</v>
      </c>
      <c r="L194" s="166" t="s">
        <v>721</v>
      </c>
      <c r="M194" s="166" t="str">
        <f t="shared" si="49"/>
        <v>No</v>
      </c>
      <c r="V194" s="166" t="e">
        <f t="shared" si="43"/>
        <v>#VALUE!</v>
      </c>
    </row>
    <row r="195" spans="2:22" x14ac:dyDescent="0.2">
      <c r="B195" s="5"/>
      <c r="D195" s="27" t="s">
        <v>47</v>
      </c>
      <c r="E195" s="25"/>
      <c r="F195" s="25"/>
      <c r="G195" s="25"/>
      <c r="H195" s="26" t="s">
        <v>433</v>
      </c>
      <c r="I195" s="25"/>
      <c r="J195" s="25"/>
      <c r="K195" s="25"/>
      <c r="L195" s="25"/>
      <c r="M195" s="25"/>
      <c r="N195" s="25"/>
      <c r="O195" s="25"/>
      <c r="P195" s="263"/>
      <c r="Q195" s="25"/>
      <c r="R195" s="25"/>
      <c r="V195" s="25" t="e">
        <f t="shared" si="43"/>
        <v>#VALUE!</v>
      </c>
    </row>
    <row r="196" spans="2:22" x14ac:dyDescent="0.2">
      <c r="B196" s="5"/>
      <c r="D196" s="90" t="s">
        <v>1019</v>
      </c>
      <c r="E196" s="25"/>
      <c r="H196" s="166" t="s">
        <v>721</v>
      </c>
      <c r="I196" s="166" t="s">
        <v>721</v>
      </c>
      <c r="J196" s="166" t="s">
        <v>721</v>
      </c>
      <c r="K196" s="166" t="s">
        <v>721</v>
      </c>
      <c r="L196" s="166" t="s">
        <v>721</v>
      </c>
      <c r="M196" s="166" t="str">
        <f>H196</f>
        <v>No</v>
      </c>
      <c r="V196" s="166" t="e">
        <f t="shared" si="43"/>
        <v>#VALUE!</v>
      </c>
    </row>
    <row r="197" spans="2:22" x14ac:dyDescent="0.2">
      <c r="B197" s="5"/>
      <c r="D197" s="90" t="s">
        <v>57</v>
      </c>
      <c r="H197" s="166" t="s">
        <v>720</v>
      </c>
      <c r="I197" s="166" t="s">
        <v>720</v>
      </c>
      <c r="J197" s="166" t="s">
        <v>720</v>
      </c>
      <c r="K197" s="166" t="s">
        <v>720</v>
      </c>
      <c r="L197" s="166" t="s">
        <v>720</v>
      </c>
      <c r="M197" s="166" t="str">
        <f t="shared" ref="M197:M201" si="50">H197</f>
        <v>Yes</v>
      </c>
      <c r="V197" s="166" t="e">
        <f t="shared" si="43"/>
        <v>#VALUE!</v>
      </c>
    </row>
    <row r="198" spans="2:22" x14ac:dyDescent="0.2">
      <c r="B198" s="5"/>
      <c r="D198" s="90" t="s">
        <v>58</v>
      </c>
      <c r="H198" s="166" t="s">
        <v>720</v>
      </c>
      <c r="I198" s="166" t="s">
        <v>720</v>
      </c>
      <c r="J198" s="166" t="s">
        <v>720</v>
      </c>
      <c r="K198" s="166" t="s">
        <v>720</v>
      </c>
      <c r="L198" s="166" t="s">
        <v>720</v>
      </c>
      <c r="M198" s="166" t="str">
        <f t="shared" si="50"/>
        <v>Yes</v>
      </c>
      <c r="V198" s="166" t="e">
        <f t="shared" si="43"/>
        <v>#VALUE!</v>
      </c>
    </row>
    <row r="199" spans="2:22" x14ac:dyDescent="0.2">
      <c r="B199" s="5"/>
      <c r="D199" s="90" t="s">
        <v>59</v>
      </c>
      <c r="H199" s="166" t="s">
        <v>720</v>
      </c>
      <c r="I199" s="166" t="s">
        <v>720</v>
      </c>
      <c r="J199" s="166" t="s">
        <v>720</v>
      </c>
      <c r="K199" s="166" t="s">
        <v>720</v>
      </c>
      <c r="L199" s="166" t="s">
        <v>720</v>
      </c>
      <c r="M199" s="166" t="str">
        <f t="shared" si="50"/>
        <v>Yes</v>
      </c>
      <c r="V199" s="166" t="e">
        <f t="shared" si="43"/>
        <v>#VALUE!</v>
      </c>
    </row>
    <row r="200" spans="2:22" x14ac:dyDescent="0.2">
      <c r="B200" s="5"/>
      <c r="D200" s="90" t="s">
        <v>60</v>
      </c>
      <c r="H200" s="166" t="s">
        <v>720</v>
      </c>
      <c r="I200" s="166" t="s">
        <v>720</v>
      </c>
      <c r="J200" s="166" t="s">
        <v>720</v>
      </c>
      <c r="K200" s="166" t="s">
        <v>720</v>
      </c>
      <c r="L200" s="166" t="s">
        <v>720</v>
      </c>
      <c r="M200" s="166" t="str">
        <f t="shared" si="50"/>
        <v>Yes</v>
      </c>
      <c r="V200" s="166" t="e">
        <f t="shared" si="43"/>
        <v>#VALUE!</v>
      </c>
    </row>
    <row r="201" spans="2:22" hidden="1" x14ac:dyDescent="0.2">
      <c r="B201" s="5"/>
      <c r="D201" s="90" t="s">
        <v>1020</v>
      </c>
      <c r="H201" s="166" t="s">
        <v>721</v>
      </c>
      <c r="I201" s="166" t="s">
        <v>721</v>
      </c>
      <c r="J201" s="166" t="s">
        <v>721</v>
      </c>
      <c r="K201" s="166" t="s">
        <v>721</v>
      </c>
      <c r="L201" s="166" t="s">
        <v>721</v>
      </c>
      <c r="M201" s="166" t="str">
        <f t="shared" si="50"/>
        <v>No</v>
      </c>
      <c r="V201" s="166" t="e">
        <f t="shared" si="43"/>
        <v>#VALUE!</v>
      </c>
    </row>
    <row r="202" spans="2:22" x14ac:dyDescent="0.2">
      <c r="B202" s="5"/>
      <c r="D202" s="76" t="s">
        <v>964</v>
      </c>
      <c r="H202" s="24" t="s">
        <v>1004</v>
      </c>
      <c r="V202" s="5" t="e">
        <f t="shared" si="43"/>
        <v>#VALUE!</v>
      </c>
    </row>
    <row r="203" spans="2:22" x14ac:dyDescent="0.2">
      <c r="B203" s="5"/>
      <c r="D203" s="90" t="s">
        <v>965</v>
      </c>
      <c r="H203" s="166" t="s">
        <v>720</v>
      </c>
      <c r="I203" s="166" t="s">
        <v>720</v>
      </c>
      <c r="J203" s="166" t="s">
        <v>720</v>
      </c>
      <c r="K203" s="166" t="s">
        <v>720</v>
      </c>
      <c r="L203" s="166" t="s">
        <v>720</v>
      </c>
      <c r="M203" s="166" t="str">
        <f>H203</f>
        <v>Yes</v>
      </c>
      <c r="V203" s="166" t="e">
        <f t="shared" si="43"/>
        <v>#VALUE!</v>
      </c>
    </row>
    <row r="204" spans="2:22" s="79" customFormat="1" x14ac:dyDescent="0.2">
      <c r="D204" s="390"/>
      <c r="H204" s="391"/>
      <c r="I204" s="391"/>
      <c r="J204" s="391"/>
      <c r="K204" s="391"/>
      <c r="L204" s="391"/>
      <c r="M204" s="391"/>
      <c r="V204" s="391">
        <f t="shared" si="43"/>
        <v>0</v>
      </c>
    </row>
    <row r="205" spans="2:22" s="392" customFormat="1" ht="14.25" x14ac:dyDescent="0.2">
      <c r="C205" s="393" t="s">
        <v>1142</v>
      </c>
      <c r="V205" s="392">
        <f t="shared" si="43"/>
        <v>0</v>
      </c>
    </row>
    <row r="206" spans="2:22" x14ac:dyDescent="0.2">
      <c r="B206" s="5"/>
      <c r="D206" s="316" t="s">
        <v>1707</v>
      </c>
      <c r="H206" s="166" t="s">
        <v>720</v>
      </c>
      <c r="I206" s="166" t="s">
        <v>720</v>
      </c>
      <c r="J206" s="166" t="s">
        <v>720</v>
      </c>
      <c r="K206" s="166" t="s">
        <v>721</v>
      </c>
      <c r="L206" s="166" t="s">
        <v>720</v>
      </c>
      <c r="M206" s="166" t="str">
        <f>'Budget Choices'!E28</f>
        <v>No</v>
      </c>
      <c r="V206" s="5" t="e">
        <f t="shared" si="43"/>
        <v>#VALUE!</v>
      </c>
    </row>
    <row r="207" spans="2:22" x14ac:dyDescent="0.2">
      <c r="B207" s="5"/>
      <c r="D207" s="6" t="s">
        <v>1710</v>
      </c>
      <c r="H207" s="120">
        <v>1</v>
      </c>
      <c r="I207" s="120">
        <v>1</v>
      </c>
      <c r="J207" s="120">
        <v>1</v>
      </c>
      <c r="K207" s="120">
        <v>1</v>
      </c>
      <c r="L207" s="120">
        <v>1</v>
      </c>
      <c r="M207" s="120">
        <f>'Budget Choices'!E29</f>
        <v>3</v>
      </c>
      <c r="V207" s="120">
        <f t="shared" si="43"/>
        <v>-2</v>
      </c>
    </row>
    <row r="208" spans="2:22" x14ac:dyDescent="0.2">
      <c r="B208" s="5"/>
      <c r="D208" s="6" t="s">
        <v>1078</v>
      </c>
      <c r="H208" s="69">
        <v>1</v>
      </c>
      <c r="I208" s="69">
        <v>1</v>
      </c>
      <c r="J208" s="69">
        <v>1</v>
      </c>
      <c r="K208" s="69">
        <v>0.6</v>
      </c>
      <c r="L208" s="69">
        <v>1</v>
      </c>
      <c r="M208" s="69">
        <f>H208</f>
        <v>1</v>
      </c>
      <c r="V208" s="69">
        <f t="shared" si="43"/>
        <v>0</v>
      </c>
    </row>
    <row r="209" spans="2:22" x14ac:dyDescent="0.2">
      <c r="B209" s="5"/>
      <c r="V209" s="5">
        <f t="shared" si="43"/>
        <v>0</v>
      </c>
    </row>
    <row r="210" spans="2:22" ht="36" x14ac:dyDescent="0.2">
      <c r="B210" s="5"/>
      <c r="D210" s="516" t="s">
        <v>1182</v>
      </c>
      <c r="E210" s="176"/>
      <c r="G210" s="121" t="s">
        <v>1233</v>
      </c>
      <c r="H210" s="4" t="s">
        <v>1234</v>
      </c>
      <c r="V210" s="5" t="e">
        <f t="shared" si="43"/>
        <v>#VALUE!</v>
      </c>
    </row>
    <row r="211" spans="2:22" x14ac:dyDescent="0.2">
      <c r="B211" s="5"/>
      <c r="D211" s="537" t="s">
        <v>1128</v>
      </c>
      <c r="G211" s="521">
        <v>6</v>
      </c>
      <c r="H211" s="520">
        <v>25</v>
      </c>
      <c r="I211" s="520">
        <v>25</v>
      </c>
      <c r="J211" s="520">
        <v>25</v>
      </c>
      <c r="K211" s="520">
        <v>25</v>
      </c>
      <c r="L211" s="520">
        <v>50</v>
      </c>
      <c r="M211" s="120">
        <f t="shared" ref="M211:M263" si="51">H211</f>
        <v>25</v>
      </c>
      <c r="V211" s="520">
        <f t="shared" si="43"/>
        <v>0</v>
      </c>
    </row>
    <row r="212" spans="2:22" x14ac:dyDescent="0.2">
      <c r="B212" s="5"/>
      <c r="D212" s="6" t="s">
        <v>423</v>
      </c>
      <c r="G212" s="521"/>
      <c r="H212" s="520"/>
      <c r="I212" s="520"/>
      <c r="J212" s="520"/>
      <c r="K212" s="520"/>
      <c r="L212" s="520"/>
      <c r="M212" s="120">
        <f t="shared" si="51"/>
        <v>0</v>
      </c>
      <c r="V212" s="520">
        <f t="shared" si="43"/>
        <v>0</v>
      </c>
    </row>
    <row r="213" spans="2:22" x14ac:dyDescent="0.2">
      <c r="B213" s="5"/>
      <c r="D213" s="6" t="s">
        <v>1130</v>
      </c>
      <c r="G213" s="521">
        <v>4</v>
      </c>
      <c r="H213" s="520">
        <v>12</v>
      </c>
      <c r="I213" s="520">
        <v>12</v>
      </c>
      <c r="J213" s="520">
        <v>12</v>
      </c>
      <c r="K213" s="520">
        <v>12</v>
      </c>
      <c r="L213" s="520">
        <v>20</v>
      </c>
      <c r="M213" s="120">
        <f t="shared" si="51"/>
        <v>12</v>
      </c>
      <c r="V213" s="520">
        <f t="shared" si="43"/>
        <v>0</v>
      </c>
    </row>
    <row r="214" spans="2:22" x14ac:dyDescent="0.2">
      <c r="B214" s="5"/>
      <c r="D214" s="6" t="s">
        <v>815</v>
      </c>
      <c r="G214" s="521">
        <v>4</v>
      </c>
      <c r="H214" s="520">
        <v>15</v>
      </c>
      <c r="I214" s="520">
        <v>15</v>
      </c>
      <c r="J214" s="520">
        <v>15</v>
      </c>
      <c r="K214" s="520">
        <v>15</v>
      </c>
      <c r="L214" s="520">
        <v>30</v>
      </c>
      <c r="M214" s="120">
        <f t="shared" si="51"/>
        <v>15</v>
      </c>
      <c r="V214" s="520">
        <f t="shared" ref="V214:V286" si="52">H214-M214</f>
        <v>0</v>
      </c>
    </row>
    <row r="215" spans="2:22" x14ac:dyDescent="0.2">
      <c r="B215" s="5"/>
      <c r="D215" s="6" t="s">
        <v>424</v>
      </c>
      <c r="G215" s="521">
        <v>3</v>
      </c>
      <c r="H215" s="520">
        <v>20</v>
      </c>
      <c r="I215" s="520">
        <v>20</v>
      </c>
      <c r="J215" s="520">
        <v>20</v>
      </c>
      <c r="K215" s="520">
        <v>20</v>
      </c>
      <c r="L215" s="520">
        <v>40</v>
      </c>
      <c r="M215" s="120">
        <f t="shared" si="51"/>
        <v>20</v>
      </c>
      <c r="V215" s="520">
        <f t="shared" si="52"/>
        <v>0</v>
      </c>
    </row>
    <row r="216" spans="2:22" x14ac:dyDescent="0.2">
      <c r="B216" s="5"/>
      <c r="D216" s="6" t="s">
        <v>1151</v>
      </c>
      <c r="G216" s="521">
        <v>4</v>
      </c>
      <c r="H216" s="520">
        <v>30</v>
      </c>
      <c r="I216" s="520">
        <v>30</v>
      </c>
      <c r="J216" s="520">
        <v>30</v>
      </c>
      <c r="K216" s="520">
        <v>30</v>
      </c>
      <c r="L216" s="520">
        <v>45</v>
      </c>
      <c r="M216" s="120">
        <f t="shared" si="51"/>
        <v>30</v>
      </c>
      <c r="V216" s="520">
        <f t="shared" si="52"/>
        <v>0</v>
      </c>
    </row>
    <row r="217" spans="2:22" x14ac:dyDescent="0.2">
      <c r="B217" s="5"/>
      <c r="V217" s="5">
        <f t="shared" si="52"/>
        <v>0</v>
      </c>
    </row>
    <row r="218" spans="2:22" ht="36" x14ac:dyDescent="0.25">
      <c r="B218" s="5"/>
      <c r="D218" s="517" t="s">
        <v>1352</v>
      </c>
      <c r="E218" s="481"/>
      <c r="G218" s="121" t="s">
        <v>1233</v>
      </c>
      <c r="H218" s="4" t="s">
        <v>1234</v>
      </c>
      <c r="V218" s="5" t="e">
        <f t="shared" si="52"/>
        <v>#VALUE!</v>
      </c>
    </row>
    <row r="219" spans="2:22" x14ac:dyDescent="0.2">
      <c r="B219" s="5"/>
      <c r="D219" s="316" t="s">
        <v>1527</v>
      </c>
      <c r="G219" s="121"/>
      <c r="H219" s="4"/>
    </row>
    <row r="220" spans="2:22" x14ac:dyDescent="0.2">
      <c r="B220" s="5"/>
      <c r="D220" s="537" t="s">
        <v>1128</v>
      </c>
      <c r="G220" s="521">
        <v>16</v>
      </c>
      <c r="H220" s="520">
        <v>20</v>
      </c>
      <c r="I220" s="520">
        <v>30</v>
      </c>
      <c r="J220" s="520">
        <v>30</v>
      </c>
      <c r="K220" s="520">
        <v>30</v>
      </c>
      <c r="L220" s="520">
        <v>30</v>
      </c>
      <c r="M220" s="120">
        <f t="shared" ref="M220:M234" si="53">H220</f>
        <v>20</v>
      </c>
    </row>
    <row r="221" spans="2:22" x14ac:dyDescent="0.2">
      <c r="B221" s="5"/>
      <c r="D221" s="537" t="s">
        <v>423</v>
      </c>
      <c r="G221" s="521"/>
      <c r="H221" s="520"/>
      <c r="I221" s="520"/>
      <c r="J221" s="520"/>
      <c r="K221" s="520"/>
      <c r="L221" s="520"/>
      <c r="M221" s="120">
        <f t="shared" si="53"/>
        <v>0</v>
      </c>
    </row>
    <row r="222" spans="2:22" x14ac:dyDescent="0.2">
      <c r="B222" s="5"/>
      <c r="D222" s="6" t="s">
        <v>1130</v>
      </c>
      <c r="G222" s="521">
        <v>2</v>
      </c>
      <c r="H222" s="520">
        <v>20</v>
      </c>
      <c r="I222" s="520">
        <v>20</v>
      </c>
      <c r="J222" s="520">
        <v>20</v>
      </c>
      <c r="K222" s="520">
        <v>20</v>
      </c>
      <c r="L222" s="520">
        <v>20</v>
      </c>
      <c r="M222" s="120">
        <f t="shared" si="53"/>
        <v>20</v>
      </c>
    </row>
    <row r="223" spans="2:22" x14ac:dyDescent="0.2">
      <c r="B223" s="5"/>
      <c r="D223" s="6" t="s">
        <v>815</v>
      </c>
      <c r="G223" s="521"/>
      <c r="H223" s="520"/>
      <c r="I223" s="520"/>
      <c r="J223" s="520"/>
      <c r="K223" s="520"/>
      <c r="L223" s="520"/>
      <c r="M223" s="120">
        <f t="shared" si="53"/>
        <v>0</v>
      </c>
    </row>
    <row r="224" spans="2:22" x14ac:dyDescent="0.2">
      <c r="B224" s="5"/>
      <c r="D224" s="6" t="s">
        <v>421</v>
      </c>
      <c r="G224" s="521"/>
      <c r="H224" s="520"/>
      <c r="I224" s="520"/>
      <c r="J224" s="520"/>
      <c r="K224" s="520"/>
      <c r="L224" s="520"/>
      <c r="M224" s="120">
        <f t="shared" si="53"/>
        <v>0</v>
      </c>
    </row>
    <row r="225" spans="2:22" x14ac:dyDescent="0.2">
      <c r="B225" s="5"/>
      <c r="D225" s="6" t="s">
        <v>424</v>
      </c>
      <c r="G225" s="521">
        <v>16</v>
      </c>
      <c r="H225" s="520">
        <v>25</v>
      </c>
      <c r="I225" s="520">
        <v>35</v>
      </c>
      <c r="J225" s="520">
        <v>35</v>
      </c>
      <c r="K225" s="520">
        <v>35</v>
      </c>
      <c r="L225" s="520">
        <v>35</v>
      </c>
      <c r="M225" s="120">
        <f t="shared" si="53"/>
        <v>25</v>
      </c>
    </row>
    <row r="226" spans="2:22" x14ac:dyDescent="0.2">
      <c r="B226" s="5"/>
      <c r="D226" s="6" t="s">
        <v>1151</v>
      </c>
      <c r="G226" s="521">
        <v>16</v>
      </c>
      <c r="H226" s="520">
        <v>35</v>
      </c>
      <c r="I226" s="520">
        <v>35</v>
      </c>
      <c r="J226" s="520">
        <v>35</v>
      </c>
      <c r="K226" s="520">
        <v>35</v>
      </c>
      <c r="L226" s="520">
        <v>35</v>
      </c>
      <c r="M226" s="120">
        <f t="shared" si="53"/>
        <v>35</v>
      </c>
    </row>
    <row r="227" spans="2:22" x14ac:dyDescent="0.2">
      <c r="B227" s="5"/>
      <c r="D227" s="316" t="s">
        <v>1528</v>
      </c>
      <c r="G227" s="121"/>
      <c r="H227" s="4"/>
    </row>
    <row r="228" spans="2:22" x14ac:dyDescent="0.2">
      <c r="B228" s="5"/>
      <c r="D228" s="537" t="s">
        <v>1128</v>
      </c>
      <c r="G228" s="521">
        <v>16</v>
      </c>
      <c r="H228" s="520">
        <v>20</v>
      </c>
      <c r="I228" s="520">
        <v>30</v>
      </c>
      <c r="J228" s="520">
        <v>30</v>
      </c>
      <c r="K228" s="520">
        <v>30</v>
      </c>
      <c r="L228" s="520">
        <v>30</v>
      </c>
      <c r="M228" s="120">
        <f t="shared" si="53"/>
        <v>20</v>
      </c>
      <c r="V228" s="520">
        <f t="shared" si="52"/>
        <v>0</v>
      </c>
    </row>
    <row r="229" spans="2:22" x14ac:dyDescent="0.2">
      <c r="B229" s="5"/>
      <c r="D229" s="537" t="s">
        <v>423</v>
      </c>
      <c r="G229" s="521"/>
      <c r="H229" s="520"/>
      <c r="I229" s="520"/>
      <c r="J229" s="520"/>
      <c r="K229" s="520"/>
      <c r="L229" s="520"/>
      <c r="M229" s="120">
        <f t="shared" si="53"/>
        <v>0</v>
      </c>
      <c r="V229" s="520">
        <f t="shared" si="52"/>
        <v>0</v>
      </c>
    </row>
    <row r="230" spans="2:22" x14ac:dyDescent="0.2">
      <c r="B230" s="5"/>
      <c r="D230" s="6" t="s">
        <v>1130</v>
      </c>
      <c r="G230" s="521">
        <v>16</v>
      </c>
      <c r="H230" s="520">
        <v>18</v>
      </c>
      <c r="I230" s="520">
        <v>18</v>
      </c>
      <c r="J230" s="520">
        <v>18</v>
      </c>
      <c r="K230" s="520">
        <v>18</v>
      </c>
      <c r="L230" s="520">
        <v>18</v>
      </c>
      <c r="M230" s="120">
        <f t="shared" si="53"/>
        <v>18</v>
      </c>
      <c r="V230" s="520">
        <f t="shared" si="52"/>
        <v>0</v>
      </c>
    </row>
    <row r="231" spans="2:22" x14ac:dyDescent="0.2">
      <c r="B231" s="5"/>
      <c r="D231" s="6" t="s">
        <v>815</v>
      </c>
      <c r="G231" s="521">
        <v>16</v>
      </c>
      <c r="H231" s="520">
        <v>20</v>
      </c>
      <c r="I231" s="520">
        <v>20</v>
      </c>
      <c r="J231" s="520">
        <v>20</v>
      </c>
      <c r="K231" s="520">
        <v>20</v>
      </c>
      <c r="L231" s="520">
        <v>20</v>
      </c>
      <c r="M231" s="120">
        <f t="shared" si="53"/>
        <v>20</v>
      </c>
      <c r="V231" s="520">
        <f t="shared" si="52"/>
        <v>0</v>
      </c>
    </row>
    <row r="232" spans="2:22" x14ac:dyDescent="0.2">
      <c r="B232" s="5"/>
      <c r="D232" s="6" t="s">
        <v>421</v>
      </c>
      <c r="G232" s="521"/>
      <c r="H232" s="520"/>
      <c r="I232" s="520"/>
      <c r="J232" s="520"/>
      <c r="K232" s="520"/>
      <c r="L232" s="520"/>
      <c r="M232" s="120">
        <f t="shared" si="53"/>
        <v>0</v>
      </c>
      <c r="V232" s="520">
        <f t="shared" si="52"/>
        <v>0</v>
      </c>
    </row>
    <row r="233" spans="2:22" x14ac:dyDescent="0.2">
      <c r="B233" s="5"/>
      <c r="D233" s="6" t="s">
        <v>424</v>
      </c>
      <c r="G233" s="521">
        <v>16</v>
      </c>
      <c r="H233" s="520">
        <v>25</v>
      </c>
      <c r="I233" s="520">
        <v>25</v>
      </c>
      <c r="J233" s="520">
        <v>25</v>
      </c>
      <c r="K233" s="520">
        <v>25</v>
      </c>
      <c r="L233" s="520">
        <v>25</v>
      </c>
      <c r="M233" s="120">
        <f t="shared" si="53"/>
        <v>25</v>
      </c>
      <c r="V233" s="520">
        <f t="shared" si="52"/>
        <v>0</v>
      </c>
    </row>
    <row r="234" spans="2:22" x14ac:dyDescent="0.2">
      <c r="B234" s="5"/>
      <c r="D234" s="6" t="s">
        <v>1151</v>
      </c>
      <c r="G234" s="521">
        <v>16</v>
      </c>
      <c r="H234" s="520">
        <v>35</v>
      </c>
      <c r="I234" s="520">
        <v>35</v>
      </c>
      <c r="J234" s="520">
        <v>35</v>
      </c>
      <c r="K234" s="520">
        <v>35</v>
      </c>
      <c r="L234" s="520">
        <v>35</v>
      </c>
      <c r="M234" s="120">
        <f t="shared" si="53"/>
        <v>35</v>
      </c>
      <c r="V234" s="520">
        <f t="shared" si="52"/>
        <v>0</v>
      </c>
    </row>
    <row r="235" spans="2:22" x14ac:dyDescent="0.2">
      <c r="B235" s="5"/>
      <c r="V235" s="5">
        <f t="shared" si="52"/>
        <v>0</v>
      </c>
    </row>
    <row r="236" spans="2:22" ht="36" x14ac:dyDescent="0.25">
      <c r="B236" s="5"/>
      <c r="D236" s="518" t="s">
        <v>1183</v>
      </c>
      <c r="E236" s="477"/>
      <c r="G236" s="121" t="s">
        <v>1233</v>
      </c>
      <c r="H236" s="4" t="s">
        <v>1234</v>
      </c>
      <c r="V236" s="5" t="e">
        <f t="shared" si="52"/>
        <v>#VALUE!</v>
      </c>
    </row>
    <row r="237" spans="2:22" x14ac:dyDescent="0.2">
      <c r="B237" s="5"/>
      <c r="D237" s="6" t="s">
        <v>1128</v>
      </c>
      <c r="F237" s="425"/>
      <c r="G237" s="521">
        <v>12</v>
      </c>
      <c r="H237" s="520">
        <v>35</v>
      </c>
      <c r="I237" s="520">
        <v>35</v>
      </c>
      <c r="J237" s="520">
        <v>35</v>
      </c>
      <c r="K237" s="520">
        <v>35</v>
      </c>
      <c r="L237" s="520">
        <v>35</v>
      </c>
      <c r="M237" s="120">
        <f t="shared" si="51"/>
        <v>35</v>
      </c>
      <c r="V237" s="520">
        <f t="shared" si="52"/>
        <v>0</v>
      </c>
    </row>
    <row r="238" spans="2:22" x14ac:dyDescent="0.2">
      <c r="B238" s="5"/>
      <c r="D238" s="6" t="s">
        <v>423</v>
      </c>
      <c r="F238" s="425"/>
      <c r="G238" s="521"/>
      <c r="H238" s="520"/>
      <c r="I238" s="520"/>
      <c r="J238" s="520"/>
      <c r="K238" s="520"/>
      <c r="L238" s="520"/>
      <c r="M238" s="120">
        <f t="shared" si="51"/>
        <v>0</v>
      </c>
      <c r="V238" s="520">
        <f t="shared" si="52"/>
        <v>0</v>
      </c>
    </row>
    <row r="239" spans="2:22" x14ac:dyDescent="0.2">
      <c r="B239" s="5"/>
      <c r="D239" s="6" t="s">
        <v>1148</v>
      </c>
      <c r="F239" s="425"/>
      <c r="G239" s="521"/>
      <c r="H239" s="520"/>
      <c r="I239" s="520"/>
      <c r="J239" s="520"/>
      <c r="K239" s="520"/>
      <c r="L239" s="520"/>
      <c r="M239" s="120">
        <f t="shared" si="51"/>
        <v>0</v>
      </c>
      <c r="V239" s="520">
        <f t="shared" si="52"/>
        <v>0</v>
      </c>
    </row>
    <row r="240" spans="2:22" x14ac:dyDescent="0.2">
      <c r="B240" s="5"/>
      <c r="D240" s="6" t="s">
        <v>1150</v>
      </c>
      <c r="G240" s="521">
        <v>6</v>
      </c>
      <c r="H240" s="520">
        <v>5</v>
      </c>
      <c r="I240" s="520">
        <v>5</v>
      </c>
      <c r="J240" s="520">
        <v>5</v>
      </c>
      <c r="K240" s="520">
        <v>5</v>
      </c>
      <c r="L240" s="520">
        <v>5</v>
      </c>
      <c r="M240" s="120">
        <f t="shared" si="51"/>
        <v>5</v>
      </c>
      <c r="V240" s="520">
        <f t="shared" si="52"/>
        <v>0</v>
      </c>
    </row>
    <row r="241" spans="2:22" x14ac:dyDescent="0.2">
      <c r="B241" s="5"/>
      <c r="D241" s="6" t="s">
        <v>815</v>
      </c>
      <c r="G241" s="521">
        <v>6</v>
      </c>
      <c r="H241" s="520">
        <v>15</v>
      </c>
      <c r="I241" s="520">
        <v>15</v>
      </c>
      <c r="J241" s="520">
        <v>15</v>
      </c>
      <c r="K241" s="520">
        <v>15</v>
      </c>
      <c r="L241" s="520">
        <v>15</v>
      </c>
      <c r="M241" s="120">
        <f t="shared" si="51"/>
        <v>15</v>
      </c>
      <c r="V241" s="520">
        <f t="shared" si="52"/>
        <v>0</v>
      </c>
    </row>
    <row r="242" spans="2:22" x14ac:dyDescent="0.2">
      <c r="B242" s="5"/>
      <c r="D242" s="6" t="s">
        <v>421</v>
      </c>
      <c r="G242" s="521"/>
      <c r="H242" s="520"/>
      <c r="I242" s="520"/>
      <c r="J242" s="520"/>
      <c r="K242" s="520"/>
      <c r="L242" s="520"/>
      <c r="M242" s="120">
        <f t="shared" si="51"/>
        <v>0</v>
      </c>
      <c r="V242" s="520">
        <f t="shared" si="52"/>
        <v>0</v>
      </c>
    </row>
    <row r="243" spans="2:22" x14ac:dyDescent="0.2">
      <c r="B243" s="5"/>
      <c r="D243" s="6" t="s">
        <v>422</v>
      </c>
      <c r="G243" s="521">
        <v>3</v>
      </c>
      <c r="H243" s="520">
        <v>35</v>
      </c>
      <c r="I243" s="520">
        <v>35</v>
      </c>
      <c r="J243" s="520">
        <v>35</v>
      </c>
      <c r="K243" s="520">
        <v>35</v>
      </c>
      <c r="L243" s="520">
        <v>35</v>
      </c>
      <c r="M243" s="120">
        <f t="shared" si="51"/>
        <v>35</v>
      </c>
      <c r="V243" s="520">
        <f t="shared" si="52"/>
        <v>0</v>
      </c>
    </row>
    <row r="244" spans="2:22" x14ac:dyDescent="0.2">
      <c r="B244" s="5"/>
      <c r="D244" s="6" t="s">
        <v>1151</v>
      </c>
      <c r="G244" s="521">
        <v>8</v>
      </c>
      <c r="H244" s="520">
        <v>45</v>
      </c>
      <c r="I244" s="520">
        <v>45</v>
      </c>
      <c r="J244" s="520">
        <v>45</v>
      </c>
      <c r="K244" s="520">
        <v>45</v>
      </c>
      <c r="L244" s="520">
        <v>45</v>
      </c>
      <c r="M244" s="120">
        <f t="shared" si="51"/>
        <v>45</v>
      </c>
      <c r="V244" s="520">
        <f t="shared" si="52"/>
        <v>0</v>
      </c>
    </row>
    <row r="245" spans="2:22" x14ac:dyDescent="0.2">
      <c r="B245" s="5"/>
      <c r="V245" s="5">
        <f t="shared" si="52"/>
        <v>0</v>
      </c>
    </row>
    <row r="246" spans="2:22" ht="36" x14ac:dyDescent="0.2">
      <c r="B246" s="5"/>
      <c r="D246" s="519" t="s">
        <v>1342</v>
      </c>
      <c r="E246" s="462"/>
      <c r="G246" s="121" t="s">
        <v>1233</v>
      </c>
      <c r="H246" s="4" t="s">
        <v>1234</v>
      </c>
      <c r="V246" s="5" t="e">
        <f t="shared" si="52"/>
        <v>#VALUE!</v>
      </c>
    </row>
    <row r="247" spans="2:22" ht="15" x14ac:dyDescent="0.25">
      <c r="B247" s="5"/>
      <c r="D247" s="706" t="s">
        <v>1184</v>
      </c>
      <c r="G247" s="515"/>
      <c r="V247" s="5">
        <f t="shared" si="52"/>
        <v>0</v>
      </c>
    </row>
    <row r="248" spans="2:22" x14ac:dyDescent="0.2">
      <c r="B248" s="5"/>
      <c r="D248" s="272" t="s">
        <v>423</v>
      </c>
      <c r="G248" s="521">
        <v>14</v>
      </c>
      <c r="H248" s="120">
        <v>35</v>
      </c>
      <c r="I248" s="120">
        <v>35</v>
      </c>
      <c r="J248" s="120">
        <v>35</v>
      </c>
      <c r="K248" s="120">
        <v>35</v>
      </c>
      <c r="L248" s="120">
        <v>35</v>
      </c>
      <c r="M248" s="120">
        <f t="shared" si="51"/>
        <v>35</v>
      </c>
      <c r="V248" s="120">
        <f t="shared" si="52"/>
        <v>0</v>
      </c>
    </row>
    <row r="249" spans="2:22" x14ac:dyDescent="0.2">
      <c r="B249" s="5"/>
      <c r="D249" s="272" t="s">
        <v>1186</v>
      </c>
      <c r="G249" s="521">
        <v>14</v>
      </c>
      <c r="H249" s="120">
        <v>35</v>
      </c>
      <c r="I249" s="120">
        <v>35</v>
      </c>
      <c r="J249" s="120">
        <v>35</v>
      </c>
      <c r="K249" s="120">
        <v>35</v>
      </c>
      <c r="L249" s="120">
        <v>35</v>
      </c>
      <c r="M249" s="120">
        <f t="shared" si="51"/>
        <v>35</v>
      </c>
      <c r="V249" s="120">
        <f t="shared" si="52"/>
        <v>0</v>
      </c>
    </row>
    <row r="250" spans="2:22" x14ac:dyDescent="0.2">
      <c r="B250" s="5"/>
      <c r="D250" s="272" t="s">
        <v>1148</v>
      </c>
      <c r="G250" s="521">
        <v>14</v>
      </c>
      <c r="H250" s="120">
        <v>20</v>
      </c>
      <c r="I250" s="120">
        <v>20</v>
      </c>
      <c r="J250" s="120">
        <v>20</v>
      </c>
      <c r="K250" s="120">
        <v>20</v>
      </c>
      <c r="L250" s="120">
        <v>20</v>
      </c>
      <c r="M250" s="120">
        <f t="shared" si="51"/>
        <v>20</v>
      </c>
      <c r="V250" s="120">
        <f t="shared" si="52"/>
        <v>0</v>
      </c>
    </row>
    <row r="251" spans="2:22" x14ac:dyDescent="0.2">
      <c r="B251" s="5"/>
      <c r="D251" s="65" t="s">
        <v>1150</v>
      </c>
      <c r="G251" s="521">
        <v>14</v>
      </c>
      <c r="H251" s="120">
        <v>35</v>
      </c>
      <c r="I251" s="120">
        <v>35</v>
      </c>
      <c r="J251" s="120">
        <v>35</v>
      </c>
      <c r="K251" s="120">
        <v>35</v>
      </c>
      <c r="L251" s="120">
        <v>35</v>
      </c>
      <c r="M251" s="120">
        <f t="shared" si="51"/>
        <v>35</v>
      </c>
      <c r="V251" s="120">
        <f t="shared" si="52"/>
        <v>0</v>
      </c>
    </row>
    <row r="252" spans="2:22" x14ac:dyDescent="0.2">
      <c r="B252" s="5"/>
      <c r="D252" s="65" t="s">
        <v>815</v>
      </c>
      <c r="G252" s="521">
        <v>14</v>
      </c>
      <c r="H252" s="120">
        <v>35</v>
      </c>
      <c r="I252" s="120">
        <v>35</v>
      </c>
      <c r="J252" s="120">
        <v>35</v>
      </c>
      <c r="K252" s="120">
        <v>35</v>
      </c>
      <c r="L252" s="120">
        <v>35</v>
      </c>
      <c r="M252" s="120">
        <f t="shared" si="51"/>
        <v>35</v>
      </c>
      <c r="V252" s="120">
        <f t="shared" si="52"/>
        <v>0</v>
      </c>
    </row>
    <row r="253" spans="2:22" x14ac:dyDescent="0.2">
      <c r="B253" s="5"/>
      <c r="D253" s="65" t="s">
        <v>421</v>
      </c>
      <c r="G253" s="521"/>
      <c r="H253" s="120">
        <v>0</v>
      </c>
      <c r="I253" s="120">
        <v>0</v>
      </c>
      <c r="J253" s="120">
        <v>0</v>
      </c>
      <c r="K253" s="120">
        <v>0</v>
      </c>
      <c r="L253" s="120">
        <v>0</v>
      </c>
      <c r="M253" s="120">
        <f t="shared" si="51"/>
        <v>0</v>
      </c>
      <c r="V253" s="120">
        <f t="shared" si="52"/>
        <v>0</v>
      </c>
    </row>
    <row r="254" spans="2:22" s="79" customFormat="1" ht="14.25" x14ac:dyDescent="0.2">
      <c r="C254" s="320"/>
      <c r="D254" s="65" t="s">
        <v>422</v>
      </c>
      <c r="G254" s="521">
        <v>14</v>
      </c>
      <c r="H254" s="120">
        <v>15</v>
      </c>
      <c r="I254" s="120">
        <v>15</v>
      </c>
      <c r="J254" s="120">
        <v>15</v>
      </c>
      <c r="K254" s="120">
        <v>15</v>
      </c>
      <c r="L254" s="120">
        <v>15</v>
      </c>
      <c r="M254" s="120">
        <f t="shared" si="51"/>
        <v>15</v>
      </c>
      <c r="N254" s="5"/>
      <c r="S254" s="359"/>
      <c r="V254" s="120">
        <f t="shared" si="52"/>
        <v>0</v>
      </c>
    </row>
    <row r="255" spans="2:22" s="79" customFormat="1" ht="14.25" x14ac:dyDescent="0.2">
      <c r="C255" s="320"/>
      <c r="D255" s="65" t="s">
        <v>1151</v>
      </c>
      <c r="G255" s="521">
        <v>14</v>
      </c>
      <c r="H255" s="120">
        <v>15</v>
      </c>
      <c r="I255" s="120">
        <v>15</v>
      </c>
      <c r="J255" s="120">
        <v>15</v>
      </c>
      <c r="K255" s="120">
        <v>15</v>
      </c>
      <c r="L255" s="120">
        <v>15</v>
      </c>
      <c r="M255" s="120">
        <f t="shared" si="51"/>
        <v>15</v>
      </c>
      <c r="N255" s="5"/>
      <c r="S255" s="359"/>
      <c r="V255" s="120">
        <f t="shared" si="52"/>
        <v>0</v>
      </c>
    </row>
    <row r="256" spans="2:22" s="79" customFormat="1" ht="14.25" x14ac:dyDescent="0.2">
      <c r="C256" s="320"/>
      <c r="D256" s="67" t="s">
        <v>1185</v>
      </c>
      <c r="M256" s="5"/>
      <c r="N256" s="5"/>
      <c r="S256" s="359"/>
      <c r="V256" s="79">
        <f t="shared" si="52"/>
        <v>0</v>
      </c>
    </row>
    <row r="257" spans="3:30" s="79" customFormat="1" ht="14.25" x14ac:dyDescent="0.2">
      <c r="C257" s="320"/>
      <c r="D257" s="272" t="s">
        <v>423</v>
      </c>
      <c r="G257" s="521">
        <v>14</v>
      </c>
      <c r="H257" s="120">
        <v>35</v>
      </c>
      <c r="I257" s="120">
        <v>35</v>
      </c>
      <c r="J257" s="120">
        <v>35</v>
      </c>
      <c r="K257" s="120">
        <v>35</v>
      </c>
      <c r="L257" s="120">
        <v>35</v>
      </c>
      <c r="M257" s="120">
        <f t="shared" si="51"/>
        <v>35</v>
      </c>
      <c r="N257" s="5"/>
      <c r="S257" s="359"/>
      <c r="V257" s="120">
        <f t="shared" si="52"/>
        <v>0</v>
      </c>
    </row>
    <row r="258" spans="3:30" s="79" customFormat="1" ht="14.25" x14ac:dyDescent="0.2">
      <c r="C258" s="320"/>
      <c r="D258" s="272" t="s">
        <v>1186</v>
      </c>
      <c r="G258" s="521">
        <v>14</v>
      </c>
      <c r="H258" s="120">
        <v>20</v>
      </c>
      <c r="I258" s="120">
        <v>20</v>
      </c>
      <c r="J258" s="120">
        <v>20</v>
      </c>
      <c r="K258" s="120">
        <v>20</v>
      </c>
      <c r="L258" s="120">
        <v>20</v>
      </c>
      <c r="M258" s="120">
        <f t="shared" si="51"/>
        <v>20</v>
      </c>
      <c r="N258" s="5"/>
      <c r="S258" s="359"/>
      <c r="V258" s="120">
        <f t="shared" si="52"/>
        <v>0</v>
      </c>
    </row>
    <row r="259" spans="3:30" s="79" customFormat="1" ht="14.25" x14ac:dyDescent="0.2">
      <c r="C259" s="320"/>
      <c r="D259" s="272" t="s">
        <v>1148</v>
      </c>
      <c r="G259" s="521">
        <v>14</v>
      </c>
      <c r="H259" s="120">
        <v>10</v>
      </c>
      <c r="I259" s="120">
        <v>10</v>
      </c>
      <c r="J259" s="120">
        <v>10</v>
      </c>
      <c r="K259" s="120">
        <v>10</v>
      </c>
      <c r="L259" s="120">
        <v>10</v>
      </c>
      <c r="M259" s="120">
        <f t="shared" si="51"/>
        <v>10</v>
      </c>
      <c r="S259" s="359"/>
      <c r="V259" s="120">
        <f t="shared" si="52"/>
        <v>0</v>
      </c>
    </row>
    <row r="260" spans="3:30" s="79" customFormat="1" ht="14.25" x14ac:dyDescent="0.2">
      <c r="C260" s="320"/>
      <c r="D260" s="65" t="s">
        <v>1150</v>
      </c>
      <c r="G260" s="521">
        <v>14</v>
      </c>
      <c r="H260" s="120">
        <v>20</v>
      </c>
      <c r="I260" s="120">
        <v>20</v>
      </c>
      <c r="J260" s="120">
        <v>20</v>
      </c>
      <c r="K260" s="120">
        <v>20</v>
      </c>
      <c r="L260" s="120">
        <v>20</v>
      </c>
      <c r="M260" s="120">
        <f t="shared" si="51"/>
        <v>20</v>
      </c>
      <c r="S260" s="359"/>
      <c r="V260" s="120">
        <f t="shared" si="52"/>
        <v>0</v>
      </c>
    </row>
    <row r="261" spans="3:30" s="79" customFormat="1" ht="14.25" x14ac:dyDescent="0.2">
      <c r="C261" s="320"/>
      <c r="D261" s="65" t="s">
        <v>815</v>
      </c>
      <c r="G261" s="521">
        <v>14</v>
      </c>
      <c r="H261" s="120">
        <v>35</v>
      </c>
      <c r="I261" s="120">
        <v>35</v>
      </c>
      <c r="J261" s="120">
        <v>35</v>
      </c>
      <c r="K261" s="120">
        <v>35</v>
      </c>
      <c r="L261" s="120">
        <v>35</v>
      </c>
      <c r="M261" s="120">
        <f t="shared" si="51"/>
        <v>35</v>
      </c>
      <c r="S261" s="359"/>
      <c r="V261" s="120">
        <f t="shared" si="52"/>
        <v>0</v>
      </c>
    </row>
    <row r="262" spans="3:30" s="79" customFormat="1" ht="14.25" x14ac:dyDescent="0.2">
      <c r="C262" s="320"/>
      <c r="D262" s="65" t="s">
        <v>421</v>
      </c>
      <c r="G262" s="521">
        <v>14</v>
      </c>
      <c r="H262" s="120">
        <v>35</v>
      </c>
      <c r="I262" s="120">
        <v>35</v>
      </c>
      <c r="J262" s="120">
        <v>35</v>
      </c>
      <c r="K262" s="120">
        <v>35</v>
      </c>
      <c r="L262" s="120">
        <v>35</v>
      </c>
      <c r="M262" s="120">
        <f t="shared" si="51"/>
        <v>35</v>
      </c>
      <c r="S262" s="359"/>
      <c r="V262" s="120">
        <f t="shared" si="52"/>
        <v>0</v>
      </c>
    </row>
    <row r="263" spans="3:30" s="79" customFormat="1" ht="14.25" x14ac:dyDescent="0.2">
      <c r="C263" s="320"/>
      <c r="D263" s="65" t="s">
        <v>422</v>
      </c>
      <c r="G263" s="521">
        <v>14</v>
      </c>
      <c r="H263" s="120">
        <v>35</v>
      </c>
      <c r="I263" s="120">
        <v>35</v>
      </c>
      <c r="J263" s="120">
        <v>35</v>
      </c>
      <c r="K263" s="120">
        <v>35</v>
      </c>
      <c r="L263" s="120">
        <v>35</v>
      </c>
      <c r="M263" s="120">
        <f t="shared" si="51"/>
        <v>35</v>
      </c>
      <c r="S263" s="359"/>
      <c r="V263" s="120">
        <f t="shared" si="52"/>
        <v>0</v>
      </c>
    </row>
    <row r="264" spans="3:30" s="79" customFormat="1" ht="14.25" x14ac:dyDescent="0.2">
      <c r="C264" s="320"/>
      <c r="D264" s="65" t="s">
        <v>1151</v>
      </c>
      <c r="G264" s="521">
        <v>14</v>
      </c>
      <c r="H264" s="120">
        <v>15</v>
      </c>
      <c r="I264" s="120">
        <v>15</v>
      </c>
      <c r="J264" s="120">
        <v>15</v>
      </c>
      <c r="K264" s="120">
        <v>15</v>
      </c>
      <c r="L264" s="120">
        <v>15</v>
      </c>
      <c r="M264" s="120">
        <f>H264</f>
        <v>15</v>
      </c>
      <c r="S264" s="359"/>
      <c r="V264" s="120">
        <f t="shared" si="52"/>
        <v>0</v>
      </c>
    </row>
    <row r="265" spans="3:30" s="79" customFormat="1" ht="14.25" x14ac:dyDescent="0.2">
      <c r="C265" s="320"/>
      <c r="E265" s="5"/>
      <c r="S265" s="359"/>
      <c r="V265" s="79">
        <f t="shared" si="52"/>
        <v>0</v>
      </c>
    </row>
    <row r="266" spans="3:30" s="79" customFormat="1" ht="14.25" x14ac:dyDescent="0.2">
      <c r="C266" s="320"/>
      <c r="E266" s="5"/>
      <c r="S266" s="359"/>
      <c r="V266" s="79">
        <f t="shared" si="52"/>
        <v>0</v>
      </c>
    </row>
    <row r="267" spans="3:30" s="79" customFormat="1" ht="14.25" x14ac:dyDescent="0.2">
      <c r="C267" s="320"/>
      <c r="E267" s="5"/>
      <c r="S267" s="359"/>
      <c r="V267" s="79">
        <f t="shared" si="52"/>
        <v>0</v>
      </c>
    </row>
    <row r="268" spans="3:30" s="79" customFormat="1" ht="14.25" x14ac:dyDescent="0.2">
      <c r="C268" s="320"/>
      <c r="D268" s="73" t="s">
        <v>1143</v>
      </c>
      <c r="E268" s="5"/>
      <c r="S268" s="359"/>
      <c r="V268" s="79">
        <f t="shared" si="52"/>
        <v>0</v>
      </c>
      <c r="Y268" s="79" t="s">
        <v>1276</v>
      </c>
      <c r="AA268" s="79" t="s">
        <v>1497</v>
      </c>
      <c r="AD268" s="79" t="s">
        <v>1501</v>
      </c>
    </row>
    <row r="269" spans="3:30" s="79" customFormat="1" ht="14.25" x14ac:dyDescent="0.2">
      <c r="C269" s="320"/>
      <c r="D269" s="526" t="s">
        <v>1144</v>
      </c>
      <c r="E269" s="522"/>
      <c r="H269" s="258">
        <f>SUM(H478:H483)</f>
        <v>575515444.59720457</v>
      </c>
      <c r="I269" s="258">
        <f t="shared" ref="I269:J269" si="54">SUM(I478:I483)</f>
        <v>613499463.94062018</v>
      </c>
      <c r="J269" s="258">
        <f t="shared" si="54"/>
        <v>653990428.56070113</v>
      </c>
      <c r="K269" s="258">
        <f>SUM(K478:K483)</f>
        <v>298821229.34354091</v>
      </c>
      <c r="L269" s="258">
        <f>SUM(L478:L483)</f>
        <v>581990915.41316009</v>
      </c>
      <c r="M269" s="258">
        <f>MAX(AD269,SUM(M478:M483))</f>
        <v>575515444.59720457</v>
      </c>
      <c r="P269" s="260" t="s">
        <v>865</v>
      </c>
      <c r="Q269" s="283">
        <f t="shared" ref="Q269:Q271" si="55">M269-H269</f>
        <v>0</v>
      </c>
      <c r="R269" s="356" t="s">
        <v>987</v>
      </c>
      <c r="S269" s="359" t="str">
        <f t="shared" ref="S269:S273" si="56">CONCATENATE(P269,R269)</f>
        <v>COECI</v>
      </c>
      <c r="V269" s="258">
        <f t="shared" si="52"/>
        <v>0</v>
      </c>
      <c r="X269" s="621">
        <f t="shared" ref="X269:X277" si="57">H269-M269</f>
        <v>0</v>
      </c>
      <c r="Y269" s="589">
        <f>X269+X274+X279</f>
        <v>0</v>
      </c>
      <c r="AA269" s="589">
        <f>SUM(H269:H272)</f>
        <v>2096859656.1810446</v>
      </c>
      <c r="AD269" s="887">
        <f>H269*(1-'Budget Choices'!$N$9)</f>
        <v>460412355.6777637</v>
      </c>
    </row>
    <row r="270" spans="3:30" s="79" customFormat="1" ht="14.25" x14ac:dyDescent="0.2">
      <c r="C270" s="320"/>
      <c r="D270" s="527" t="s">
        <v>1104</v>
      </c>
      <c r="E270" s="523"/>
      <c r="H270" s="258">
        <f>SUM(H487:H501)</f>
        <v>1108488332.4452515</v>
      </c>
      <c r="I270" s="258">
        <f t="shared" ref="I270:M270" si="58">SUM(I487:I501)</f>
        <v>1322425542.609024</v>
      </c>
      <c r="J270" s="258">
        <f t="shared" si="58"/>
        <v>1409705628.4212198</v>
      </c>
      <c r="K270" s="258">
        <f t="shared" si="58"/>
        <v>644122529.16976571</v>
      </c>
      <c r="L270" s="258">
        <f t="shared" si="58"/>
        <v>550169145.3670429</v>
      </c>
      <c r="M270" s="258">
        <f t="shared" si="58"/>
        <v>1108488332.4452515</v>
      </c>
      <c r="P270" s="260" t="s">
        <v>865</v>
      </c>
      <c r="Q270" s="283">
        <f t="shared" si="55"/>
        <v>0</v>
      </c>
      <c r="R270" s="356" t="s">
        <v>987</v>
      </c>
      <c r="S270" s="359" t="str">
        <f t="shared" si="56"/>
        <v>COECI</v>
      </c>
      <c r="V270" s="258">
        <f t="shared" si="52"/>
        <v>0</v>
      </c>
      <c r="X270" s="621">
        <f>H270-M270</f>
        <v>0</v>
      </c>
      <c r="Y270" s="79" t="s">
        <v>1362</v>
      </c>
      <c r="AD270" s="887">
        <f>H270*(1-'Budget Choices'!$N$9)</f>
        <v>886790665.9562012</v>
      </c>
    </row>
    <row r="271" spans="3:30" s="79" customFormat="1" ht="14.25" x14ac:dyDescent="0.2">
      <c r="C271" s="320"/>
      <c r="D271" s="689" t="s">
        <v>1241</v>
      </c>
      <c r="E271" s="524"/>
      <c r="H271" s="258">
        <f>SUM(H504:H511)</f>
        <v>103428792.33595884</v>
      </c>
      <c r="I271" s="258">
        <f t="shared" ref="I271:K271" si="59">SUM(I504:I511)</f>
        <v>110255092.63013215</v>
      </c>
      <c r="J271" s="258">
        <f t="shared" si="59"/>
        <v>117531928.74372086</v>
      </c>
      <c r="K271" s="258">
        <f t="shared" si="59"/>
        <v>53702674.994204916</v>
      </c>
      <c r="L271" s="258">
        <f t="shared" ref="L271" si="60">SUM(L504:L511)</f>
        <v>53437409.173520386</v>
      </c>
      <c r="M271" s="258">
        <f>MAX(AD271,SUM(M504:M511))</f>
        <v>103428792.33595884</v>
      </c>
      <c r="P271" s="260" t="s">
        <v>865</v>
      </c>
      <c r="Q271" s="283">
        <f t="shared" si="55"/>
        <v>0</v>
      </c>
      <c r="R271" s="356" t="s">
        <v>987</v>
      </c>
      <c r="S271" s="359" t="str">
        <f t="shared" si="56"/>
        <v>COECI</v>
      </c>
      <c r="V271" s="258">
        <f t="shared" si="52"/>
        <v>0</v>
      </c>
      <c r="X271" s="621">
        <f>H271-M271</f>
        <v>0</v>
      </c>
      <c r="Y271" s="589">
        <f>X270+X275+X280+X284</f>
        <v>0</v>
      </c>
      <c r="AD271" s="887">
        <f>H271*(1-'Budget Choices'!$N$9)</f>
        <v>82743033.868767083</v>
      </c>
    </row>
    <row r="272" spans="3:30" s="79" customFormat="1" ht="14.25" x14ac:dyDescent="0.2">
      <c r="C272" s="320"/>
      <c r="D272" s="690" t="s">
        <v>1187</v>
      </c>
      <c r="E272" s="525"/>
      <c r="H272" s="258">
        <f>SUM(H515:H522)+SUM(H524:H531)</f>
        <v>309427086.80262947</v>
      </c>
      <c r="I272" s="258">
        <f t="shared" ref="I272:J272" si="61">SUM(I515:I522)+SUM(I524:I531)</f>
        <v>329849274.53160298</v>
      </c>
      <c r="J272" s="258">
        <f t="shared" si="61"/>
        <v>351619326.65068889</v>
      </c>
      <c r="K272" s="258">
        <f>SUM(K515:K522)+SUM(K524:K531)</f>
        <v>160661861.18648151</v>
      </c>
      <c r="L272" s="258">
        <f>SUM(L515:L522)+SUM(L524:L531)</f>
        <v>71052563.361159235</v>
      </c>
      <c r="M272" s="258">
        <f>MAX(SUM(M515:M522)+SUM(M524:M531),AD272)</f>
        <v>309427086.80262947</v>
      </c>
      <c r="P272" s="260" t="s">
        <v>865</v>
      </c>
      <c r="Q272" s="283">
        <f>M272-H272</f>
        <v>0</v>
      </c>
      <c r="R272" s="356" t="s">
        <v>987</v>
      </c>
      <c r="S272" s="359" t="str">
        <f t="shared" si="56"/>
        <v>COECI</v>
      </c>
      <c r="V272" s="258">
        <f>H272-M272</f>
        <v>0</v>
      </c>
      <c r="X272" s="621">
        <f t="shared" si="57"/>
        <v>0</v>
      </c>
      <c r="Y272" s="79" t="s">
        <v>1361</v>
      </c>
      <c r="AD272" s="887">
        <f>H272*(1-'Budget Choices'!$N$9)</f>
        <v>247541669.44210359</v>
      </c>
    </row>
    <row r="273" spans="2:25" s="79" customFormat="1" ht="14.25" x14ac:dyDescent="0.2">
      <c r="C273" s="320"/>
      <c r="D273" s="73" t="s">
        <v>1168</v>
      </c>
      <c r="E273" s="5"/>
      <c r="Q273" s="283">
        <f t="shared" ref="Q273:Q286" si="62">M273-H273</f>
        <v>0</v>
      </c>
      <c r="S273" s="359" t="str">
        <f t="shared" si="56"/>
        <v/>
      </c>
      <c r="V273" s="589">
        <f>SUM(V269:V272)</f>
        <v>0</v>
      </c>
      <c r="Y273" s="589">
        <f>SUM(X271:X272)+SUM(X276:X277)+SUM(X281:X282)+SUM(X285:X287)</f>
        <v>0</v>
      </c>
    </row>
    <row r="274" spans="2:25" s="79" customFormat="1" ht="14.25" x14ac:dyDescent="0.2">
      <c r="C274" s="320"/>
      <c r="D274" s="526" t="s">
        <v>1144</v>
      </c>
      <c r="E274" s="522"/>
      <c r="H274" s="258">
        <f>'Maths Acute Treatment'!C30</f>
        <v>13646170.523834096</v>
      </c>
      <c r="I274" s="258">
        <f>'Maths Acute Treatment'!D30</f>
        <v>14874325.870979164</v>
      </c>
      <c r="J274" s="258">
        <f>'Maths Acute Treatment'!E30</f>
        <v>16213015.199367292</v>
      </c>
      <c r="K274" s="258">
        <f>'Maths Acute Treatment'!F30</f>
        <v>7085414.4576739706</v>
      </c>
      <c r="L274" s="258">
        <f>'Maths Acute Treatment'!G30</f>
        <v>7520443.5846978296</v>
      </c>
      <c r="M274" s="258">
        <f>'Maths Acute Treatment'!H30</f>
        <v>13646170.523834096</v>
      </c>
      <c r="P274" s="260" t="s">
        <v>864</v>
      </c>
      <c r="Q274" s="283">
        <f t="shared" si="62"/>
        <v>0</v>
      </c>
      <c r="R274" s="356" t="s">
        <v>987</v>
      </c>
      <c r="S274" s="359" t="str">
        <f t="shared" ref="S274:S277" si="63">CONCATENATE(P274,R274)</f>
        <v>MSCI</v>
      </c>
      <c r="V274" s="258">
        <f t="shared" si="52"/>
        <v>0</v>
      </c>
      <c r="X274" s="621">
        <f t="shared" si="57"/>
        <v>0</v>
      </c>
    </row>
    <row r="275" spans="2:25" s="79" customFormat="1" ht="14.25" x14ac:dyDescent="0.2">
      <c r="C275" s="320"/>
      <c r="D275" s="527" t="s">
        <v>1104</v>
      </c>
      <c r="E275" s="523"/>
      <c r="H275" s="258">
        <f>'Maths Acute Treatment'!C51</f>
        <v>77431452.976201296</v>
      </c>
      <c r="I275" s="258">
        <f>'Maths Acute Treatment'!D51</f>
        <v>84400283.744059429</v>
      </c>
      <c r="J275" s="258">
        <f>'Maths Acute Treatment'!E51</f>
        <v>91996309.281024769</v>
      </c>
      <c r="K275" s="258">
        <f>'Maths Acute Treatment'!F51</f>
        <v>40204241.581038937</v>
      </c>
      <c r="L275" s="258">
        <f>'Maths Acute Treatment'!G51</f>
        <v>35560579.234276727</v>
      </c>
      <c r="M275" s="258">
        <f>'Maths Acute Treatment'!H51</f>
        <v>77431452.976201296</v>
      </c>
      <c r="P275" s="260" t="s">
        <v>864</v>
      </c>
      <c r="Q275" s="283">
        <f t="shared" si="62"/>
        <v>0</v>
      </c>
      <c r="R275" s="356" t="s">
        <v>987</v>
      </c>
      <c r="S275" s="359" t="str">
        <f t="shared" si="63"/>
        <v>MSCI</v>
      </c>
      <c r="V275" s="258">
        <f t="shared" si="52"/>
        <v>0</v>
      </c>
      <c r="X275" s="621">
        <f t="shared" si="57"/>
        <v>0</v>
      </c>
    </row>
    <row r="276" spans="2:25" s="79" customFormat="1" ht="14.25" x14ac:dyDescent="0.2">
      <c r="C276" s="320"/>
      <c r="D276" s="689" t="s">
        <v>1241</v>
      </c>
      <c r="E276" s="524"/>
      <c r="H276" s="258">
        <f>'Maths Acute Treatment'!C74</f>
        <v>12419114.276761582</v>
      </c>
      <c r="I276" s="258">
        <f>'Maths Acute Treatment'!D74</f>
        <v>13536834.561670126</v>
      </c>
      <c r="J276" s="258">
        <f>'Maths Acute Treatment'!E74</f>
        <v>14755149.672220437</v>
      </c>
      <c r="K276" s="258">
        <f>'Maths Acute Treatment'!F74</f>
        <v>6448297.8352338746</v>
      </c>
      <c r="L276" s="258">
        <f>'Maths Acute Treatment'!G74</f>
        <v>6416446.2930627214</v>
      </c>
      <c r="M276" s="258">
        <f>'Maths Acute Treatment'!H74</f>
        <v>12419114.276761582</v>
      </c>
      <c r="P276" s="260" t="s">
        <v>864</v>
      </c>
      <c r="Q276" s="283">
        <f t="shared" si="62"/>
        <v>0</v>
      </c>
      <c r="R276" s="356" t="s">
        <v>987</v>
      </c>
      <c r="S276" s="359" t="str">
        <f t="shared" si="63"/>
        <v>MSCI</v>
      </c>
      <c r="V276" s="258">
        <f t="shared" si="52"/>
        <v>0</v>
      </c>
      <c r="X276" s="621">
        <f t="shared" si="57"/>
        <v>0</v>
      </c>
    </row>
    <row r="277" spans="2:25" s="79" customFormat="1" ht="14.25" x14ac:dyDescent="0.2">
      <c r="C277" s="320"/>
      <c r="D277" s="690" t="s">
        <v>1187</v>
      </c>
      <c r="E277" s="525"/>
      <c r="H277" s="258">
        <f>'Maths Acute Treatment'!C97</f>
        <v>27843459.282772679</v>
      </c>
      <c r="I277" s="258">
        <f>'Maths Acute Treatment'!D97</f>
        <v>30349370.618222222</v>
      </c>
      <c r="J277" s="258">
        <f>'Maths Acute Treatment'!E97</f>
        <v>33080813.973862223</v>
      </c>
      <c r="K277" s="258">
        <f>'Maths Acute Treatment'!F97</f>
        <v>14456982.536547149</v>
      </c>
      <c r="L277" s="258">
        <f>'Maths Acute Treatment'!G97</f>
        <v>6393587.5017463109</v>
      </c>
      <c r="M277" s="258">
        <f>'Maths Acute Treatment'!H97</f>
        <v>27843459.282772679</v>
      </c>
      <c r="P277" s="260" t="s">
        <v>864</v>
      </c>
      <c r="Q277" s="283">
        <f t="shared" si="62"/>
        <v>0</v>
      </c>
      <c r="R277" s="356" t="s">
        <v>987</v>
      </c>
      <c r="S277" s="359" t="str">
        <f t="shared" si="63"/>
        <v>MSCI</v>
      </c>
      <c r="V277" s="258">
        <f t="shared" si="52"/>
        <v>0</v>
      </c>
      <c r="X277" s="621">
        <f t="shared" si="57"/>
        <v>0</v>
      </c>
    </row>
    <row r="278" spans="2:25" s="79" customFormat="1" ht="14.25" x14ac:dyDescent="0.2">
      <c r="C278" s="320"/>
      <c r="D278" s="73" t="s">
        <v>1169</v>
      </c>
      <c r="Q278" s="283">
        <f t="shared" si="62"/>
        <v>0</v>
      </c>
      <c r="V278" s="79">
        <f t="shared" si="52"/>
        <v>0</v>
      </c>
    </row>
    <row r="279" spans="2:25" s="79" customFormat="1" ht="14.25" x14ac:dyDescent="0.2">
      <c r="C279" s="320"/>
      <c r="D279" s="526" t="s">
        <v>1144</v>
      </c>
      <c r="E279" s="526"/>
      <c r="H279" s="258">
        <f>'Maths Acute Treatment'!C31</f>
        <v>68208175.768981025</v>
      </c>
      <c r="I279" s="258">
        <f>'Maths Acute Treatment'!D31</f>
        <v>74346911.588189319</v>
      </c>
      <c r="J279" s="258">
        <f>'Maths Acute Treatment'!E31</f>
        <v>81038133.631126374</v>
      </c>
      <c r="K279" s="258">
        <f>'Maths Acute Treatment'!F31</f>
        <v>35415297.931460984</v>
      </c>
      <c r="L279" s="258">
        <f>'Maths Acute Treatment'!G31</f>
        <v>37589720.646525577</v>
      </c>
      <c r="M279" s="258">
        <f>'Maths Acute Treatment'!H31</f>
        <v>68208175.768981025</v>
      </c>
      <c r="P279" s="260" t="s">
        <v>864</v>
      </c>
      <c r="Q279" s="283">
        <f t="shared" si="62"/>
        <v>0</v>
      </c>
      <c r="R279" s="356" t="s">
        <v>987</v>
      </c>
      <c r="S279" s="359" t="str">
        <f t="shared" ref="S279:S283" si="64">CONCATENATE(P279,R279)</f>
        <v>MSCI</v>
      </c>
      <c r="V279" s="258">
        <f t="shared" si="52"/>
        <v>0</v>
      </c>
      <c r="X279" s="621">
        <f>H279-M279</f>
        <v>0</v>
      </c>
    </row>
    <row r="280" spans="2:25" s="79" customFormat="1" ht="14.25" x14ac:dyDescent="0.2">
      <c r="C280" s="320"/>
      <c r="D280" s="527" t="s">
        <v>1104</v>
      </c>
      <c r="E280" s="527"/>
      <c r="H280" s="258">
        <f>'Maths Acute Treatment'!C52</f>
        <v>22122848.89164136</v>
      </c>
      <c r="I280" s="258">
        <f>'Maths Acute Treatment'!D52</f>
        <v>24113905.291889083</v>
      </c>
      <c r="J280" s="258">
        <f>'Maths Acute Treatment'!E52</f>
        <v>26284156.768159103</v>
      </c>
      <c r="K280" s="258">
        <f>'Maths Acute Treatment'!F52</f>
        <v>11486706.33332604</v>
      </c>
      <c r="L280" s="258">
        <f>'Maths Acute Treatment'!G52</f>
        <v>10159971.053893793</v>
      </c>
      <c r="M280" s="258">
        <f>'Maths Acute Treatment'!H52</f>
        <v>22122848.89164136</v>
      </c>
      <c r="P280" s="260" t="s">
        <v>864</v>
      </c>
      <c r="Q280" s="283">
        <f t="shared" si="62"/>
        <v>0</v>
      </c>
      <c r="R280" s="356" t="s">
        <v>987</v>
      </c>
      <c r="S280" s="359" t="str">
        <f t="shared" si="64"/>
        <v>MSCI</v>
      </c>
      <c r="V280" s="258">
        <f t="shared" si="52"/>
        <v>0</v>
      </c>
      <c r="X280" s="621">
        <f t="shared" ref="X280:X287" si="65">H280-M280</f>
        <v>0</v>
      </c>
    </row>
    <row r="281" spans="2:25" s="79" customFormat="1" ht="14.25" x14ac:dyDescent="0.2">
      <c r="C281" s="320"/>
      <c r="D281" s="689" t="s">
        <v>1241</v>
      </c>
      <c r="E281" s="528"/>
      <c r="H281" s="258">
        <f>'Maths Acute Treatment'!C75</f>
        <v>5365538.3103806786</v>
      </c>
      <c r="I281" s="258">
        <f>'Maths Acute Treatment'!D75</f>
        <v>5848436.7583149401</v>
      </c>
      <c r="J281" s="258">
        <f>'Maths Acute Treatment'!E75</f>
        <v>6374796.066563285</v>
      </c>
      <c r="K281" s="258">
        <f>'Maths Acute Treatment'!F75</f>
        <v>2785914.3817069461</v>
      </c>
      <c r="L281" s="258">
        <f>'Maths Acute Treatment'!G75</f>
        <v>2772153.2820056723</v>
      </c>
      <c r="M281" s="258">
        <f>'Maths Acute Treatment'!H75</f>
        <v>5365538.3103806786</v>
      </c>
      <c r="P281" s="260" t="s">
        <v>864</v>
      </c>
      <c r="Q281" s="283">
        <f t="shared" si="62"/>
        <v>0</v>
      </c>
      <c r="R281" s="356" t="s">
        <v>987</v>
      </c>
      <c r="S281" s="359" t="str">
        <f t="shared" si="64"/>
        <v>MSCI</v>
      </c>
      <c r="V281" s="258">
        <f t="shared" si="52"/>
        <v>0</v>
      </c>
      <c r="X281" s="621">
        <f t="shared" si="65"/>
        <v>0</v>
      </c>
    </row>
    <row r="282" spans="2:25" s="79" customFormat="1" ht="14.25" x14ac:dyDescent="0.2">
      <c r="C282" s="320"/>
      <c r="D282" s="690" t="s">
        <v>1187</v>
      </c>
      <c r="E282" s="529"/>
      <c r="H282" s="258">
        <f>'Maths Acute Treatment'!C98</f>
        <v>2823998.3340278277</v>
      </c>
      <c r="I282" s="258">
        <f>'Maths Acute Treatment'!D98</f>
        <v>3078158.1840903317</v>
      </c>
      <c r="J282" s="258">
        <f>'Maths Acute Treatment'!E98</f>
        <v>3355192.4206584617</v>
      </c>
      <c r="K282" s="258">
        <f>'Maths Acute Treatment'!F98</f>
        <v>1466286.7204700653</v>
      </c>
      <c r="L282" s="258">
        <f>'Maths Acute Treatment'!G98</f>
        <v>648463.98107450746</v>
      </c>
      <c r="M282" s="258">
        <f>'Maths Acute Treatment'!H98</f>
        <v>2823998.3340278277</v>
      </c>
      <c r="P282" s="260" t="s">
        <v>864</v>
      </c>
      <c r="Q282" s="283">
        <f t="shared" si="62"/>
        <v>0</v>
      </c>
      <c r="R282" s="356" t="s">
        <v>987</v>
      </c>
      <c r="S282" s="359" t="str">
        <f t="shared" si="64"/>
        <v>MSCI</v>
      </c>
      <c r="V282" s="258">
        <f t="shared" si="52"/>
        <v>0</v>
      </c>
      <c r="X282" s="621">
        <f t="shared" si="65"/>
        <v>0</v>
      </c>
    </row>
    <row r="283" spans="2:25" x14ac:dyDescent="0.2">
      <c r="B283" s="5"/>
      <c r="C283" s="4"/>
      <c r="D283" s="73" t="s">
        <v>1153</v>
      </c>
      <c r="H283" s="79"/>
      <c r="I283" s="79"/>
      <c r="J283" s="79"/>
      <c r="K283" s="79"/>
      <c r="L283" s="79"/>
      <c r="M283" s="79"/>
      <c r="Q283" s="283">
        <f t="shared" si="62"/>
        <v>0</v>
      </c>
      <c r="R283" s="356"/>
      <c r="S283" s="359" t="str">
        <f t="shared" si="64"/>
        <v/>
      </c>
      <c r="V283" s="79">
        <f t="shared" si="52"/>
        <v>0</v>
      </c>
    </row>
    <row r="284" spans="2:25" x14ac:dyDescent="0.2">
      <c r="B284" s="5"/>
      <c r="C284" s="4"/>
      <c r="D284" s="527" t="s">
        <v>1104</v>
      </c>
      <c r="E284" s="523"/>
      <c r="H284" s="258">
        <f>'Acute Treat'!$E$6*GenAssumptions!D100*'Acute Prevalence'!C26+'Acute Treat'!$F$6*GenAssumptions!D101*'Acute Prevalence'!C26+'Acute Treat'!$D$6*GenAssumptions!D99*'Acute Prevalence'!C26*'Acute Treat'!$G$6</f>
        <v>996763760.00179482</v>
      </c>
      <c r="I284" s="258">
        <f>'Acute Treat'!$E$6*GenAssumptions!E100*'Acute Prevalence'!D26+'Acute Treat'!$F$6*GenAssumptions!E101*'Acute Prevalence'!D26+'Acute Treat'!$D$6*GenAssumptions!E99*'Acute Prevalence'!D26*'Acute Treat'!$G$6</f>
        <v>1052582530.5618954</v>
      </c>
      <c r="J284" s="258">
        <f>'Acute Treat'!$E$6*GenAssumptions!F100*'Acute Prevalence'!E26+'Acute Treat'!$F$6*GenAssumptions!F101*'Acute Prevalence'!E26+'Acute Treat'!$D$6*GenAssumptions!F99*'Acute Prevalence'!E26*'Acute Treat'!$G$6</f>
        <v>1111527152.2733617</v>
      </c>
      <c r="K284" s="258">
        <f>'Acute Treat'!$E$6*GenAssumptions!G100*'Acute Prevalence'!F26+'Acute Treat'!$F$6*GenAssumptions!G101*'Acute Prevalence'!F26+'Acute Treat'!$D$6*GenAssumptions!G99*'Acute Prevalence'!F26*'Acute Treat'!$G$6</f>
        <v>517543316.90835953</v>
      </c>
      <c r="L284" s="258">
        <f>'Acute Treat'!$E$6*GenAssumptions!H100*'Acute Prevalence'!G26+'Acute Treat'!$F$6*GenAssumptions!H101*'Acute Prevalence'!G26+'Acute Treat'!$D$6*GenAssumptions!H99*'Acute Prevalence'!G26*'Acute Treat'!$G$6</f>
        <v>457766131.24247658</v>
      </c>
      <c r="M284" s="258">
        <f>'Acute Treat'!$E$6*GenAssumptions!I100*'Acute Prevalence'!H26+'Acute Treat'!$F$6*GenAssumptions!I101*'Acute Prevalence'!H26+'Acute Treat'!$D$6*GenAssumptions!I99*'Acute Prevalence'!H26*'Acute Treat'!$G$6</f>
        <v>996763760.00179482</v>
      </c>
      <c r="P284" s="260" t="s">
        <v>866</v>
      </c>
      <c r="Q284" s="283">
        <f t="shared" si="62"/>
        <v>0</v>
      </c>
      <c r="R284" s="356" t="s">
        <v>987</v>
      </c>
      <c r="S284" s="359" t="str">
        <f>CONCATENATE(P284,R284)</f>
        <v>GSCI</v>
      </c>
      <c r="V284" s="258">
        <f t="shared" si="52"/>
        <v>0</v>
      </c>
      <c r="X284" s="621">
        <f t="shared" si="65"/>
        <v>0</v>
      </c>
    </row>
    <row r="285" spans="2:25" x14ac:dyDescent="0.2">
      <c r="B285" s="5"/>
      <c r="D285" s="689" t="s">
        <v>1241</v>
      </c>
      <c r="E285" s="524"/>
      <c r="H285" s="258">
        <f>'Acute Treat'!$E$7*GenAssumptions!D100*'Acute Prevalence'!C27+'Acute Treat'!$F$7*GenAssumptions!D101*'Acute Prevalence'!C27+'Acute Treat'!$D$7*GenAssumptions!D99*'Acute Prevalence'!C27*'Acute Treat'!$G$7</f>
        <v>398705504.00071794</v>
      </c>
      <c r="I285" s="258">
        <f>'Acute Treat'!$E$7*GenAssumptions!E100*'Acute Prevalence'!D27+'Acute Treat'!$F$7*GenAssumptions!E101*'Acute Prevalence'!D27+'Acute Treat'!$D$7*GenAssumptions!E99*'Acute Prevalence'!D27*'Acute Treat'!$G$7</f>
        <v>421033012.22475815</v>
      </c>
      <c r="J285" s="258">
        <f>'Acute Treat'!$E$7*GenAssumptions!F100*'Acute Prevalence'!E27+'Acute Treat'!$F$7*GenAssumptions!F101*'Acute Prevalence'!E27+'Acute Treat'!$D$7*GenAssumptions!F99*'Acute Prevalence'!E27*'Acute Treat'!$G$7</f>
        <v>444610860.90934467</v>
      </c>
      <c r="K285" s="258">
        <f>'Acute Treat'!$E$7*GenAssumptions!G100*'Acute Prevalence'!F27+'Acute Treat'!$F$7*GenAssumptions!G101*'Acute Prevalence'!F27+'Acute Treat'!$D$7*GenAssumptions!G99*'Acute Prevalence'!F27*'Acute Treat'!$G$7</f>
        <v>207017326.76334381</v>
      </c>
      <c r="L285" s="258">
        <f>'Acute Treat'!$E$7*GenAssumptions!H100*'Acute Prevalence'!G27+'Acute Treat'!$F$7*GenAssumptions!H101*'Acute Prevalence'!G27+'Acute Treat'!$D$7*GenAssumptions!H99*'Acute Prevalence'!G27*'Acute Treat'!$G$7</f>
        <v>205994759.05911449</v>
      </c>
      <c r="M285" s="258">
        <f>'Acute Treat'!$E$7*GenAssumptions!I100*'Acute Prevalence'!H27+'Acute Treat'!$F$7*GenAssumptions!I101*'Acute Prevalence'!H27+'Acute Treat'!$D$7*GenAssumptions!I99*'Acute Prevalence'!H27*'Acute Treat'!$G$7</f>
        <v>398705504.00071794</v>
      </c>
      <c r="P285" s="260" t="s">
        <v>866</v>
      </c>
      <c r="Q285" s="283">
        <f t="shared" si="62"/>
        <v>0</v>
      </c>
      <c r="R285" s="356" t="s">
        <v>987</v>
      </c>
      <c r="S285" s="359" t="str">
        <f>CONCATENATE(P285,R285)</f>
        <v>GSCI</v>
      </c>
      <c r="V285" s="258">
        <f t="shared" si="52"/>
        <v>0</v>
      </c>
      <c r="X285" s="621">
        <f t="shared" si="65"/>
        <v>0</v>
      </c>
    </row>
    <row r="286" spans="2:25" x14ac:dyDescent="0.2">
      <c r="B286" s="5"/>
      <c r="D286" s="691" t="s">
        <v>1203</v>
      </c>
      <c r="E286" s="525"/>
      <c r="H286" s="258">
        <f>'Acute Treat'!$E$8*GenAssumptions!D100*'Acute Prevalence'!C28+'Acute Treat'!$F$8*GenAssumptions!D101*'Acute Prevalence'!C28+'Acute Treat'!$E$8*GenAssumptions!D99*'Acute Prevalence'!C28*'Acute Treat'!$G$8</f>
        <v>66450917.333452977</v>
      </c>
      <c r="I286" s="258">
        <f>'Acute Treat'!$E$8*GenAssumptions!E100*'Acute Prevalence'!D28+'Acute Treat'!$F$8*GenAssumptions!E101*'Acute Prevalence'!D28+'Acute Treat'!$E$8*GenAssumptions!E99*'Acute Prevalence'!D28*'Acute Treat'!$G$8</f>
        <v>70172168.704126343</v>
      </c>
      <c r="J286" s="258">
        <f>'Acute Treat'!$E$8*GenAssumptions!F100*'Acute Prevalence'!E28+'Acute Treat'!$F$8*GenAssumptions!F101*'Acute Prevalence'!E28+'Acute Treat'!$E$8*GenAssumptions!F99*'Acute Prevalence'!E28*'Acute Treat'!$G$8</f>
        <v>74101810.151557416</v>
      </c>
      <c r="K286" s="258">
        <f>'Acute Treat'!$E$8*GenAssumptions!G100*'Acute Prevalence'!F28+'Acute Treat'!$F$8*GenAssumptions!G101*'Acute Prevalence'!F28+'Acute Treat'!$E$8*GenAssumptions!G99*'Acute Prevalence'!F28*'Acute Treat'!$G$8</f>
        <v>34502887.793890625</v>
      </c>
      <c r="L286" s="258">
        <f>'Acute Treat'!$E$8*GenAssumptions!H100*'Acute Prevalence'!G28+'Acute Treat'!$F$8*GenAssumptions!H101*'Acute Prevalence'!G28+'Acute Treat'!$E$8*GenAssumptions!H99*'Acute Prevalence'!G28*'Acute Treat'!$G$8</f>
        <v>15258871.041415883</v>
      </c>
      <c r="M286" s="258">
        <f>'Acute Treat'!$E$8*GenAssumptions!I100*'Acute Prevalence'!H28+'Acute Treat'!$F$8*GenAssumptions!I101*'Acute Prevalence'!H28+'Acute Treat'!$E$8*GenAssumptions!I99*'Acute Prevalence'!H28*'Acute Treat'!$G$8</f>
        <v>66450917.333452977</v>
      </c>
      <c r="P286" s="260" t="s">
        <v>866</v>
      </c>
      <c r="Q286" s="283">
        <f t="shared" si="62"/>
        <v>0</v>
      </c>
      <c r="R286" s="356" t="s">
        <v>987</v>
      </c>
      <c r="S286" s="359" t="str">
        <f>CONCATENATE(P286,R286)</f>
        <v>GSCI</v>
      </c>
      <c r="V286" s="258">
        <f t="shared" si="52"/>
        <v>0</v>
      </c>
      <c r="X286" s="621">
        <f t="shared" si="65"/>
        <v>0</v>
      </c>
    </row>
    <row r="287" spans="2:25" x14ac:dyDescent="0.2">
      <c r="B287" s="5"/>
      <c r="D287" s="691" t="s">
        <v>1204</v>
      </c>
      <c r="E287" s="525"/>
      <c r="H287" s="258">
        <f>'Acute Prevalence'!C28*'Acute Treat'!$E$9*GenAssumptions!D100+'Acute Prevalence'!C28*'Acute Treat'!$F$9*GenAssumptions!D101+'Acute Prevalence'!C28*'Acute Treat'!$D$9*GenAssumptions!D99*'Acute Treat'!$G$9</f>
        <v>218338728.38134551</v>
      </c>
      <c r="I287" s="258">
        <f>'Acute Prevalence'!D28*'Acute Treat'!$E$9*GenAssumptions!E100+'Acute Prevalence'!D28*'Acute Treat'!$F$9*GenAssumptions!E101+'Acute Prevalence'!D28*'Acute Treat'!$D$9*GenAssumptions!E99*'Acute Treat'!$G$9</f>
        <v>230565697.17070085</v>
      </c>
      <c r="J287" s="258">
        <f>'Acute Prevalence'!E28*'Acute Treat'!$E$9*GenAssumptions!F100+'Acute Prevalence'!E28*'Acute Treat'!$F$9*GenAssumptions!F101+'Acute Prevalence'!E28*'Acute Treat'!$D$9*GenAssumptions!F99*'Acute Treat'!$G$9</f>
        <v>243477376.2122601</v>
      </c>
      <c r="K287" s="258">
        <f>'Acute Prevalence'!F28*'Acute Treat'!$E$9*GenAssumptions!G100+'Acute Prevalence'!F28*'Acute Treat'!$F$9*GenAssumptions!G101+'Acute Prevalence'!F28*'Acute Treat'!$D$9*GenAssumptions!G99*'Acute Treat'!$G$9</f>
        <v>113366631.32278347</v>
      </c>
      <c r="L287" s="258">
        <f>'Acute Prevalence'!G28*'Acute Treat'!$E$9*GenAssumptions!H100+'Acute Prevalence'!G28*'Acute Treat'!$F$9*GenAssumptions!H101+'Acute Prevalence'!G28*'Acute Treat'!$D$9*GenAssumptions!H99*'Acute Treat'!$G$9</f>
        <v>50136290.56465219</v>
      </c>
      <c r="M287" s="258">
        <f>'Acute Prevalence'!H28*'Acute Treat'!$E$9*GenAssumptions!I100+'Acute Prevalence'!H28*'Acute Treat'!$F$9*GenAssumptions!I101+'Acute Prevalence'!H28*'Acute Treat'!$D$9*GenAssumptions!I99*'Acute Treat'!$G$9</f>
        <v>218338728.38134551</v>
      </c>
      <c r="P287" s="260" t="s">
        <v>866</v>
      </c>
      <c r="Q287" s="283">
        <f>M287-H287</f>
        <v>0</v>
      </c>
      <c r="R287" s="356" t="s">
        <v>987</v>
      </c>
      <c r="S287" s="359" t="str">
        <f>CONCATENATE(P287,R287)</f>
        <v>GSCI</v>
      </c>
      <c r="V287" s="258">
        <f t="shared" ref="V287:V357" si="66">H287-M287</f>
        <v>0</v>
      </c>
      <c r="X287" s="621">
        <f t="shared" si="65"/>
        <v>0</v>
      </c>
    </row>
    <row r="288" spans="2:25" x14ac:dyDescent="0.2">
      <c r="B288" s="5"/>
      <c r="D288" s="73" t="s">
        <v>1349</v>
      </c>
      <c r="Q288" s="283"/>
      <c r="R288" s="356"/>
      <c r="V288" s="695"/>
      <c r="X288" s="696"/>
    </row>
    <row r="289" spans="1:24" x14ac:dyDescent="0.2">
      <c r="B289" s="5"/>
      <c r="D289" s="526" t="s">
        <v>1144</v>
      </c>
      <c r="E289" s="526"/>
      <c r="H289" s="258">
        <f>(H269+H274+H279)/'Acute Prevalence'!C24</f>
        <v>1384.9586193488369</v>
      </c>
      <c r="I289" s="258">
        <f>(I269+I274+I279)/'Acute Prevalence'!D24</f>
        <v>1480.5047416018606</v>
      </c>
      <c r="J289" s="258">
        <f>(J269+J274+J279)/'Acute Prevalence'!E24</f>
        <v>1582.7294047274233</v>
      </c>
      <c r="K289" s="258">
        <f>(K269+K274+K279)/'Acute Prevalence'!F24</f>
        <v>1384.9586193488371</v>
      </c>
      <c r="L289" s="258">
        <f>(L269+L274+L279)/'Acute Prevalence'!G24</f>
        <v>2397.3527407958659</v>
      </c>
      <c r="M289" s="258">
        <f>(M269+M274+M279)/'Acute Prevalence'!H24</f>
        <v>1384.9586193488369</v>
      </c>
      <c r="Q289" s="283"/>
      <c r="R289" s="356"/>
      <c r="V289" s="695"/>
      <c r="X289" s="696"/>
    </row>
    <row r="290" spans="1:24" x14ac:dyDescent="0.2">
      <c r="B290" s="5"/>
      <c r="D290" s="527" t="s">
        <v>1104</v>
      </c>
      <c r="E290" s="523"/>
      <c r="H290" s="258">
        <f>(H270+H275+H280+H284)/'Acute Prevalence'!C26</f>
        <v>11612.815427932817</v>
      </c>
      <c r="I290" s="258">
        <f>(I270+I275+I280+I284)/'Acute Prevalence'!D26</f>
        <v>13080.82456425039</v>
      </c>
      <c r="J290" s="258">
        <f>(J270+J275+J280+J284)/'Acute Prevalence'!E26</f>
        <v>13902.436165395715</v>
      </c>
      <c r="K290" s="258">
        <f>(K270+K275+K280+K284)/'Acute Prevalence'!F26</f>
        <v>12308.386487364343</v>
      </c>
      <c r="L290" s="258">
        <f>(L270+L275+L280+L284)/'Acute Prevalence'!G26</f>
        <v>12084.103024832042</v>
      </c>
      <c r="M290" s="258">
        <f>(M270+M275+M280+M284)/'Acute Prevalence'!H26</f>
        <v>11612.815427932817</v>
      </c>
      <c r="Q290" s="283"/>
      <c r="R290" s="356"/>
      <c r="V290" s="695"/>
      <c r="X290" s="696"/>
    </row>
    <row r="291" spans="1:24" x14ac:dyDescent="0.2">
      <c r="B291" s="5"/>
      <c r="D291" s="689" t="s">
        <v>1241</v>
      </c>
      <c r="E291" s="524"/>
      <c r="H291" s="258">
        <f>(H271+H276+H281+H285)/'Acute Prevalence'!C27</f>
        <v>13692.183601484141</v>
      </c>
      <c r="I291" s="258">
        <f>(I271+I276+I281+I285)/'Acute Prevalence'!D27</f>
        <v>14502.108427943296</v>
      </c>
      <c r="J291" s="258">
        <f>(J271+J276+J281+J285)/'Acute Prevalence'!E27</f>
        <v>15360.619956737264</v>
      </c>
      <c r="K291" s="258">
        <f>(K271+K276+K281+K285)/'Acute Prevalence'!F27</f>
        <v>13692.183601484143</v>
      </c>
      <c r="L291" s="258">
        <f>(L271+L276+L281+L285)/'Acute Prevalence'!G27</f>
        <v>13692.183601484141</v>
      </c>
      <c r="M291" s="258">
        <f>(M271+M276+M281+M285)/'Acute Prevalence'!H27</f>
        <v>13692.183601484141</v>
      </c>
      <c r="Q291" s="283"/>
      <c r="R291" s="356"/>
      <c r="V291" s="695"/>
      <c r="X291" s="696"/>
    </row>
    <row r="292" spans="1:24" x14ac:dyDescent="0.2">
      <c r="B292" s="5"/>
      <c r="D292" s="691" t="s">
        <v>1389</v>
      </c>
      <c r="E292" s="525"/>
      <c r="H292" s="258">
        <f>(H272+H277+H282+H286+H287)/('Acute Prevalence'!C28)</f>
        <v>65825.868271912143</v>
      </c>
      <c r="I292" s="258">
        <f>(I272+I277+I282+I286+I287)/('Acute Prevalence'!D28)</f>
        <v>69947.908486151675</v>
      </c>
      <c r="J292" s="258">
        <f>(J272+J277+J282+J286+J287)/('Acute Prevalence'!E28)</f>
        <v>74332.181316277434</v>
      </c>
      <c r="K292" s="258">
        <f>(K272+K277+K282+K286+K287)/('Acute Prevalence'!F28)</f>
        <v>65825.868271912143</v>
      </c>
      <c r="L292" s="258">
        <f>(L272+L277+L282+L286+L287)/('Acute Prevalence'!G28)</f>
        <v>65825.868271912157</v>
      </c>
      <c r="M292" s="258">
        <f>(M272+M277+M282+M286+M287)/('Acute Prevalence'!H28)</f>
        <v>65825.868271912143</v>
      </c>
      <c r="Q292" s="283"/>
      <c r="R292" s="356"/>
      <c r="V292" s="695"/>
      <c r="X292" s="696"/>
    </row>
    <row r="293" spans="1:24" x14ac:dyDescent="0.2">
      <c r="B293" s="5"/>
      <c r="Q293" s="283"/>
      <c r="R293" s="356"/>
      <c r="V293" s="695"/>
      <c r="X293" s="696"/>
    </row>
    <row r="294" spans="1:24" x14ac:dyDescent="0.2">
      <c r="B294" s="5"/>
      <c r="Q294" s="283"/>
      <c r="R294" s="356"/>
      <c r="V294" s="695"/>
      <c r="X294" s="696"/>
    </row>
    <row r="295" spans="1:24" x14ac:dyDescent="0.2">
      <c r="B295" s="5"/>
      <c r="C295" s="4"/>
      <c r="V295" s="5">
        <f t="shared" si="66"/>
        <v>0</v>
      </c>
    </row>
    <row r="296" spans="1:24" s="176" customFormat="1" x14ac:dyDescent="0.2">
      <c r="B296" s="218"/>
      <c r="P296" s="260"/>
      <c r="S296" s="359"/>
      <c r="V296" s="176">
        <f t="shared" si="66"/>
        <v>0</v>
      </c>
    </row>
    <row r="297" spans="1:24" x14ac:dyDescent="0.2">
      <c r="A297" s="176"/>
      <c r="V297" s="5">
        <f t="shared" si="66"/>
        <v>0</v>
      </c>
    </row>
    <row r="298" spans="1:24" x14ac:dyDescent="0.2">
      <c r="A298" s="176"/>
      <c r="D298" s="5" t="s">
        <v>806</v>
      </c>
      <c r="V298" s="5">
        <f t="shared" si="66"/>
        <v>0</v>
      </c>
    </row>
    <row r="299" spans="1:24" x14ac:dyDescent="0.2">
      <c r="A299" s="176"/>
      <c r="F299" s="378" t="s">
        <v>1006</v>
      </c>
      <c r="V299" s="5">
        <f t="shared" si="66"/>
        <v>0</v>
      </c>
    </row>
    <row r="300" spans="1:24" x14ac:dyDescent="0.2">
      <c r="A300" s="176"/>
      <c r="F300" s="90" t="s">
        <v>56</v>
      </c>
      <c r="H300" s="400">
        <f>SUM(H323:H327)/2</f>
        <v>955796.12168317114</v>
      </c>
      <c r="I300" s="380">
        <f t="shared" ref="I300:M300" si="67">SUM(I323:I327)/2</f>
        <v>955796.12168317114</v>
      </c>
      <c r="J300" s="380">
        <f t="shared" si="67"/>
        <v>955796.12168317114</v>
      </c>
      <c r="K300" s="380">
        <f t="shared" si="67"/>
        <v>495286.20389292354</v>
      </c>
      <c r="L300" s="380">
        <f t="shared" ref="L300" si="68">SUM(L323:L327)/2</f>
        <v>877285.29738547897</v>
      </c>
      <c r="M300" s="381">
        <f t="shared" si="67"/>
        <v>955796.12168317114</v>
      </c>
      <c r="V300" s="381">
        <f t="shared" si="66"/>
        <v>0</v>
      </c>
    </row>
    <row r="301" spans="1:24" x14ac:dyDescent="0.2">
      <c r="A301" s="176"/>
      <c r="F301" s="90" t="s">
        <v>57</v>
      </c>
      <c r="H301" s="382">
        <f>SUM(H323:H327)/2</f>
        <v>955796.12168317114</v>
      </c>
      <c r="I301" s="184">
        <f t="shared" ref="I301:M301" si="69">SUM(I323:I327)/2</f>
        <v>955796.12168317114</v>
      </c>
      <c r="J301" s="184">
        <f t="shared" si="69"/>
        <v>955796.12168317114</v>
      </c>
      <c r="K301" s="184">
        <f t="shared" si="69"/>
        <v>495286.20389292354</v>
      </c>
      <c r="L301" s="184">
        <f t="shared" ref="L301" si="70">SUM(L323:L327)/2</f>
        <v>877285.29738547897</v>
      </c>
      <c r="M301" s="383">
        <f t="shared" si="69"/>
        <v>955796.12168317114</v>
      </c>
      <c r="V301" s="383">
        <f t="shared" si="66"/>
        <v>0</v>
      </c>
    </row>
    <row r="302" spans="1:24" x14ac:dyDescent="0.2">
      <c r="A302" s="176"/>
      <c r="F302" s="90" t="s">
        <v>58</v>
      </c>
      <c r="H302" s="382">
        <f>SUM(H329:H333)</f>
        <v>960281.9980742475</v>
      </c>
      <c r="I302" s="184">
        <f t="shared" ref="I302:M302" si="71">SUM(I329:I333)</f>
        <v>960281.9980742475</v>
      </c>
      <c r="J302" s="184">
        <f t="shared" si="71"/>
        <v>960281.9980742475</v>
      </c>
      <c r="K302" s="184">
        <f t="shared" si="71"/>
        <v>498428.96034967585</v>
      </c>
      <c r="L302" s="184">
        <f t="shared" ref="L302" si="72">SUM(L329:L333)</f>
        <v>881919.5207346672</v>
      </c>
      <c r="M302" s="383">
        <f t="shared" si="71"/>
        <v>960281.9980742475</v>
      </c>
      <c r="V302" s="383">
        <f t="shared" si="66"/>
        <v>0</v>
      </c>
    </row>
    <row r="303" spans="1:24" x14ac:dyDescent="0.2">
      <c r="A303" s="176"/>
      <c r="F303" s="90" t="s">
        <v>59</v>
      </c>
      <c r="H303" s="382">
        <f>SUM(H335:H339)</f>
        <v>949455.17638671875</v>
      </c>
      <c r="I303" s="184">
        <f t="shared" ref="I303:K303" si="73">SUM(I335:I339)</f>
        <v>949455.17638671875</v>
      </c>
      <c r="J303" s="184">
        <f t="shared" si="73"/>
        <v>949455.17638671875</v>
      </c>
      <c r="K303" s="184">
        <f t="shared" si="73"/>
        <v>493703.70436195022</v>
      </c>
      <c r="L303" s="184">
        <f t="shared" ref="L303" si="74">SUM(L335:L339)</f>
        <v>872531.92778005695</v>
      </c>
      <c r="M303" s="383">
        <f>SUM(M335:M339)</f>
        <v>949455.17638671875</v>
      </c>
      <c r="V303" s="383">
        <f t="shared" si="66"/>
        <v>0</v>
      </c>
    </row>
    <row r="304" spans="1:24" x14ac:dyDescent="0.2">
      <c r="A304" s="176"/>
      <c r="F304" s="90" t="s">
        <v>60</v>
      </c>
      <c r="H304" s="384">
        <f>SUM(H341:H345)</f>
        <v>925164.67741933372</v>
      </c>
      <c r="I304" s="385">
        <f t="shared" ref="I304:M304" si="75">SUM(I341:I345)</f>
        <v>925164.67741933372</v>
      </c>
      <c r="J304" s="385">
        <f t="shared" si="75"/>
        <v>925164.67741933372</v>
      </c>
      <c r="K304" s="385">
        <f t="shared" si="75"/>
        <v>481786.91278042912</v>
      </c>
      <c r="L304" s="385">
        <f t="shared" ref="L304" si="76">SUM(L341:L345)</f>
        <v>850655.39711885736</v>
      </c>
      <c r="M304" s="386">
        <f t="shared" si="75"/>
        <v>925164.67741933372</v>
      </c>
      <c r="V304" s="386">
        <f t="shared" si="66"/>
        <v>0</v>
      </c>
    </row>
    <row r="305" spans="1:22" x14ac:dyDescent="0.2">
      <c r="A305" s="176"/>
      <c r="F305" s="90" t="s">
        <v>1016</v>
      </c>
      <c r="H305" s="399">
        <f>SUM(H347:H351)</f>
        <v>884503.80064956343</v>
      </c>
      <c r="I305" s="399">
        <f>SUM(I347:I351)</f>
        <v>884503.80064956343</v>
      </c>
      <c r="J305" s="399">
        <f t="shared" ref="J305:M305" si="77">SUM(J347:J351)</f>
        <v>884503.80064956343</v>
      </c>
      <c r="K305" s="399">
        <f t="shared" si="77"/>
        <v>461114.74368759023</v>
      </c>
      <c r="L305" s="399">
        <f t="shared" ref="L305" si="78">SUM(L347:L351)</f>
        <v>813582.47678394814</v>
      </c>
      <c r="M305" s="399">
        <f t="shared" si="77"/>
        <v>884503.80064956343</v>
      </c>
      <c r="V305" s="399">
        <f t="shared" si="66"/>
        <v>0</v>
      </c>
    </row>
    <row r="306" spans="1:22" x14ac:dyDescent="0.2">
      <c r="A306" s="176"/>
      <c r="F306" s="378" t="s">
        <v>1007</v>
      </c>
      <c r="V306" s="5">
        <f t="shared" si="66"/>
        <v>0</v>
      </c>
    </row>
    <row r="307" spans="1:22" x14ac:dyDescent="0.2">
      <c r="A307" s="176"/>
      <c r="F307" s="90" t="s">
        <v>56</v>
      </c>
      <c r="H307" s="379">
        <f>SUM(H323:H325)/2</f>
        <v>685288.8805784625</v>
      </c>
      <c r="I307" s="380">
        <f t="shared" ref="I307:M307" si="79">SUM(I323:I325)/2</f>
        <v>685288.8805784625</v>
      </c>
      <c r="J307" s="380">
        <f t="shared" si="79"/>
        <v>685288.8805784625</v>
      </c>
      <c r="K307" s="380">
        <f t="shared" si="79"/>
        <v>454528.33915918431</v>
      </c>
      <c r="L307" s="380">
        <f t="shared" ref="L307" si="80">SUM(L323:L325)/2</f>
        <v>685288.8805784625</v>
      </c>
      <c r="M307" s="381">
        <f t="shared" si="79"/>
        <v>685288.8805784625</v>
      </c>
      <c r="V307" s="381">
        <f t="shared" si="66"/>
        <v>0</v>
      </c>
    </row>
    <row r="308" spans="1:22" x14ac:dyDescent="0.2">
      <c r="A308" s="176"/>
      <c r="F308" s="90" t="s">
        <v>57</v>
      </c>
      <c r="H308" s="382">
        <f>SUM(H323:H325)/2</f>
        <v>685288.8805784625</v>
      </c>
      <c r="I308" s="184">
        <f t="shared" ref="I308:M308" si="81">SUM(I323:I325)/2</f>
        <v>685288.8805784625</v>
      </c>
      <c r="J308" s="184">
        <f t="shared" si="81"/>
        <v>685288.8805784625</v>
      </c>
      <c r="K308" s="184">
        <f t="shared" si="81"/>
        <v>454528.33915918431</v>
      </c>
      <c r="L308" s="184">
        <f t="shared" ref="L308" si="82">SUM(L323:L325)/2</f>
        <v>685288.8805784625</v>
      </c>
      <c r="M308" s="383">
        <f t="shared" si="81"/>
        <v>685288.8805784625</v>
      </c>
      <c r="V308" s="383">
        <f t="shared" si="66"/>
        <v>0</v>
      </c>
    </row>
    <row r="309" spans="1:22" x14ac:dyDescent="0.2">
      <c r="A309" s="176"/>
      <c r="F309" s="90" t="s">
        <v>58</v>
      </c>
      <c r="H309" s="382">
        <f>SUM(H329:H331)</f>
        <v>690034.57473468268</v>
      </c>
      <c r="I309" s="184">
        <f t="shared" ref="I309:M309" si="83">SUM(I329:I331)</f>
        <v>690034.57473468268</v>
      </c>
      <c r="J309" s="184">
        <f t="shared" si="83"/>
        <v>690034.57473468268</v>
      </c>
      <c r="K309" s="184">
        <f t="shared" si="83"/>
        <v>457675.99344647327</v>
      </c>
      <c r="L309" s="184">
        <f t="shared" ref="L309" si="84">SUM(L329:L331)</f>
        <v>690034.57473468268</v>
      </c>
      <c r="M309" s="383">
        <f t="shared" si="83"/>
        <v>690034.57473468268</v>
      </c>
      <c r="V309" s="383">
        <f t="shared" si="66"/>
        <v>0</v>
      </c>
    </row>
    <row r="310" spans="1:22" x14ac:dyDescent="0.2">
      <c r="A310" s="176"/>
      <c r="F310" s="90" t="s">
        <v>59</v>
      </c>
      <c r="H310" s="382">
        <f>SUM(H335:H337)</f>
        <v>683937.87770596182</v>
      </c>
      <c r="I310" s="184">
        <f t="shared" ref="I310:M310" si="85">SUM(I335:I337)</f>
        <v>683937.87770596182</v>
      </c>
      <c r="J310" s="184">
        <f t="shared" si="85"/>
        <v>683937.87770596182</v>
      </c>
      <c r="K310" s="184">
        <f t="shared" si="85"/>
        <v>453632.2658253829</v>
      </c>
      <c r="L310" s="184">
        <f t="shared" ref="L310" si="86">SUM(L335:L337)</f>
        <v>683937.87770596182</v>
      </c>
      <c r="M310" s="383">
        <f t="shared" si="85"/>
        <v>683937.87770596182</v>
      </c>
      <c r="V310" s="383">
        <f t="shared" si="66"/>
        <v>0</v>
      </c>
    </row>
    <row r="311" spans="1:22" x14ac:dyDescent="0.2">
      <c r="A311" s="176"/>
      <c r="F311" s="90" t="s">
        <v>60</v>
      </c>
      <c r="H311" s="384">
        <f>SUM(H341:H343)</f>
        <v>667780.96005928563</v>
      </c>
      <c r="I311" s="385">
        <f t="shared" ref="I311:M311" si="87">SUM(I341:I343)</f>
        <v>667780.96005928563</v>
      </c>
      <c r="J311" s="385">
        <f t="shared" si="87"/>
        <v>667780.96005928563</v>
      </c>
      <c r="K311" s="385">
        <f t="shared" si="87"/>
        <v>442915.94289646507</v>
      </c>
      <c r="L311" s="385">
        <f t="shared" ref="L311" si="88">SUM(L341:L343)</f>
        <v>667780.96005928563</v>
      </c>
      <c r="M311" s="386">
        <f t="shared" si="87"/>
        <v>667780.96005928563</v>
      </c>
      <c r="V311" s="386">
        <f t="shared" si="66"/>
        <v>0</v>
      </c>
    </row>
    <row r="312" spans="1:22" x14ac:dyDescent="0.2">
      <c r="A312" s="176"/>
      <c r="F312" s="90" t="s">
        <v>1016</v>
      </c>
      <c r="H312" s="399">
        <f>SUM(H347:H349)</f>
        <v>639375.97641011328</v>
      </c>
      <c r="I312" s="399">
        <f t="shared" ref="I312:M312" si="89">SUM(I347:I349)</f>
        <v>639375.97641011328</v>
      </c>
      <c r="J312" s="399">
        <f t="shared" si="89"/>
        <v>639375.97641011328</v>
      </c>
      <c r="K312" s="399">
        <f t="shared" si="89"/>
        <v>424075.9027209935</v>
      </c>
      <c r="L312" s="399">
        <f t="shared" ref="L312" si="90">SUM(L347:L349)</f>
        <v>639375.97641011328</v>
      </c>
      <c r="M312" s="399">
        <f t="shared" si="89"/>
        <v>639375.97641011328</v>
      </c>
      <c r="V312" s="399">
        <f t="shared" si="66"/>
        <v>0</v>
      </c>
    </row>
    <row r="313" spans="1:22" x14ac:dyDescent="0.2">
      <c r="A313" s="176"/>
      <c r="V313" s="5">
        <f t="shared" si="66"/>
        <v>0</v>
      </c>
    </row>
    <row r="314" spans="1:22" x14ac:dyDescent="0.2">
      <c r="A314" s="176"/>
      <c r="D314" s="219">
        <f>H315*5000</f>
        <v>71684709.126237839</v>
      </c>
      <c r="E314" s="378" t="s">
        <v>1005</v>
      </c>
      <c r="F314" s="72" t="s">
        <v>41</v>
      </c>
      <c r="H314" s="435">
        <f t="shared" ref="H314:M314" si="91">H30*H300</f>
        <v>716847.09126237838</v>
      </c>
      <c r="I314" s="184">
        <f t="shared" si="91"/>
        <v>716847.09126237838</v>
      </c>
      <c r="J314" s="184">
        <f t="shared" si="91"/>
        <v>716847.09126237838</v>
      </c>
      <c r="K314" s="184">
        <f t="shared" si="91"/>
        <v>371464.65291969269</v>
      </c>
      <c r="L314" s="184">
        <f t="shared" si="91"/>
        <v>657963.97303910926</v>
      </c>
      <c r="M314" s="184">
        <f t="shared" si="91"/>
        <v>716847.09126237838</v>
      </c>
      <c r="V314" s="184">
        <f t="shared" si="66"/>
        <v>0</v>
      </c>
    </row>
    <row r="315" spans="1:22" x14ac:dyDescent="0.2">
      <c r="A315" s="176"/>
      <c r="F315" s="72" t="s">
        <v>42</v>
      </c>
      <c r="H315" s="435">
        <f t="shared" ref="H315:M315" si="92">H30*H300*H38</f>
        <v>14336.941825247568</v>
      </c>
      <c r="I315" s="184">
        <f t="shared" si="92"/>
        <v>14336.941825247568</v>
      </c>
      <c r="J315" s="184">
        <f t="shared" si="92"/>
        <v>14336.941825247568</v>
      </c>
      <c r="K315" s="184">
        <f t="shared" si="92"/>
        <v>7429.2930583938542</v>
      </c>
      <c r="L315" s="184">
        <f t="shared" si="92"/>
        <v>13159.279460782185</v>
      </c>
      <c r="M315" s="184">
        <f t="shared" si="92"/>
        <v>14336.941825247568</v>
      </c>
      <c r="V315" s="184">
        <f t="shared" si="66"/>
        <v>0</v>
      </c>
    </row>
    <row r="316" spans="1:22" x14ac:dyDescent="0.2">
      <c r="A316" s="176"/>
      <c r="F316" s="72" t="s">
        <v>43</v>
      </c>
      <c r="H316" s="435">
        <f t="shared" ref="H316:M316" si="93">H30*H300</f>
        <v>716847.09126237838</v>
      </c>
      <c r="I316" s="184">
        <f t="shared" si="93"/>
        <v>716847.09126237838</v>
      </c>
      <c r="J316" s="184">
        <f t="shared" si="93"/>
        <v>716847.09126237838</v>
      </c>
      <c r="K316" s="184">
        <f t="shared" si="93"/>
        <v>371464.65291969269</v>
      </c>
      <c r="L316" s="184">
        <f t="shared" si="93"/>
        <v>657963.97303910926</v>
      </c>
      <c r="M316" s="184">
        <f t="shared" si="93"/>
        <v>716847.09126237838</v>
      </c>
      <c r="V316" s="184">
        <f t="shared" si="66"/>
        <v>0</v>
      </c>
    </row>
    <row r="317" spans="1:22" x14ac:dyDescent="0.2">
      <c r="A317" s="176"/>
      <c r="F317" s="72" t="s">
        <v>44</v>
      </c>
      <c r="H317" s="184">
        <f>H300</f>
        <v>955796.12168317114</v>
      </c>
      <c r="I317" s="184">
        <f t="shared" ref="I317:M317" si="94">I300</f>
        <v>955796.12168317114</v>
      </c>
      <c r="J317" s="184">
        <f t="shared" si="94"/>
        <v>955796.12168317114</v>
      </c>
      <c r="K317" s="184">
        <f t="shared" si="94"/>
        <v>495286.20389292354</v>
      </c>
      <c r="L317" s="184">
        <f t="shared" ref="L317" si="95">L300</f>
        <v>877285.29738547897</v>
      </c>
      <c r="M317" s="184">
        <f t="shared" si="94"/>
        <v>955796.12168317114</v>
      </c>
      <c r="V317" s="184">
        <f t="shared" si="66"/>
        <v>0</v>
      </c>
    </row>
    <row r="318" spans="1:22" x14ac:dyDescent="0.2">
      <c r="A318" s="176"/>
      <c r="F318" s="72" t="s">
        <v>45</v>
      </c>
      <c r="H318" s="184">
        <f>H300</f>
        <v>955796.12168317114</v>
      </c>
      <c r="I318" s="184">
        <f t="shared" ref="I318:M318" si="96">I300</f>
        <v>955796.12168317114</v>
      </c>
      <c r="J318" s="184">
        <f t="shared" si="96"/>
        <v>955796.12168317114</v>
      </c>
      <c r="K318" s="184">
        <f t="shared" si="96"/>
        <v>495286.20389292354</v>
      </c>
      <c r="L318" s="184">
        <f t="shared" ref="L318" si="97">L300</f>
        <v>877285.29738547897</v>
      </c>
      <c r="M318" s="184">
        <f t="shared" si="96"/>
        <v>955796.12168317114</v>
      </c>
      <c r="V318" s="184">
        <f t="shared" si="66"/>
        <v>0</v>
      </c>
    </row>
    <row r="319" spans="1:22" x14ac:dyDescent="0.2">
      <c r="A319" s="176"/>
      <c r="V319" s="5">
        <f t="shared" si="66"/>
        <v>0</v>
      </c>
    </row>
    <row r="320" spans="1:22" x14ac:dyDescent="0.2">
      <c r="A320" s="176"/>
      <c r="V320" s="5">
        <f t="shared" si="66"/>
        <v>0</v>
      </c>
    </row>
    <row r="321" spans="1:22" x14ac:dyDescent="0.2">
      <c r="A321" s="176"/>
      <c r="E321" s="5" t="str">
        <f>G1</f>
        <v>South Africa</v>
      </c>
      <c r="F321" s="25"/>
      <c r="G321" s="25">
        <f>VLOOKUP(E321,Lists!$D$2:$E$11,2,FALSE)</f>
        <v>10</v>
      </c>
      <c r="H321" s="105"/>
      <c r="I321" s="105"/>
      <c r="J321" s="105"/>
      <c r="K321" s="105"/>
      <c r="L321" s="105"/>
      <c r="M321" s="105"/>
      <c r="V321" s="105">
        <f t="shared" si="66"/>
        <v>0</v>
      </c>
    </row>
    <row r="322" spans="1:22" x14ac:dyDescent="0.2">
      <c r="A322" s="176"/>
      <c r="D322" s="5" t="s">
        <v>1368</v>
      </c>
      <c r="E322" s="178" t="s">
        <v>438</v>
      </c>
      <c r="F322" s="179"/>
      <c r="G322" s="179"/>
      <c r="H322" s="183">
        <f>IF(H189="No",0,1)</f>
        <v>1</v>
      </c>
      <c r="I322" s="183">
        <f>IF(J189="No",0,1)</f>
        <v>1</v>
      </c>
      <c r="J322" s="183">
        <f>IF(K189="No",0,1)</f>
        <v>1</v>
      </c>
      <c r="K322" s="183">
        <f>IF(M189="No",0,1)</f>
        <v>1</v>
      </c>
      <c r="L322" s="183">
        <f>IF(N189="No",0,1)</f>
        <v>1</v>
      </c>
      <c r="M322" s="185">
        <f>IF(N189="No",0,1)</f>
        <v>1</v>
      </c>
      <c r="V322" s="185">
        <f t="shared" si="66"/>
        <v>0</v>
      </c>
    </row>
    <row r="323" spans="1:22" x14ac:dyDescent="0.2">
      <c r="A323" s="176"/>
      <c r="E323" s="180" t="s">
        <v>428</v>
      </c>
      <c r="F323" s="25"/>
      <c r="G323" s="25">
        <v>1</v>
      </c>
      <c r="H323" s="184">
        <f>INDEX('H&amp;S Demand'!$K$4:$AN$13,$G$321,$G323)*H32</f>
        <v>459032.97289739019</v>
      </c>
      <c r="I323" s="184">
        <f>INDEX('H&amp;S Demand'!$K$4:$AN$13,$G$321,$G323)*I32</f>
        <v>459032.97289739019</v>
      </c>
      <c r="J323" s="184">
        <f>INDEX('H&amp;S Demand'!$K$4:$AN$13,$G$321,$G323)*J32</f>
        <v>459032.97289739019</v>
      </c>
      <c r="K323" s="184">
        <f>INDEX('H&amp;S Demand'!$K$4:$AN$13,$G$321,$G323)*K32</f>
        <v>304460.64528908534</v>
      </c>
      <c r="L323" s="184">
        <f>INDEX('H&amp;S Demand'!$K$4:$AN$13,$G$321,$G323)*L32</f>
        <v>459032.97289739019</v>
      </c>
      <c r="M323" s="184">
        <f>INDEX('H&amp;S Demand'!$K$4:$AN$13,$G$321,$G323)*M32</f>
        <v>459032.97289739019</v>
      </c>
      <c r="V323" s="184">
        <f t="shared" si="66"/>
        <v>0</v>
      </c>
    </row>
    <row r="324" spans="1:22" x14ac:dyDescent="0.2">
      <c r="A324" s="176"/>
      <c r="E324" s="180" t="s">
        <v>429</v>
      </c>
      <c r="F324" s="25"/>
      <c r="G324" s="25">
        <v>2</v>
      </c>
      <c r="H324" s="184">
        <f>INDEX('H&amp;S Demand'!$K$4:$AN$13,$G$321,$G324)*H33</f>
        <v>457705.33824018296</v>
      </c>
      <c r="I324" s="184">
        <f>INDEX('H&amp;S Demand'!$K$4:$AN$13,$G$321,$G324)*I33</f>
        <v>457705.33824018296</v>
      </c>
      <c r="J324" s="184">
        <f>INDEX('H&amp;S Demand'!$K$4:$AN$13,$G$321,$G324)*J33</f>
        <v>457705.33824018296</v>
      </c>
      <c r="K324" s="184">
        <f>INDEX('H&amp;S Demand'!$K$4:$AN$13,$G$321,$G324)*K33</f>
        <v>303580.071281754</v>
      </c>
      <c r="L324" s="184">
        <f>INDEX('H&amp;S Demand'!$K$4:$AN$13,$G$321,$G324)*L33</f>
        <v>457705.33824018296</v>
      </c>
      <c r="M324" s="184">
        <f>INDEX('H&amp;S Demand'!$K$4:$AN$13,$G$321,$G324)*M33</f>
        <v>457705.33824018296</v>
      </c>
      <c r="V324" s="184">
        <f t="shared" si="66"/>
        <v>0</v>
      </c>
    </row>
    <row r="325" spans="1:22" x14ac:dyDescent="0.2">
      <c r="A325" s="176"/>
      <c r="E325" s="180" t="s">
        <v>430</v>
      </c>
      <c r="F325" s="25"/>
      <c r="G325" s="25">
        <v>3</v>
      </c>
      <c r="H325" s="184">
        <f>INDEX('H&amp;S Demand'!$K$4:$AN$13,$G$321,$G325)*H34</f>
        <v>453839.45001935191</v>
      </c>
      <c r="I325" s="184">
        <f>INDEX('H&amp;S Demand'!$K$4:$AN$13,$G$321,$G325)*I34</f>
        <v>453839.45001935191</v>
      </c>
      <c r="J325" s="184">
        <f>INDEX('H&amp;S Demand'!$K$4:$AN$13,$G$321,$G325)*J34</f>
        <v>453839.45001935191</v>
      </c>
      <c r="K325" s="184">
        <f>INDEX('H&amp;S Demand'!$K$4:$AN$13,$G$321,$G325)*K34</f>
        <v>301015.96174752933</v>
      </c>
      <c r="L325" s="184">
        <f>INDEX('H&amp;S Demand'!$K$4:$AN$13,$G$321,$G325)*L34</f>
        <v>453839.45001935191</v>
      </c>
      <c r="M325" s="184">
        <f>INDEX('H&amp;S Demand'!$K$4:$AN$13,$G$321,$G325)*M34</f>
        <v>453839.45001935191</v>
      </c>
      <c r="V325" s="184">
        <f t="shared" si="66"/>
        <v>0</v>
      </c>
    </row>
    <row r="326" spans="1:22" x14ac:dyDescent="0.2">
      <c r="A326" s="176"/>
      <c r="E326" s="180" t="s">
        <v>431</v>
      </c>
      <c r="F326" s="25"/>
      <c r="G326" s="25">
        <v>4</v>
      </c>
      <c r="H326" s="184">
        <f>INDEX('H&amp;S Demand'!$K$4:$AN$13,$G$321,$G326)*H35</f>
        <v>387224.45260128513</v>
      </c>
      <c r="I326" s="184">
        <f>INDEX('H&amp;S Demand'!$K$4:$AN$13,$G$321,$G326)*I35</f>
        <v>387224.45260128513</v>
      </c>
      <c r="J326" s="184">
        <f>INDEX('H&amp;S Demand'!$K$4:$AN$13,$G$321,$G326)*J35</f>
        <v>387224.45260128513</v>
      </c>
      <c r="K326" s="184">
        <f>INDEX('H&amp;S Demand'!$K$4:$AN$13,$G$321,$G326)*K35</f>
        <v>68333.726929638549</v>
      </c>
      <c r="L326" s="184">
        <f>INDEX('H&amp;S Demand'!$K$4:$AN$13,$G$321,$G326)*L35</f>
        <v>296112.8166951004</v>
      </c>
      <c r="M326" s="184">
        <f>INDEX('H&amp;S Demand'!$K$4:$AN$13,$G$321,$G326)*M35</f>
        <v>387224.45260128513</v>
      </c>
      <c r="V326" s="184">
        <f t="shared" si="66"/>
        <v>0</v>
      </c>
    </row>
    <row r="327" spans="1:22" x14ac:dyDescent="0.2">
      <c r="A327" s="176"/>
      <c r="E327" s="181" t="s">
        <v>432</v>
      </c>
      <c r="F327" s="182"/>
      <c r="G327" s="25">
        <v>5</v>
      </c>
      <c r="H327" s="184">
        <f>INDEX('H&amp;S Demand'!$K$4:$AN$13,$G$321,$G327)*H36</f>
        <v>153790.02960813203</v>
      </c>
      <c r="I327" s="184">
        <f>INDEX('H&amp;S Demand'!$K$4:$AN$13,$G$321,$G327)*I36</f>
        <v>153790.02960813203</v>
      </c>
      <c r="J327" s="184">
        <f>INDEX('H&amp;S Demand'!$K$4:$AN$13,$G$321,$G327)*J36</f>
        <v>153790.02960813203</v>
      </c>
      <c r="K327" s="184">
        <f>INDEX('H&amp;S Demand'!$K$4:$AN$13,$G$321,$G327)*K36</f>
        <v>13182.002537839888</v>
      </c>
      <c r="L327" s="184">
        <f>INDEX('H&amp;S Demand'!$K$4:$AN$13,$G$321,$G327)*L36</f>
        <v>87880.016918932597</v>
      </c>
      <c r="M327" s="184">
        <f>INDEX('H&amp;S Demand'!$K$4:$AN$13,$G$321,$G327)*M36</f>
        <v>153790.02960813203</v>
      </c>
      <c r="V327" s="184">
        <f t="shared" si="66"/>
        <v>0</v>
      </c>
    </row>
    <row r="328" spans="1:22" x14ac:dyDescent="0.2">
      <c r="A328" s="176"/>
      <c r="E328" s="178" t="s">
        <v>439</v>
      </c>
      <c r="F328" s="179"/>
      <c r="G328" s="179">
        <f>G322+5</f>
        <v>5</v>
      </c>
      <c r="H328" s="183">
        <f>IF(I195="No",0,1)</f>
        <v>1</v>
      </c>
      <c r="I328" s="183">
        <f>IF(J195="No",0,1)</f>
        <v>1</v>
      </c>
      <c r="J328" s="183">
        <f>IF(K195="No",0,1)</f>
        <v>1</v>
      </c>
      <c r="K328" s="183">
        <f>IF(M195="No",0,1)</f>
        <v>1</v>
      </c>
      <c r="L328" s="183">
        <f>IF(N195="No",0,1)</f>
        <v>1</v>
      </c>
      <c r="M328" s="185">
        <f>IF(N195="No",0,1)</f>
        <v>1</v>
      </c>
      <c r="V328" s="185">
        <f t="shared" si="66"/>
        <v>0</v>
      </c>
    </row>
    <row r="329" spans="1:22" x14ac:dyDescent="0.2">
      <c r="A329" s="176"/>
      <c r="E329" s="180" t="s">
        <v>428</v>
      </c>
      <c r="F329" s="25"/>
      <c r="G329" s="25">
        <v>6</v>
      </c>
      <c r="H329" s="184">
        <f>INDEX('H&amp;S Demand'!$K$4:$AN$13,$G$321,$G329)*H32</f>
        <v>231546.87378405558</v>
      </c>
      <c r="I329" s="184">
        <f>INDEX('H&amp;S Demand'!$K$4:$AN$13,$G$321,$G329)*I32</f>
        <v>231546.87378405558</v>
      </c>
      <c r="J329" s="184">
        <f>INDEX('H&amp;S Demand'!$K$4:$AN$13,$G$321,$G329)*J32</f>
        <v>231546.87378405558</v>
      </c>
      <c r="K329" s="184">
        <f>INDEX('H&amp;S Demand'!$K$4:$AN$13,$G$321,$G329)*K32</f>
        <v>153577.00812207771</v>
      </c>
      <c r="L329" s="184">
        <f>INDEX('H&amp;S Demand'!$K$4:$AN$13,$G$321,$G329)*L32</f>
        <v>231546.87378405558</v>
      </c>
      <c r="M329" s="184">
        <f>INDEX('H&amp;S Demand'!$K$4:$AN$13,$G$321,$G329)*M32</f>
        <v>231546.87378405558</v>
      </c>
      <c r="V329" s="184">
        <f t="shared" si="66"/>
        <v>0</v>
      </c>
    </row>
    <row r="330" spans="1:22" x14ac:dyDescent="0.2">
      <c r="A330" s="176"/>
      <c r="E330" s="180" t="s">
        <v>429</v>
      </c>
      <c r="F330" s="25"/>
      <c r="G330" s="25">
        <v>7</v>
      </c>
      <c r="H330" s="184">
        <f>INDEX('H&amp;S Demand'!$K$4:$AN$13,$G$321,$G330)*H33</f>
        <v>230718.26259408487</v>
      </c>
      <c r="I330" s="184">
        <f>INDEX('H&amp;S Demand'!$K$4:$AN$13,$G$321,$G330)*I33</f>
        <v>230718.26259408487</v>
      </c>
      <c r="J330" s="184">
        <f>INDEX('H&amp;S Demand'!$K$4:$AN$13,$G$321,$G330)*J33</f>
        <v>230718.26259408487</v>
      </c>
      <c r="K330" s="184">
        <f>INDEX('H&amp;S Demand'!$K$4:$AN$13,$G$321,$G330)*K33</f>
        <v>153027.41906750528</v>
      </c>
      <c r="L330" s="184">
        <f>INDEX('H&amp;S Demand'!$K$4:$AN$13,$G$321,$G330)*L33</f>
        <v>230718.26259408487</v>
      </c>
      <c r="M330" s="184">
        <f>INDEX('H&amp;S Demand'!$K$4:$AN$13,$G$321,$G330)*M33</f>
        <v>230718.26259408487</v>
      </c>
      <c r="V330" s="184">
        <f t="shared" si="66"/>
        <v>0</v>
      </c>
    </row>
    <row r="331" spans="1:22" x14ac:dyDescent="0.2">
      <c r="A331" s="176"/>
      <c r="E331" s="180" t="s">
        <v>430</v>
      </c>
      <c r="F331" s="25"/>
      <c r="G331" s="25">
        <v>8</v>
      </c>
      <c r="H331" s="184">
        <f>INDEX('H&amp;S Demand'!$K$4:$AN$13,$G$321,$G331)*H34</f>
        <v>227769.43835654232</v>
      </c>
      <c r="I331" s="184">
        <f>INDEX('H&amp;S Demand'!$K$4:$AN$13,$G$321,$G331)*I34</f>
        <v>227769.43835654232</v>
      </c>
      <c r="J331" s="184">
        <f>INDEX('H&amp;S Demand'!$K$4:$AN$13,$G$321,$G331)*J34</f>
        <v>227769.43835654232</v>
      </c>
      <c r="K331" s="184">
        <f>INDEX('H&amp;S Demand'!$K$4:$AN$13,$G$321,$G331)*K34</f>
        <v>151071.56625689034</v>
      </c>
      <c r="L331" s="184">
        <f>INDEX('H&amp;S Demand'!$K$4:$AN$13,$G$321,$G331)*L34</f>
        <v>227769.43835654232</v>
      </c>
      <c r="M331" s="184">
        <f>INDEX('H&amp;S Demand'!$K$4:$AN$13,$G$321,$G331)*M34</f>
        <v>227769.43835654232</v>
      </c>
      <c r="V331" s="184">
        <f t="shared" si="66"/>
        <v>0</v>
      </c>
    </row>
    <row r="332" spans="1:22" x14ac:dyDescent="0.2">
      <c r="A332" s="176"/>
      <c r="E332" s="180" t="s">
        <v>431</v>
      </c>
      <c r="F332" s="25"/>
      <c r="G332" s="25">
        <v>9</v>
      </c>
      <c r="H332" s="184">
        <f>INDEX('H&amp;S Demand'!$K$4:$AN$13,$G$321,$G332)*H35</f>
        <v>193803.64290903212</v>
      </c>
      <c r="I332" s="184">
        <f>INDEX('H&amp;S Demand'!$K$4:$AN$13,$G$321,$G332)*I35</f>
        <v>193803.64290903212</v>
      </c>
      <c r="J332" s="184">
        <f>INDEX('H&amp;S Demand'!$K$4:$AN$13,$G$321,$G332)*J35</f>
        <v>193803.64290903212</v>
      </c>
      <c r="K332" s="184">
        <f>INDEX('H&amp;S Demand'!$K$4:$AN$13,$G$321,$G332)*K35</f>
        <v>34200.642866299786</v>
      </c>
      <c r="L332" s="184">
        <f>INDEX('H&amp;S Demand'!$K$4:$AN$13,$G$321,$G332)*L35</f>
        <v>148202.78575396576</v>
      </c>
      <c r="M332" s="184">
        <f>INDEX('H&amp;S Demand'!$K$4:$AN$13,$G$321,$G332)*M35</f>
        <v>193803.64290903212</v>
      </c>
      <c r="V332" s="184">
        <f t="shared" si="66"/>
        <v>0</v>
      </c>
    </row>
    <row r="333" spans="1:22" x14ac:dyDescent="0.2">
      <c r="A333" s="176"/>
      <c r="E333" s="181" t="s">
        <v>432</v>
      </c>
      <c r="F333" s="182"/>
      <c r="G333" s="25">
        <v>10</v>
      </c>
      <c r="H333" s="184">
        <f>INDEX('H&amp;S Demand'!$K$4:$AN$13,$G$321,$G333)*H36</f>
        <v>76443.780430532803</v>
      </c>
      <c r="I333" s="184">
        <f>INDEX('H&amp;S Demand'!$K$4:$AN$13,$G$321,$G333)*I36</f>
        <v>76443.780430532803</v>
      </c>
      <c r="J333" s="184">
        <f>INDEX('H&amp;S Demand'!$K$4:$AN$13,$G$321,$G333)*J36</f>
        <v>76443.780430532803</v>
      </c>
      <c r="K333" s="184">
        <f>INDEX('H&amp;S Demand'!$K$4:$AN$13,$G$321,$G333)*K36</f>
        <v>6552.3240369028126</v>
      </c>
      <c r="L333" s="184">
        <f>INDEX('H&amp;S Demand'!$K$4:$AN$13,$G$321,$G333)*L36</f>
        <v>43682.160246018757</v>
      </c>
      <c r="M333" s="184">
        <f>INDEX('H&amp;S Demand'!$K$4:$AN$13,$G$321,$G333)*M36</f>
        <v>76443.780430532803</v>
      </c>
      <c r="V333" s="184">
        <f t="shared" si="66"/>
        <v>0</v>
      </c>
    </row>
    <row r="334" spans="1:22" x14ac:dyDescent="0.2">
      <c r="A334" s="176"/>
      <c r="E334" s="178" t="s">
        <v>440</v>
      </c>
      <c r="F334" s="179"/>
      <c r="G334" s="179">
        <f>G328+5</f>
        <v>10</v>
      </c>
      <c r="H334" s="183">
        <f>IF(I196="No",0,1)</f>
        <v>0</v>
      </c>
      <c r="I334" s="183">
        <f>IF(J196="No",0,1)</f>
        <v>0</v>
      </c>
      <c r="J334" s="183">
        <f>IF(K196="No",0,1)</f>
        <v>0</v>
      </c>
      <c r="K334" s="183">
        <f>IF(M196="No",0,1)</f>
        <v>0</v>
      </c>
      <c r="L334" s="183">
        <f>IF(N196="No",0,1)</f>
        <v>1</v>
      </c>
      <c r="M334" s="185">
        <f>IF(N196="No",0,1)</f>
        <v>1</v>
      </c>
      <c r="V334" s="185">
        <f t="shared" si="66"/>
        <v>-1</v>
      </c>
    </row>
    <row r="335" spans="1:22" x14ac:dyDescent="0.2">
      <c r="A335" s="176"/>
      <c r="E335" s="180" t="s">
        <v>428</v>
      </c>
      <c r="F335" s="25"/>
      <c r="G335" s="25">
        <v>11</v>
      </c>
      <c r="H335" s="184">
        <f>INDEX('H&amp;S Demand'!$K$4:$AN$13,$G$321,$G335)*H32</f>
        <v>229998.04682763101</v>
      </c>
      <c r="I335" s="184">
        <f>INDEX('H&amp;S Demand'!$K$4:$AN$13,$G$321,$G335)*I32</f>
        <v>229998.04682763101</v>
      </c>
      <c r="J335" s="184">
        <f>INDEX('H&amp;S Demand'!$K$4:$AN$13,$G$321,$G335)*J32</f>
        <v>229998.04682763101</v>
      </c>
      <c r="K335" s="184">
        <f>INDEX('H&amp;S Demand'!$K$4:$AN$13,$G$321,$G335)*K32</f>
        <v>152549.72493669405</v>
      </c>
      <c r="L335" s="184">
        <f>INDEX('H&amp;S Demand'!$K$4:$AN$13,$G$321,$G335)*L32</f>
        <v>229998.04682763101</v>
      </c>
      <c r="M335" s="184">
        <f>INDEX('H&amp;S Demand'!$K$4:$AN$13,$G$321,$G335)*M32</f>
        <v>229998.04682763101</v>
      </c>
      <c r="V335" s="184">
        <f t="shared" si="66"/>
        <v>0</v>
      </c>
    </row>
    <row r="336" spans="1:22" x14ac:dyDescent="0.2">
      <c r="A336" s="176"/>
      <c r="E336" s="180" t="s">
        <v>429</v>
      </c>
      <c r="F336" s="25"/>
      <c r="G336" s="25">
        <v>12</v>
      </c>
      <c r="H336" s="184">
        <f>INDEX('H&amp;S Demand'!$K$4:$AN$13,$G$321,$G336)*H33</f>
        <v>228793.06915512402</v>
      </c>
      <c r="I336" s="184">
        <f>INDEX('H&amp;S Demand'!$K$4:$AN$13,$G$321,$G336)*I33</f>
        <v>228793.06915512402</v>
      </c>
      <c r="J336" s="184">
        <f>INDEX('H&amp;S Demand'!$K$4:$AN$13,$G$321,$G336)*J33</f>
        <v>228793.06915512402</v>
      </c>
      <c r="K336" s="184">
        <f>INDEX('H&amp;S Demand'!$K$4:$AN$13,$G$321,$G336)*K33</f>
        <v>151750.50505186798</v>
      </c>
      <c r="L336" s="184">
        <f>INDEX('H&amp;S Demand'!$K$4:$AN$13,$G$321,$G336)*L33</f>
        <v>228793.06915512402</v>
      </c>
      <c r="M336" s="184">
        <f>INDEX('H&amp;S Demand'!$K$4:$AN$13,$G$321,$G336)*M33</f>
        <v>228793.06915512402</v>
      </c>
      <c r="V336" s="184">
        <f t="shared" si="66"/>
        <v>0</v>
      </c>
    </row>
    <row r="337" spans="1:22" x14ac:dyDescent="0.2">
      <c r="A337" s="176"/>
      <c r="E337" s="180" t="s">
        <v>430</v>
      </c>
      <c r="F337" s="25"/>
      <c r="G337" s="25">
        <v>13</v>
      </c>
      <c r="H337" s="184">
        <f>INDEX('H&amp;S Demand'!$K$4:$AN$13,$G$321,$G337)*H34</f>
        <v>225146.76172320676</v>
      </c>
      <c r="I337" s="184">
        <f>INDEX('H&amp;S Demand'!$K$4:$AN$13,$G$321,$G337)*I34</f>
        <v>225146.76172320676</v>
      </c>
      <c r="J337" s="184">
        <f>INDEX('H&amp;S Demand'!$K$4:$AN$13,$G$321,$G337)*J34</f>
        <v>225146.76172320676</v>
      </c>
      <c r="K337" s="184">
        <f>INDEX('H&amp;S Demand'!$K$4:$AN$13,$G$321,$G337)*K34</f>
        <v>149332.03583682081</v>
      </c>
      <c r="L337" s="184">
        <f>INDEX('H&amp;S Demand'!$K$4:$AN$13,$G$321,$G337)*L34</f>
        <v>225146.76172320676</v>
      </c>
      <c r="M337" s="184">
        <f>INDEX('H&amp;S Demand'!$K$4:$AN$13,$G$321,$G337)*M34</f>
        <v>225146.76172320676</v>
      </c>
      <c r="V337" s="184">
        <f t="shared" si="66"/>
        <v>0</v>
      </c>
    </row>
    <row r="338" spans="1:22" x14ac:dyDescent="0.2">
      <c r="A338" s="176"/>
      <c r="E338" s="180" t="s">
        <v>431</v>
      </c>
      <c r="F338" s="25"/>
      <c r="G338" s="25">
        <v>14</v>
      </c>
      <c r="H338" s="184">
        <f>INDEX('H&amp;S Demand'!$K$4:$AN$13,$G$321,$G338)*H35</f>
        <v>190761.54993590654</v>
      </c>
      <c r="I338" s="184">
        <f>INDEX('H&amp;S Demand'!$K$4:$AN$13,$G$321,$G338)*I35</f>
        <v>190761.54993590654</v>
      </c>
      <c r="J338" s="184">
        <f>INDEX('H&amp;S Demand'!$K$4:$AN$13,$G$321,$G338)*J35</f>
        <v>190761.54993590654</v>
      </c>
      <c r="K338" s="184">
        <f>INDEX('H&amp;S Demand'!$K$4:$AN$13,$G$321,$G338)*K35</f>
        <v>33663.802929865858</v>
      </c>
      <c r="L338" s="184">
        <f>INDEX('H&amp;S Demand'!$K$4:$AN$13,$G$321,$G338)*L35</f>
        <v>145876.47936275208</v>
      </c>
      <c r="M338" s="184">
        <f>INDEX('H&amp;S Demand'!$K$4:$AN$13,$G$321,$G338)*M35</f>
        <v>190761.54993590654</v>
      </c>
      <c r="V338" s="184">
        <f t="shared" si="66"/>
        <v>0</v>
      </c>
    </row>
    <row r="339" spans="1:22" x14ac:dyDescent="0.2">
      <c r="A339" s="176"/>
      <c r="E339" s="181" t="s">
        <v>432</v>
      </c>
      <c r="F339" s="182"/>
      <c r="G339" s="25">
        <v>15</v>
      </c>
      <c r="H339" s="184">
        <f>INDEX('H&amp;S Demand'!$K$4:$AN$13,$G$321,$G339)*H36</f>
        <v>74755.748744850425</v>
      </c>
      <c r="I339" s="184">
        <f>INDEX('H&amp;S Demand'!$K$4:$AN$13,$G$321,$G339)*I36</f>
        <v>74755.748744850425</v>
      </c>
      <c r="J339" s="184">
        <f>INDEX('H&amp;S Demand'!$K$4:$AN$13,$G$321,$G339)*J36</f>
        <v>74755.748744850425</v>
      </c>
      <c r="K339" s="184">
        <f>INDEX('H&amp;S Demand'!$K$4:$AN$13,$G$321,$G339)*K36</f>
        <v>6407.6356067014658</v>
      </c>
      <c r="L339" s="184">
        <f>INDEX('H&amp;S Demand'!$K$4:$AN$13,$G$321,$G339)*L36</f>
        <v>42717.570711343113</v>
      </c>
      <c r="M339" s="184">
        <f>INDEX('H&amp;S Demand'!$K$4:$AN$13,$G$321,$G339)*M36</f>
        <v>74755.748744850425</v>
      </c>
      <c r="V339" s="184">
        <f t="shared" si="66"/>
        <v>0</v>
      </c>
    </row>
    <row r="340" spans="1:22" x14ac:dyDescent="0.2">
      <c r="A340" s="176"/>
      <c r="E340" s="178" t="s">
        <v>441</v>
      </c>
      <c r="F340" s="179"/>
      <c r="G340" s="179">
        <f>G334+5</f>
        <v>15</v>
      </c>
      <c r="H340" s="183">
        <f>IF(I197="No",0,1)</f>
        <v>1</v>
      </c>
      <c r="I340" s="183">
        <f>IF(J197="No",0,1)</f>
        <v>1</v>
      </c>
      <c r="J340" s="183">
        <f>IF(K197="No",0,1)</f>
        <v>1</v>
      </c>
      <c r="K340" s="183">
        <f>IF(M197="No",0,1)</f>
        <v>1</v>
      </c>
      <c r="L340" s="183">
        <f>IF(N197="No",0,1)</f>
        <v>1</v>
      </c>
      <c r="M340" s="185">
        <f>IF(N197="No",0,1)</f>
        <v>1</v>
      </c>
      <c r="V340" s="185">
        <f t="shared" si="66"/>
        <v>0</v>
      </c>
    </row>
    <row r="341" spans="1:22" x14ac:dyDescent="0.2">
      <c r="A341" s="176"/>
      <c r="E341" s="180" t="s">
        <v>428</v>
      </c>
      <c r="F341" s="25"/>
      <c r="G341" s="25">
        <v>16</v>
      </c>
      <c r="H341" s="184">
        <f>INDEX('H&amp;S Demand'!$K$4:$AN$13,$G$321,$G341)*H32</f>
        <v>224927.22955905</v>
      </c>
      <c r="I341" s="184">
        <f>INDEX('H&amp;S Demand'!$K$4:$AN$13,$G$321,$G341)*I32</f>
        <v>224927.22955905</v>
      </c>
      <c r="J341" s="184">
        <f>INDEX('H&amp;S Demand'!$K$4:$AN$13,$G$321,$G341)*J32</f>
        <v>224927.22955905</v>
      </c>
      <c r="K341" s="184">
        <f>INDEX('H&amp;S Demand'!$K$4:$AN$13,$G$321,$G341)*K32</f>
        <v>149186.42776875765</v>
      </c>
      <c r="L341" s="184">
        <f>INDEX('H&amp;S Demand'!$K$4:$AN$13,$G$321,$G341)*L32</f>
        <v>224927.22955905</v>
      </c>
      <c r="M341" s="184">
        <f>INDEX('H&amp;S Demand'!$K$4:$AN$13,$G$321,$G341)*M32</f>
        <v>224927.22955905</v>
      </c>
      <c r="V341" s="184">
        <f t="shared" si="66"/>
        <v>0</v>
      </c>
    </row>
    <row r="342" spans="1:22" x14ac:dyDescent="0.2">
      <c r="A342" s="176"/>
      <c r="E342" s="180" t="s">
        <v>429</v>
      </c>
      <c r="F342" s="25"/>
      <c r="G342" s="25">
        <v>17</v>
      </c>
      <c r="H342" s="184">
        <f>INDEX('H&amp;S Demand'!$K$4:$AN$13,$G$321,$G342)*H33</f>
        <v>223515.93064483587</v>
      </c>
      <c r="I342" s="184">
        <f>INDEX('H&amp;S Demand'!$K$4:$AN$13,$G$321,$G342)*I33</f>
        <v>223515.93064483587</v>
      </c>
      <c r="J342" s="184">
        <f>INDEX('H&amp;S Demand'!$K$4:$AN$13,$G$321,$G342)*J33</f>
        <v>223515.93064483587</v>
      </c>
      <c r="K342" s="184">
        <f>INDEX('H&amp;S Demand'!$K$4:$AN$13,$G$321,$G342)*K33</f>
        <v>148250.36216239116</v>
      </c>
      <c r="L342" s="184">
        <f>INDEX('H&amp;S Demand'!$K$4:$AN$13,$G$321,$G342)*L33</f>
        <v>223515.93064483587</v>
      </c>
      <c r="M342" s="184">
        <f>INDEX('H&amp;S Demand'!$K$4:$AN$13,$G$321,$G342)*M33</f>
        <v>223515.93064483587</v>
      </c>
      <c r="V342" s="184">
        <f t="shared" si="66"/>
        <v>0</v>
      </c>
    </row>
    <row r="343" spans="1:22" x14ac:dyDescent="0.2">
      <c r="A343" s="176"/>
      <c r="E343" s="180" t="s">
        <v>430</v>
      </c>
      <c r="F343" s="25"/>
      <c r="G343" s="25">
        <v>18</v>
      </c>
      <c r="H343" s="184">
        <f>INDEX('H&amp;S Demand'!$K$4:$AN$13,$G$321,$G343)*H34</f>
        <v>219337.79985539982</v>
      </c>
      <c r="I343" s="184">
        <f>INDEX('H&amp;S Demand'!$K$4:$AN$13,$G$321,$G343)*I34</f>
        <v>219337.79985539982</v>
      </c>
      <c r="J343" s="184">
        <f>INDEX('H&amp;S Demand'!$K$4:$AN$13,$G$321,$G343)*J34</f>
        <v>219337.79985539982</v>
      </c>
      <c r="K343" s="184">
        <f>INDEX('H&amp;S Demand'!$K$4:$AN$13,$G$321,$G343)*K34</f>
        <v>145479.15296531623</v>
      </c>
      <c r="L343" s="184">
        <f>INDEX('H&amp;S Demand'!$K$4:$AN$13,$G$321,$G343)*L34</f>
        <v>219337.79985539982</v>
      </c>
      <c r="M343" s="184">
        <f>INDEX('H&amp;S Demand'!$K$4:$AN$13,$G$321,$G343)*M34</f>
        <v>219337.79985539982</v>
      </c>
      <c r="V343" s="184">
        <f t="shared" si="66"/>
        <v>0</v>
      </c>
    </row>
    <row r="344" spans="1:22" x14ac:dyDescent="0.2">
      <c r="A344" s="176"/>
      <c r="E344" s="180" t="s">
        <v>431</v>
      </c>
      <c r="F344" s="25"/>
      <c r="G344" s="25">
        <v>19</v>
      </c>
      <c r="H344" s="184">
        <f>INDEX('H&amp;S Demand'!$K$4:$AN$13,$G$321,$G344)*H35</f>
        <v>185215.87954807674</v>
      </c>
      <c r="I344" s="184">
        <f>INDEX('H&amp;S Demand'!$K$4:$AN$13,$G$321,$G344)*I35</f>
        <v>185215.87954807674</v>
      </c>
      <c r="J344" s="184">
        <f>INDEX('H&amp;S Demand'!$K$4:$AN$13,$G$321,$G344)*J35</f>
        <v>185215.87954807674</v>
      </c>
      <c r="K344" s="184">
        <f>INDEX('H&amp;S Demand'!$K$4:$AN$13,$G$321,$G344)*K35</f>
        <v>32685.155214366485</v>
      </c>
      <c r="L344" s="184">
        <f>INDEX('H&amp;S Demand'!$K$4:$AN$13,$G$321,$G344)*L35</f>
        <v>141635.67259558811</v>
      </c>
      <c r="M344" s="184">
        <f>INDEX('H&amp;S Demand'!$K$4:$AN$13,$G$321,$G344)*M35</f>
        <v>185215.87954807674</v>
      </c>
      <c r="V344" s="184">
        <f t="shared" si="66"/>
        <v>0</v>
      </c>
    </row>
    <row r="345" spans="1:22" x14ac:dyDescent="0.2">
      <c r="A345" s="176"/>
      <c r="E345" s="181" t="s">
        <v>432</v>
      </c>
      <c r="F345" s="182"/>
      <c r="G345" s="25">
        <v>20</v>
      </c>
      <c r="H345" s="184">
        <f>INDEX('H&amp;S Demand'!$K$4:$AN$13,$G$321,$G345)*H36</f>
        <v>72167.837811971374</v>
      </c>
      <c r="I345" s="184">
        <f>INDEX('H&amp;S Demand'!$K$4:$AN$13,$G$321,$G345)*I36</f>
        <v>72167.837811971374</v>
      </c>
      <c r="J345" s="184">
        <f>INDEX('H&amp;S Demand'!$K$4:$AN$13,$G$321,$G345)*J36</f>
        <v>72167.837811971374</v>
      </c>
      <c r="K345" s="184">
        <f>INDEX('H&amp;S Demand'!$K$4:$AN$13,$G$321,$G345)*K36</f>
        <v>6185.8146695975465</v>
      </c>
      <c r="L345" s="184">
        <f>INDEX('H&amp;S Demand'!$K$4:$AN$13,$G$321,$G345)*L36</f>
        <v>41238.764463983651</v>
      </c>
      <c r="M345" s="184">
        <f>INDEX('H&amp;S Demand'!$K$4:$AN$13,$G$321,$G345)*M36</f>
        <v>72167.837811971374</v>
      </c>
      <c r="V345" s="184">
        <f t="shared" si="66"/>
        <v>0</v>
      </c>
    </row>
    <row r="346" spans="1:22" x14ac:dyDescent="0.2">
      <c r="A346" s="176"/>
      <c r="E346" s="178" t="s">
        <v>1015</v>
      </c>
      <c r="F346" s="25"/>
      <c r="G346" s="25">
        <v>20</v>
      </c>
      <c r="H346" s="183">
        <f>IF(I203="No",0,1)</f>
        <v>1</v>
      </c>
      <c r="I346" s="183">
        <f>IF(J203="No",0,1)</f>
        <v>1</v>
      </c>
      <c r="J346" s="183">
        <f>IF(K203="No",0,1)</f>
        <v>1</v>
      </c>
      <c r="K346" s="183">
        <f>IF(M203="No",0,1)</f>
        <v>1</v>
      </c>
      <c r="L346" s="183">
        <f>IF(N203="No",0,1)</f>
        <v>1</v>
      </c>
      <c r="M346" s="185">
        <f>IF(N203="No",0,1)</f>
        <v>1</v>
      </c>
      <c r="V346" s="185">
        <f t="shared" si="66"/>
        <v>0</v>
      </c>
    </row>
    <row r="347" spans="1:22" x14ac:dyDescent="0.2">
      <c r="A347" s="176"/>
      <c r="E347" s="180" t="s">
        <v>428</v>
      </c>
      <c r="F347" s="25"/>
      <c r="G347" s="25">
        <v>21</v>
      </c>
      <c r="H347" s="184">
        <f>INDEX('H&amp;S Demand'!$K$4:$AN$13,$G$321,$G347)*H32</f>
        <v>215640.55440511732</v>
      </c>
      <c r="I347" s="184">
        <f>INDEX('H&amp;S Demand'!$K$4:$AN$13,$G$321,$G347)*I32</f>
        <v>215640.55440511732</v>
      </c>
      <c r="J347" s="184">
        <f>INDEX('H&amp;S Demand'!$K$4:$AN$13,$G$321,$G347)*J32</f>
        <v>215640.55440511732</v>
      </c>
      <c r="K347" s="184">
        <f>INDEX('H&amp;S Demand'!$K$4:$AN$13,$G$321,$G347)*K32</f>
        <v>143026.89832992476</v>
      </c>
      <c r="L347" s="184">
        <f>INDEX('H&amp;S Demand'!$K$4:$AN$13,$G$321,$G347)*L32</f>
        <v>215640.55440511732</v>
      </c>
      <c r="M347" s="184">
        <f>INDEX('H&amp;S Demand'!$K$4:$AN$13,$G$321,$G347)*M32</f>
        <v>215640.55440511732</v>
      </c>
      <c r="V347" s="184">
        <f t="shared" si="66"/>
        <v>0</v>
      </c>
    </row>
    <row r="348" spans="1:22" x14ac:dyDescent="0.2">
      <c r="A348" s="176"/>
      <c r="E348" s="180" t="s">
        <v>429</v>
      </c>
      <c r="F348" s="25"/>
      <c r="G348" s="25">
        <v>22</v>
      </c>
      <c r="H348" s="184">
        <f>INDEX('H&amp;S Demand'!$K$4:$AN$13,$G$321,$G348)*H33</f>
        <v>214075.32350934399</v>
      </c>
      <c r="I348" s="184">
        <f>INDEX('H&amp;S Demand'!$K$4:$AN$13,$G$321,$G348)*I33</f>
        <v>214075.32350934399</v>
      </c>
      <c r="J348" s="184">
        <f>INDEX('H&amp;S Demand'!$K$4:$AN$13,$G$321,$G348)*J33</f>
        <v>214075.32350934399</v>
      </c>
      <c r="K348" s="184">
        <f>INDEX('H&amp;S Demand'!$K$4:$AN$13,$G$321,$G348)*K33</f>
        <v>141988.73498068735</v>
      </c>
      <c r="L348" s="184">
        <f>INDEX('H&amp;S Demand'!$K$4:$AN$13,$G$321,$G348)*L33</f>
        <v>214075.32350934399</v>
      </c>
      <c r="M348" s="184">
        <f>INDEX('H&amp;S Demand'!$K$4:$AN$13,$G$321,$G348)*M33</f>
        <v>214075.32350934399</v>
      </c>
      <c r="V348" s="184">
        <f t="shared" si="66"/>
        <v>0</v>
      </c>
    </row>
    <row r="349" spans="1:22" x14ac:dyDescent="0.2">
      <c r="A349" s="176"/>
      <c r="E349" s="180" t="s">
        <v>430</v>
      </c>
      <c r="F349" s="25"/>
      <c r="G349" s="25">
        <v>23</v>
      </c>
      <c r="H349" s="184">
        <f>INDEX('H&amp;S Demand'!$K$4:$AN$13,$G$321,$G349)*H34</f>
        <v>209660.098495652</v>
      </c>
      <c r="I349" s="184">
        <f>INDEX('H&amp;S Demand'!$K$4:$AN$13,$G$321,$G349)*I34</f>
        <v>209660.098495652</v>
      </c>
      <c r="J349" s="184">
        <f>INDEX('H&amp;S Demand'!$K$4:$AN$13,$G$321,$G349)*J34</f>
        <v>209660.098495652</v>
      </c>
      <c r="K349" s="184">
        <f>INDEX('H&amp;S Demand'!$K$4:$AN$13,$G$321,$G349)*K34</f>
        <v>139060.26941038141</v>
      </c>
      <c r="L349" s="184">
        <f>INDEX('H&amp;S Demand'!$K$4:$AN$13,$G$321,$G349)*L34</f>
        <v>209660.098495652</v>
      </c>
      <c r="M349" s="184">
        <f>INDEX('H&amp;S Demand'!$K$4:$AN$13,$G$321,$G349)*M34</f>
        <v>209660.098495652</v>
      </c>
      <c r="V349" s="184">
        <f t="shared" si="66"/>
        <v>0</v>
      </c>
    </row>
    <row r="350" spans="1:22" x14ac:dyDescent="0.2">
      <c r="A350" s="176"/>
      <c r="E350" s="180" t="s">
        <v>431</v>
      </c>
      <c r="F350" s="25"/>
      <c r="G350" s="25">
        <v>24</v>
      </c>
      <c r="H350" s="184">
        <f>INDEX('H&amp;S Demand'!$K$4:$AN$13,$G$321,$G350)*H35</f>
        <v>176603.5433132055</v>
      </c>
      <c r="I350" s="184">
        <f>INDEX('H&amp;S Demand'!$K$4:$AN$13,$G$321,$G350)*I35</f>
        <v>176603.5433132055</v>
      </c>
      <c r="J350" s="184">
        <f>INDEX('H&amp;S Demand'!$K$4:$AN$13,$G$321,$G350)*J35</f>
        <v>176603.5433132055</v>
      </c>
      <c r="K350" s="184">
        <f>INDEX('H&amp;S Demand'!$K$4:$AN$13,$G$321,$G350)*K35</f>
        <v>31165.331172918621</v>
      </c>
      <c r="L350" s="184">
        <f>INDEX('H&amp;S Demand'!$K$4:$AN$13,$G$321,$G350)*L35</f>
        <v>135049.76841598071</v>
      </c>
      <c r="M350" s="184">
        <f>INDEX('H&amp;S Demand'!$K$4:$AN$13,$G$321,$G350)*M35</f>
        <v>176603.5433132055</v>
      </c>
      <c r="V350" s="184">
        <f t="shared" si="66"/>
        <v>0</v>
      </c>
    </row>
    <row r="351" spans="1:22" x14ac:dyDescent="0.2">
      <c r="A351" s="176"/>
      <c r="E351" s="181" t="s">
        <v>432</v>
      </c>
      <c r="F351" s="182"/>
      <c r="G351" s="182">
        <v>25</v>
      </c>
      <c r="H351" s="385">
        <f>INDEX('H&amp;S Demand'!$K$4:$AN$13,$G$321,$G351)*H36</f>
        <v>68524.280926244683</v>
      </c>
      <c r="I351" s="385">
        <f>INDEX('H&amp;S Demand'!$K$4:$AN$13,$G$321,$G351)*I36</f>
        <v>68524.280926244683</v>
      </c>
      <c r="J351" s="385">
        <f>INDEX('H&amp;S Demand'!$K$4:$AN$13,$G$321,$G351)*J36</f>
        <v>68524.280926244683</v>
      </c>
      <c r="K351" s="385">
        <f>INDEX('H&amp;S Demand'!$K$4:$AN$13,$G$321,$G351)*K36</f>
        <v>5873.5097936781149</v>
      </c>
      <c r="L351" s="385">
        <f>INDEX('H&amp;S Demand'!$K$4:$AN$13,$G$321,$G351)*L36</f>
        <v>39156.731957854106</v>
      </c>
      <c r="M351" s="385">
        <f>INDEX('H&amp;S Demand'!$K$4:$AN$13,$G$321,$G351)*M36</f>
        <v>68524.280926244683</v>
      </c>
      <c r="V351" s="385">
        <f t="shared" si="66"/>
        <v>0</v>
      </c>
    </row>
    <row r="352" spans="1:22" x14ac:dyDescent="0.2">
      <c r="A352" s="176"/>
      <c r="E352" s="72"/>
      <c r="F352" s="25"/>
      <c r="G352" s="25"/>
      <c r="H352" s="399"/>
      <c r="I352" s="399"/>
      <c r="J352" s="399"/>
      <c r="K352" s="399"/>
      <c r="L352" s="399"/>
      <c r="M352" s="399"/>
      <c r="V352" s="399">
        <f t="shared" si="66"/>
        <v>0</v>
      </c>
    </row>
    <row r="353" spans="1:22" x14ac:dyDescent="0.2">
      <c r="A353" s="176"/>
      <c r="E353" s="72"/>
      <c r="F353" s="25"/>
      <c r="G353" s="25"/>
      <c r="H353" s="399"/>
      <c r="I353" s="399"/>
      <c r="J353" s="399"/>
      <c r="K353" s="399"/>
      <c r="L353" s="399"/>
      <c r="M353" s="399"/>
      <c r="V353" s="399">
        <f t="shared" si="66"/>
        <v>0</v>
      </c>
    </row>
    <row r="354" spans="1:22" x14ac:dyDescent="0.2">
      <c r="A354" s="176"/>
      <c r="E354" s="4" t="s">
        <v>1211</v>
      </c>
      <c r="V354" s="5">
        <f t="shared" si="66"/>
        <v>0</v>
      </c>
    </row>
    <row r="355" spans="1:22" x14ac:dyDescent="0.2">
      <c r="A355" s="176"/>
      <c r="E355" s="5" t="s">
        <v>848</v>
      </c>
      <c r="H355" s="219">
        <f>H323+H329+H335+H341</f>
        <v>1145505.1230681268</v>
      </c>
      <c r="I355" s="219">
        <f t="shared" ref="I355:M355" si="98">I323+I329+I335+I341+I347</f>
        <v>1361145.6774732443</v>
      </c>
      <c r="J355" s="219">
        <f t="shared" si="98"/>
        <v>1361145.6774732443</v>
      </c>
      <c r="K355" s="219">
        <f t="shared" si="98"/>
        <v>902800.70444653952</v>
      </c>
      <c r="L355" s="219">
        <f t="shared" ref="L355" si="99">L323+L329+L335+L341+L347</f>
        <v>1361145.6774732443</v>
      </c>
      <c r="M355" s="219">
        <f t="shared" si="98"/>
        <v>1361145.6774732443</v>
      </c>
      <c r="V355" s="219">
        <f t="shared" si="66"/>
        <v>-215640.55440511741</v>
      </c>
    </row>
    <row r="356" spans="1:22" x14ac:dyDescent="0.2">
      <c r="A356" s="176"/>
      <c r="E356" s="5" t="s">
        <v>975</v>
      </c>
      <c r="H356" s="219">
        <f>H324+H330+H336+H342</f>
        <v>1140732.6006342277</v>
      </c>
      <c r="I356" s="219">
        <f t="shared" ref="I356:M357" si="100">I324+I330+I336+I342+I348</f>
        <v>1354807.9241435716</v>
      </c>
      <c r="J356" s="219">
        <f t="shared" si="100"/>
        <v>1354807.9241435716</v>
      </c>
      <c r="K356" s="219">
        <f t="shared" si="100"/>
        <v>898597.09254420584</v>
      </c>
      <c r="L356" s="219">
        <f t="shared" ref="L356" si="101">L324+L330+L336+L342+L348</f>
        <v>1354807.9241435716</v>
      </c>
      <c r="M356" s="219">
        <f t="shared" si="100"/>
        <v>1354807.9241435716</v>
      </c>
      <c r="V356" s="219">
        <f t="shared" si="66"/>
        <v>-214075.3235093439</v>
      </c>
    </row>
    <row r="357" spans="1:22" x14ac:dyDescent="0.2">
      <c r="A357" s="176"/>
      <c r="E357" s="5" t="s">
        <v>976</v>
      </c>
      <c r="H357" s="219">
        <f>H325+H331+H337+H343</f>
        <v>1126093.4499545007</v>
      </c>
      <c r="I357" s="219">
        <f t="shared" si="100"/>
        <v>1335753.5484501526</v>
      </c>
      <c r="J357" s="219">
        <f t="shared" si="100"/>
        <v>1335753.5484501526</v>
      </c>
      <c r="K357" s="219">
        <f t="shared" si="100"/>
        <v>885958.98621693812</v>
      </c>
      <c r="L357" s="219">
        <f t="shared" ref="L357" si="102">L325+L331+L337+L343+L349</f>
        <v>1335753.5484501526</v>
      </c>
      <c r="M357" s="219">
        <f t="shared" si="100"/>
        <v>1335753.5484501526</v>
      </c>
      <c r="V357" s="219">
        <f t="shared" si="66"/>
        <v>-209660.09849565197</v>
      </c>
    </row>
    <row r="358" spans="1:22" ht="13.5" thickBot="1" x14ac:dyDescent="0.25">
      <c r="A358" s="176"/>
      <c r="H358" s="351">
        <f>SUM(H355:H357)</f>
        <v>3412331.1736568548</v>
      </c>
      <c r="I358" s="351">
        <f t="shared" ref="I358:M358" si="103">SUM(I355:I357)</f>
        <v>4051707.1500669681</v>
      </c>
      <c r="J358" s="351">
        <f t="shared" si="103"/>
        <v>4051707.1500669681</v>
      </c>
      <c r="K358" s="351">
        <f t="shared" si="103"/>
        <v>2687356.7832076834</v>
      </c>
      <c r="L358" s="351">
        <f t="shared" ref="L358" si="104">SUM(L355:L357)</f>
        <v>4051707.1500669681</v>
      </c>
      <c r="M358" s="351">
        <f t="shared" si="103"/>
        <v>4051707.1500669681</v>
      </c>
      <c r="V358" s="351">
        <f t="shared" ref="V358:V421" si="105">H358-M358</f>
        <v>-639375.97641011328</v>
      </c>
    </row>
    <row r="359" spans="1:22" ht="13.5" thickTop="1" x14ac:dyDescent="0.2">
      <c r="A359" s="176"/>
      <c r="E359" s="5" t="s">
        <v>1110</v>
      </c>
      <c r="H359" s="465">
        <f>SUM(H323:H327)+SUM(H329:H333)+SUM(H335:H339)+SUM(H341:H345)</f>
        <v>4746494.0952466419</v>
      </c>
      <c r="I359" s="465">
        <f t="shared" ref="I359:M359" si="106">SUM(I323:I327)+SUM(I329:I333)+SUM(I335:I339)+SUM(I341:I345)</f>
        <v>4746494.0952466419</v>
      </c>
      <c r="J359" s="465">
        <f t="shared" si="106"/>
        <v>4746494.0952466419</v>
      </c>
      <c r="K359" s="465">
        <f t="shared" si="106"/>
        <v>2464491.9852779023</v>
      </c>
      <c r="L359" s="465">
        <f t="shared" ref="L359" si="107">SUM(L323:L327)+SUM(L329:L333)+SUM(L335:L339)+SUM(L341:L345)</f>
        <v>4359677.440404539</v>
      </c>
      <c r="M359" s="465">
        <f t="shared" si="106"/>
        <v>4746494.0952466419</v>
      </c>
      <c r="V359" s="465">
        <f t="shared" si="105"/>
        <v>0</v>
      </c>
    </row>
    <row r="360" spans="1:22" x14ac:dyDescent="0.2">
      <c r="A360" s="176"/>
      <c r="D360" s="230" t="s">
        <v>47</v>
      </c>
      <c r="E360" s="224"/>
      <c r="F360" s="224"/>
      <c r="G360" s="224"/>
      <c r="H360" s="224"/>
      <c r="I360" s="224"/>
      <c r="J360" s="224"/>
      <c r="K360" s="224"/>
      <c r="L360" s="224"/>
      <c r="M360" s="224"/>
      <c r="V360" s="224">
        <f t="shared" si="105"/>
        <v>0</v>
      </c>
    </row>
    <row r="361" spans="1:22" x14ac:dyDescent="0.2">
      <c r="A361" s="176"/>
      <c r="V361" s="5">
        <f t="shared" si="105"/>
        <v>0</v>
      </c>
    </row>
    <row r="362" spans="1:22" x14ac:dyDescent="0.2">
      <c r="A362" s="176"/>
      <c r="F362" s="90" t="s">
        <v>56</v>
      </c>
      <c r="H362" s="219">
        <f>IF(H196="Yes",1,0)*H300*'Prev Treat'!J$12</f>
        <v>0</v>
      </c>
      <c r="I362" s="219">
        <f>IF(I196="Yes",1,0)*I300*'Prev Treat'!K$12</f>
        <v>0</v>
      </c>
      <c r="J362" s="219">
        <f>IF(J196="Yes",1,0)*J300*'Prev Treat'!L$12</f>
        <v>0</v>
      </c>
      <c r="K362" s="219">
        <f>IF(K196="Yes",1,0)*K300*'Prev Treat'!M$12</f>
        <v>0</v>
      </c>
      <c r="L362" s="219">
        <f>IF(L196="Yes",1,0)*L300*'Prev Treat'!O$12</f>
        <v>0</v>
      </c>
      <c r="M362" s="219">
        <f>IF(M196="Yes",1,0)*M300*'Prev Treat'!O$12</f>
        <v>0</v>
      </c>
      <c r="V362" s="219">
        <f t="shared" si="105"/>
        <v>0</v>
      </c>
    </row>
    <row r="363" spans="1:22" x14ac:dyDescent="0.2">
      <c r="A363" s="176"/>
      <c r="F363" s="90" t="s">
        <v>57</v>
      </c>
      <c r="H363" s="219">
        <f>IF(H197="Yes",1,0)*H301*'Prev Treat'!J$12</f>
        <v>2733576.9080138695</v>
      </c>
      <c r="I363" s="219">
        <f>IF(I197="Yes",1,0)*I301*'Prev Treat'!K$12</f>
        <v>2979598.8297351175</v>
      </c>
      <c r="J363" s="219">
        <f>IF(J197="Yes",1,0)*J301*'Prev Treat'!L$12</f>
        <v>3247762.7244112785</v>
      </c>
      <c r="K363" s="219">
        <f>IF(K197="Yes",1,0)*K301*'Prev Treat'!M$12</f>
        <v>1416518.5431337613</v>
      </c>
      <c r="L363" s="219">
        <f>IF(L197="Yes",1,0)*L301*'Prev Treat'!O$12</f>
        <v>2509035.9505224698</v>
      </c>
      <c r="M363" s="219">
        <f>IF(M197="Yes",1,0)*M301*'Prev Treat'!O$12</f>
        <v>2733576.9080138695</v>
      </c>
      <c r="V363" s="219">
        <f t="shared" si="105"/>
        <v>0</v>
      </c>
    </row>
    <row r="364" spans="1:22" x14ac:dyDescent="0.2">
      <c r="A364" s="176"/>
      <c r="F364" s="90" t="s">
        <v>58</v>
      </c>
      <c r="H364" s="219">
        <f>IF(H198="Yes",1,0)*H302*'Prev Treat'!J$12</f>
        <v>2746406.5144923478</v>
      </c>
      <c r="I364" s="219">
        <f>IF(I198="Yes",1,0)*I302*'Prev Treat'!K$12</f>
        <v>2993583.100796659</v>
      </c>
      <c r="J364" s="219">
        <f>IF(J198="Yes",1,0)*J302*'Prev Treat'!L$12</f>
        <v>3263005.5798683586</v>
      </c>
      <c r="K364" s="219">
        <f>IF(K198="Yes",1,0)*K302*'Prev Treat'!M$12</f>
        <v>1425506.8266000729</v>
      </c>
      <c r="L364" s="219">
        <f>IF(L198="Yes",1,0)*L302*'Prev Treat'!O$12</f>
        <v>2522289.8293011482</v>
      </c>
      <c r="M364" s="219">
        <f>IF(M198="Yes",1,0)*M302*'Prev Treat'!O$12</f>
        <v>2746406.5144923478</v>
      </c>
      <c r="V364" s="219">
        <f t="shared" si="105"/>
        <v>0</v>
      </c>
    </row>
    <row r="365" spans="1:22" x14ac:dyDescent="0.2">
      <c r="A365" s="176"/>
      <c r="F365" s="90" t="s">
        <v>59</v>
      </c>
      <c r="H365" s="219">
        <f>IF(H199="Yes",1,0)*H303*'Prev Treat'!J$12</f>
        <v>2715441.8044660157</v>
      </c>
      <c r="I365" s="219">
        <f>IF(I199="Yes",1,0)*I303*'Prev Treat'!K$12</f>
        <v>2959831.5668679569</v>
      </c>
      <c r="J365" s="219">
        <f>IF(J199="Yes",1,0)*J303*'Prev Treat'!L$12</f>
        <v>3226216.4078860735</v>
      </c>
      <c r="K365" s="219">
        <f>IF(K199="Yes",1,0)*K303*'Prev Treat'!M$12</f>
        <v>1411992.5944751776</v>
      </c>
      <c r="L365" s="219">
        <f>IF(L199="Yes",1,0)*L303*'Prev Treat'!O$12</f>
        <v>2495441.3134509628</v>
      </c>
      <c r="M365" s="219">
        <f>IF(M199="Yes",1,0)*M303*'Prev Treat'!O$12</f>
        <v>2715441.8044660157</v>
      </c>
      <c r="S365" s="359" t="str">
        <f t="shared" ref="S365:S379" si="108">CONCATENATE(P365,R365)</f>
        <v/>
      </c>
      <c r="V365" s="219">
        <f t="shared" si="105"/>
        <v>0</v>
      </c>
    </row>
    <row r="366" spans="1:22" x14ac:dyDescent="0.2">
      <c r="A366" s="176"/>
      <c r="F366" s="90" t="s">
        <v>60</v>
      </c>
      <c r="H366" s="219">
        <f>IF(H200="Yes",1,0)*H304*'Prev Treat'!J$12</f>
        <v>2645970.9774192944</v>
      </c>
      <c r="I366" s="219">
        <f>IF(I200="Yes",1,0)*I304*'Prev Treat'!K$12</f>
        <v>2884108.3653870309</v>
      </c>
      <c r="J366" s="219">
        <f>IF(J200="Yes",1,0)*J304*'Prev Treat'!L$12</f>
        <v>3143678.118271864</v>
      </c>
      <c r="K366" s="219">
        <f>IF(K200="Yes",1,0)*K304*'Prev Treat'!M$12</f>
        <v>1377910.5705520273</v>
      </c>
      <c r="L366" s="219">
        <f>IF(L200="Yes",1,0)*L304*'Prev Treat'!O$12</f>
        <v>2432874.4357599318</v>
      </c>
      <c r="M366" s="219">
        <f>IF(M200="Yes",1,0)*M304*'Prev Treat'!O$12</f>
        <v>2645970.9774192944</v>
      </c>
      <c r="S366" s="359" t="str">
        <f t="shared" si="108"/>
        <v/>
      </c>
      <c r="V366" s="219">
        <f t="shared" si="105"/>
        <v>0</v>
      </c>
    </row>
    <row r="367" spans="1:22" x14ac:dyDescent="0.2">
      <c r="A367" s="176"/>
      <c r="F367" s="90" t="s">
        <v>1017</v>
      </c>
      <c r="H367" s="219">
        <f>IF(H201="Yes",1,0)*H305*'Prev Treat'!J$12</f>
        <v>0</v>
      </c>
      <c r="I367" s="219">
        <f>IF(I201="Yes",1,0)*I305*'Prev Treat'!K$12</f>
        <v>0</v>
      </c>
      <c r="J367" s="219">
        <f>IF(J201="Yes",1,0)*J305*'Prev Treat'!L$12</f>
        <v>0</v>
      </c>
      <c r="K367" s="219">
        <f>IF(K201="Yes",1,0)*K305*'Prev Treat'!M$12</f>
        <v>0</v>
      </c>
      <c r="L367" s="219">
        <f>IF(L201="Yes",1,0)*L305*'Prev Treat'!O$12</f>
        <v>0</v>
      </c>
      <c r="M367" s="219">
        <f>IF(M201="Yes",1,0)*M305*'Prev Treat'!O$12</f>
        <v>0</v>
      </c>
      <c r="V367" s="219">
        <f t="shared" si="105"/>
        <v>0</v>
      </c>
    </row>
    <row r="368" spans="1:22" ht="13.5" thickBot="1" x14ac:dyDescent="0.25">
      <c r="A368" s="176"/>
      <c r="H368" s="235">
        <f>SUM(H362:H367)</f>
        <v>10841396.204391528</v>
      </c>
      <c r="I368" s="235">
        <f t="shared" ref="I368:K368" si="109">SUM(I362:I367)</f>
        <v>11817121.862786762</v>
      </c>
      <c r="J368" s="235">
        <f t="shared" si="109"/>
        <v>12880662.830437575</v>
      </c>
      <c r="K368" s="235">
        <f t="shared" si="109"/>
        <v>5631928.5347610395</v>
      </c>
      <c r="L368" s="235">
        <f t="shared" ref="L368" si="110">SUM(L362:L367)</f>
        <v>9959641.5290345121</v>
      </c>
      <c r="M368" s="586">
        <f>SUM(M362:M367)*N368</f>
        <v>10841396.204391528</v>
      </c>
      <c r="N368" s="583">
        <f>('Budget Choices Workings'!D24*PDOH!M444/PDOH!H28)</f>
        <v>1</v>
      </c>
      <c r="P368" s="260" t="s">
        <v>864</v>
      </c>
      <c r="R368" s="356" t="s">
        <v>986</v>
      </c>
      <c r="S368" s="359" t="str">
        <f t="shared" si="108"/>
        <v>MSPI</v>
      </c>
      <c r="V368" s="586">
        <f t="shared" si="105"/>
        <v>0</v>
      </c>
    </row>
    <row r="369" spans="1:22" ht="13.5" thickTop="1" x14ac:dyDescent="0.2">
      <c r="A369" s="176"/>
      <c r="D369" s="230" t="s">
        <v>46</v>
      </c>
      <c r="S369" s="359" t="str">
        <f t="shared" si="108"/>
        <v/>
      </c>
      <c r="V369" s="5">
        <f t="shared" si="105"/>
        <v>0</v>
      </c>
    </row>
    <row r="370" spans="1:22" x14ac:dyDescent="0.2">
      <c r="A370" s="176"/>
      <c r="S370" s="359" t="str">
        <f t="shared" si="108"/>
        <v/>
      </c>
      <c r="V370" s="5">
        <f t="shared" si="105"/>
        <v>0</v>
      </c>
    </row>
    <row r="371" spans="1:22" x14ac:dyDescent="0.2">
      <c r="A371" s="176"/>
      <c r="D371" s="225" t="s">
        <v>41</v>
      </c>
      <c r="E371" s="226"/>
      <c r="F371" s="226"/>
      <c r="G371" s="226"/>
      <c r="H371" s="228">
        <f>H314*IF(H185="No",0,1)*'Prev Treat'!J15</f>
        <v>0</v>
      </c>
      <c r="I371" s="228">
        <f>I314*IF(I185="No",0,1)*'Prev Treat'!K15</f>
        <v>0</v>
      </c>
      <c r="J371" s="228">
        <f>J314*IF(J185="No",0,1)*'Prev Treat'!L15</f>
        <v>0</v>
      </c>
      <c r="K371" s="228">
        <f>K314*IF(K185="No",0,1)*'Prev Treat'!M15</f>
        <v>0</v>
      </c>
      <c r="L371" s="228">
        <f>L314*IF(L185="No",0,1)*'Prev Treat'!O15</f>
        <v>0</v>
      </c>
      <c r="M371" s="228">
        <f>M314*IF(M185="No",0,1)*'Prev Treat'!O15</f>
        <v>0</v>
      </c>
      <c r="S371" s="359" t="str">
        <f t="shared" si="108"/>
        <v/>
      </c>
      <c r="V371" s="228">
        <f t="shared" si="105"/>
        <v>0</v>
      </c>
    </row>
    <row r="372" spans="1:22" x14ac:dyDescent="0.2">
      <c r="A372" s="176"/>
      <c r="D372" s="225" t="s">
        <v>42</v>
      </c>
      <c r="E372" s="226"/>
      <c r="F372" s="226"/>
      <c r="G372" s="226"/>
      <c r="H372" s="228">
        <f>H315*IF(H186="No",0,1)*'Prev Treat'!J16</f>
        <v>0</v>
      </c>
      <c r="I372" s="228">
        <f>I315*IF(I186="No",0,1)*'Prev Treat'!K16</f>
        <v>0</v>
      </c>
      <c r="J372" s="228">
        <f>J315*IF(J186="No",0,1)*'Prev Treat'!L16</f>
        <v>0</v>
      </c>
      <c r="K372" s="228">
        <f>K315*IF(K186="No",0,1)*'Prev Treat'!M16</f>
        <v>0</v>
      </c>
      <c r="L372" s="228">
        <f>L315*IF(L186="No",0,1)*'Prev Treat'!O16</f>
        <v>0</v>
      </c>
      <c r="M372" s="228">
        <f>M315*IF(M186="No",0,1)*'Prev Treat'!O16</f>
        <v>0</v>
      </c>
      <c r="S372" s="359" t="str">
        <f t="shared" si="108"/>
        <v/>
      </c>
      <c r="V372" s="228">
        <f t="shared" si="105"/>
        <v>0</v>
      </c>
    </row>
    <row r="373" spans="1:22" x14ac:dyDescent="0.2">
      <c r="A373" s="176"/>
      <c r="D373" s="225" t="s">
        <v>43</v>
      </c>
      <c r="E373" s="226"/>
      <c r="F373" s="226"/>
      <c r="G373" s="226"/>
      <c r="H373" s="228">
        <f>H316*IF(H187="No",0,1)*'Prev Treat'!J17</f>
        <v>471828.75546889735</v>
      </c>
      <c r="I373" s="717">
        <f>I316*IF(I187="No",0,1)*'Prev Treat'!K17</f>
        <v>514293.34346109815</v>
      </c>
      <c r="J373" s="717">
        <f>J316*IF(J187="No",0,1)*'Prev Treat'!L17</f>
        <v>560579.74437259708</v>
      </c>
      <c r="K373" s="717">
        <f>K316*IF(K187="No",0,1)*'Prev Treat'!M17</f>
        <v>244498.0345517417</v>
      </c>
      <c r="L373" s="717">
        <f>L316*IF(L187="No",0,1)*'Prev Treat'!O17</f>
        <v>433071.88705434167</v>
      </c>
      <c r="M373" s="717">
        <f>M316*IF(M187="No",0,1)*'Prev Treat'!O17</f>
        <v>471828.75546889735</v>
      </c>
      <c r="S373" s="359" t="str">
        <f t="shared" si="108"/>
        <v/>
      </c>
      <c r="V373" s="228">
        <f t="shared" si="105"/>
        <v>0</v>
      </c>
    </row>
    <row r="374" spans="1:22" x14ac:dyDescent="0.2">
      <c r="A374" s="176"/>
      <c r="D374" s="225" t="s">
        <v>44</v>
      </c>
      <c r="E374" s="226"/>
      <c r="F374" s="226"/>
      <c r="G374" s="226"/>
      <c r="H374" s="717">
        <f>H317*IF(H188="No",0,1)*'Prev Treat'!J18</f>
        <v>629105.00729186309</v>
      </c>
      <c r="I374" s="717">
        <f>I317*IF(I188="No",0,1)*'Prev Treat'!K18</f>
        <v>685724.45794813079</v>
      </c>
      <c r="J374" s="717">
        <f>J317*IF(J188="No",0,1)*'Prev Treat'!L18</f>
        <v>747439.6591634627</v>
      </c>
      <c r="K374" s="717">
        <f>K317*IF(K188="No",0,1)*'Prev Treat'!M18</f>
        <v>325997.37940232223</v>
      </c>
      <c r="L374" s="717">
        <f>L317*IF(L188="No",0,1)*'Prev Treat'!O18</f>
        <v>577429.18273912219</v>
      </c>
      <c r="M374" s="717">
        <f>M317*IF(M188="No",0,1)*'Prev Treat'!O18</f>
        <v>629105.00729186309</v>
      </c>
      <c r="S374" s="359" t="str">
        <f t="shared" si="108"/>
        <v/>
      </c>
      <c r="V374" s="228">
        <f t="shared" si="105"/>
        <v>0</v>
      </c>
    </row>
    <row r="375" spans="1:22" x14ac:dyDescent="0.2">
      <c r="A375" s="176"/>
      <c r="D375" s="225" t="s">
        <v>45</v>
      </c>
      <c r="E375" s="226"/>
      <c r="F375" s="226"/>
      <c r="G375" s="226"/>
      <c r="H375" s="717">
        <f>H318*IF(H189="No",0,1)*'Prev Treat'!J19</f>
        <v>629105.00729186309</v>
      </c>
      <c r="I375" s="717">
        <f>I318*IF(I189="No",0,1)*'Prev Treat'!K19</f>
        <v>685724.45794813079</v>
      </c>
      <c r="J375" s="717">
        <f>J318*IF(J189="No",0,1)*'Prev Treat'!L19</f>
        <v>747439.6591634627</v>
      </c>
      <c r="K375" s="717">
        <f>K318*IF(K189="No",0,1)*'Prev Treat'!M19</f>
        <v>325997.37940232223</v>
      </c>
      <c r="L375" s="717">
        <f>L318*IF(L189="No",0,1)*'Prev Treat'!O19</f>
        <v>577429.18273912219</v>
      </c>
      <c r="M375" s="717">
        <f>M318*IF(M189="No",0,1)*'Prev Treat'!O19</f>
        <v>629105.00729186309</v>
      </c>
      <c r="S375" s="359" t="str">
        <f t="shared" si="108"/>
        <v/>
      </c>
      <c r="V375" s="228">
        <f t="shared" si="105"/>
        <v>0</v>
      </c>
    </row>
    <row r="376" spans="1:22" x14ac:dyDescent="0.2">
      <c r="A376" s="176"/>
      <c r="D376" s="227" t="s">
        <v>811</v>
      </c>
      <c r="E376" s="226"/>
      <c r="F376" s="226"/>
      <c r="G376" s="226"/>
      <c r="H376" s="228">
        <f>H301*IF(H190="No",0,1)*'Prev Treat'!J20</f>
        <v>1650468.7429225</v>
      </c>
      <c r="I376" s="717">
        <f>I301*IF(I190="No",0,1)*'Prev Treat'!K20</f>
        <v>1799010.9297855252</v>
      </c>
      <c r="J376" s="717">
        <f>J301*IF(J190="No",0,1)*'Prev Treat'!L20</f>
        <v>1960921.9134662224</v>
      </c>
      <c r="K376" s="717">
        <f>K301*IF(K190="No",0,1)*'Prev Treat'!M20</f>
        <v>855260.21688230045</v>
      </c>
      <c r="L376" s="717">
        <f>L301*IF(L190="No",0,1)*'Prev Treat'!O20</f>
        <v>1514896.2515252451</v>
      </c>
      <c r="M376" s="717">
        <f>M301*IF(M190="No",0,1)*'Prev Treat'!O20</f>
        <v>1650468.7429225</v>
      </c>
      <c r="S376" s="359" t="str">
        <f t="shared" si="108"/>
        <v/>
      </c>
      <c r="V376" s="228">
        <f t="shared" si="105"/>
        <v>0</v>
      </c>
    </row>
    <row r="377" spans="1:22" x14ac:dyDescent="0.2">
      <c r="A377" s="176"/>
      <c r="D377" s="227" t="s">
        <v>812</v>
      </c>
      <c r="E377" s="226"/>
      <c r="F377" s="226"/>
      <c r="G377" s="226"/>
      <c r="H377" s="717">
        <f>H302*IF(H191="No",0,1)*'Prev Treat'!J21</f>
        <v>1658214.9542746106</v>
      </c>
      <c r="I377" s="717">
        <f>I302*IF(I191="No",0,1)*'Prev Treat'!K21</f>
        <v>1807454.3001593258</v>
      </c>
      <c r="J377" s="717">
        <f>J302*IF(J191="No",0,1)*'Prev Treat'!L21</f>
        <v>1970125.187173665</v>
      </c>
      <c r="K377" s="717">
        <f>K302*IF(K191="No",0,1)*'Prev Treat'!M21</f>
        <v>860687.12873182027</v>
      </c>
      <c r="L377" s="717">
        <f>L302*IF(L191="No",0,1)*'Prev Treat'!O21</f>
        <v>1522898.6284046234</v>
      </c>
      <c r="M377" s="717">
        <f>M302*IF(M191="No",0,1)*'Prev Treat'!O21</f>
        <v>1658214.9542746106</v>
      </c>
      <c r="S377" s="359" t="str">
        <f t="shared" si="108"/>
        <v/>
      </c>
      <c r="V377" s="228">
        <f t="shared" si="105"/>
        <v>0</v>
      </c>
    </row>
    <row r="378" spans="1:22" x14ac:dyDescent="0.2">
      <c r="A378" s="176"/>
      <c r="D378" s="227" t="s">
        <v>813</v>
      </c>
      <c r="E378" s="226"/>
      <c r="F378" s="226"/>
      <c r="G378" s="226"/>
      <c r="H378" s="717">
        <f>H303*IF(H192="No",0,1)*'Prev Treat'!J22</f>
        <v>1639519.1985845861</v>
      </c>
      <c r="I378" s="717">
        <f>I303*IF(I192="No",0,1)*'Prev Treat'!K22</f>
        <v>1787075.9264571988</v>
      </c>
      <c r="J378" s="717">
        <f>J303*IF(J192="No",0,1)*'Prev Treat'!L22</f>
        <v>1947912.7598383469</v>
      </c>
      <c r="K378" s="717">
        <f>K303*IF(K192="No",0,1)*'Prev Treat'!M22</f>
        <v>852527.55669221573</v>
      </c>
      <c r="L378" s="717">
        <f>L303*IF(L192="No",0,1)*'Prev Treat'!O22</f>
        <v>1506688.1328906023</v>
      </c>
      <c r="M378" s="717">
        <f>M303*IF(M192="No",0,1)*'Prev Treat'!O22</f>
        <v>1639519.1985845861</v>
      </c>
      <c r="S378" s="359" t="str">
        <f t="shared" si="108"/>
        <v/>
      </c>
      <c r="V378" s="228">
        <f t="shared" si="105"/>
        <v>0</v>
      </c>
    </row>
    <row r="379" spans="1:22" x14ac:dyDescent="0.2">
      <c r="A379" s="176"/>
      <c r="D379" s="227" t="s">
        <v>814</v>
      </c>
      <c r="E379" s="226"/>
      <c r="F379" s="226"/>
      <c r="G379" s="226"/>
      <c r="H379" s="717">
        <f>H304*IF(H193="No",0,1)*'Prev Treat'!J23</f>
        <v>1597574.3649677057</v>
      </c>
      <c r="I379" s="717">
        <f>I304*IF(I193="No",0,1)*'Prev Treat'!K23</f>
        <v>1741356.0578147992</v>
      </c>
      <c r="J379" s="717">
        <f>J304*IF(J193="No",0,1)*'Prev Treat'!L23</f>
        <v>1898078.1030181311</v>
      </c>
      <c r="K379" s="717">
        <f>K304*IF(K193="No",0,1)*'Prev Treat'!M23</f>
        <v>831949.64098924503</v>
      </c>
      <c r="L379" s="717">
        <f>L304*IF(L193="No",0,1)*'Prev Treat'!O23</f>
        <v>1468911.739744843</v>
      </c>
      <c r="M379" s="717">
        <f>M304*IF(M193="No",0,1)*'Prev Treat'!O23</f>
        <v>1597574.3649677057</v>
      </c>
      <c r="S379" s="359" t="str">
        <f t="shared" si="108"/>
        <v/>
      </c>
      <c r="V379" s="228">
        <f t="shared" si="105"/>
        <v>0</v>
      </c>
    </row>
    <row r="380" spans="1:22" x14ac:dyDescent="0.2">
      <c r="A380" s="176"/>
      <c r="D380" s="401" t="s">
        <v>1018</v>
      </c>
      <c r="E380" s="402"/>
      <c r="F380" s="402"/>
      <c r="G380" s="402"/>
      <c r="H380" s="403">
        <f>H305*IF(H194="No",0,1)*'Prev Treat'!J24</f>
        <v>0</v>
      </c>
      <c r="I380" s="403">
        <f>I305*IF(I194="No",0,1)*'Prev Treat'!K24</f>
        <v>0</v>
      </c>
      <c r="J380" s="403">
        <f>J305*IF(J194="No",0,1)*'Prev Treat'!L24</f>
        <v>0</v>
      </c>
      <c r="K380" s="403">
        <f>K305*IF(K194="No",0,1)*'Prev Treat'!M24</f>
        <v>0</v>
      </c>
      <c r="L380" s="403">
        <f>L305*IF(L194="No",0,1)*'Prev Treat'!O24</f>
        <v>0</v>
      </c>
      <c r="M380" s="403">
        <f>M305*IF(M194="No",0,1)*'Prev Treat'!O24</f>
        <v>0</v>
      </c>
      <c r="V380" s="403">
        <f t="shared" si="105"/>
        <v>0</v>
      </c>
    </row>
    <row r="381" spans="1:22" ht="13.5" thickBot="1" x14ac:dyDescent="0.25">
      <c r="A381" s="176"/>
      <c r="H381" s="387">
        <f>SUM(H371:H380)</f>
        <v>8275816.0308020264</v>
      </c>
      <c r="I381" s="387">
        <f t="shared" ref="I381:K381" si="111">SUM(I371:I380)</f>
        <v>9020639.4735742081</v>
      </c>
      <c r="J381" s="387">
        <f t="shared" si="111"/>
        <v>9832497.0261958875</v>
      </c>
      <c r="K381" s="387">
        <f t="shared" si="111"/>
        <v>4296917.3366519678</v>
      </c>
      <c r="L381" s="387">
        <f t="shared" ref="L381" si="112">SUM(L371:L380)</f>
        <v>7601325.0050979005</v>
      </c>
      <c r="M381" s="585">
        <f>SUM(M371:M380)*N381</f>
        <v>8275816.0308020264</v>
      </c>
      <c r="N381" s="583">
        <f>('Budget Choices Workings'!D25*PDOH!M444/PDOH!H28)</f>
        <v>1</v>
      </c>
      <c r="P381" s="260" t="s">
        <v>864</v>
      </c>
      <c r="R381" s="356" t="s">
        <v>987</v>
      </c>
      <c r="S381" s="359" t="str">
        <f>CONCATENATE(P381,R381)</f>
        <v>MSCI</v>
      </c>
      <c r="V381" s="585">
        <f t="shared" si="105"/>
        <v>0</v>
      </c>
    </row>
    <row r="382" spans="1:22" ht="13.5" thickTop="1" x14ac:dyDescent="0.2">
      <c r="A382" s="176"/>
      <c r="H382" s="346"/>
      <c r="I382" s="346"/>
      <c r="J382" s="346"/>
      <c r="K382" s="346"/>
      <c r="L382" s="346"/>
      <c r="M382" s="346"/>
      <c r="S382" s="359" t="str">
        <f t="shared" ref="S382:S437" si="113">CONCATENATE(P382,R382)</f>
        <v/>
      </c>
      <c r="V382" s="346">
        <f t="shared" si="105"/>
        <v>0</v>
      </c>
    </row>
    <row r="383" spans="1:22" x14ac:dyDescent="0.2">
      <c r="A383" s="176"/>
      <c r="H383" s="346"/>
      <c r="I383" s="346"/>
      <c r="J383" s="346"/>
      <c r="K383" s="346"/>
      <c r="L383" s="346"/>
      <c r="M383" s="346"/>
      <c r="S383" s="359" t="str">
        <f t="shared" si="113"/>
        <v/>
      </c>
      <c r="V383" s="346">
        <f t="shared" si="105"/>
        <v>0</v>
      </c>
    </row>
    <row r="384" spans="1:22" x14ac:dyDescent="0.2">
      <c r="A384" s="176"/>
      <c r="D384" s="5" t="s">
        <v>1008</v>
      </c>
      <c r="G384" s="5" t="s">
        <v>1369</v>
      </c>
      <c r="H384" s="465">
        <f>H315</f>
        <v>14336.941825247568</v>
      </c>
      <c r="I384" s="465">
        <f t="shared" ref="I384:L384" si="114">I315</f>
        <v>14336.941825247568</v>
      </c>
      <c r="J384" s="465">
        <f t="shared" si="114"/>
        <v>14336.941825247568</v>
      </c>
      <c r="K384" s="465">
        <f t="shared" si="114"/>
        <v>7429.2930583938542</v>
      </c>
      <c r="L384" s="465">
        <f t="shared" si="114"/>
        <v>13159.279460782185</v>
      </c>
      <c r="M384" s="465">
        <f>M315*N385</f>
        <v>14336.941825247568</v>
      </c>
      <c r="S384" s="359" t="str">
        <f t="shared" si="113"/>
        <v/>
      </c>
      <c r="V384" s="346">
        <f t="shared" si="105"/>
        <v>0</v>
      </c>
    </row>
    <row r="385" spans="1:22" ht="13.5" thickBot="1" x14ac:dyDescent="0.25">
      <c r="A385" s="176"/>
      <c r="D385" s="90" t="s">
        <v>965</v>
      </c>
      <c r="G385" s="356"/>
      <c r="H385" s="235">
        <f>H315*IF(H203="Yes",1,0)*'Prev Treat'!J30</f>
        <v>26087786.084056977</v>
      </c>
      <c r="I385" s="235">
        <f>I315*IF(I203="Yes",1,0)*'Prev Treat'!K30</f>
        <v>28435686.831622109</v>
      </c>
      <c r="J385" s="235">
        <f>J315*IF(J203="Yes",1,0)*'Prev Treat'!L30</f>
        <v>30994898.646468099</v>
      </c>
      <c r="K385" s="235">
        <f>K315*IF(K203="Yes",1,0)*'Prev Treat'!M30</f>
        <v>13518490.234914623</v>
      </c>
      <c r="L385" s="235">
        <f>L315*IF(L203="Yes",1,0)*'Prev Treat'!O30</f>
        <v>23944888.092428479</v>
      </c>
      <c r="M385" s="586">
        <f>(M315*IF(M203="Yes",1,0)*'Prev Treat'!O30)*N385</f>
        <v>26087786.084056977</v>
      </c>
      <c r="N385" s="581">
        <f>IF('Budget Choices Workings'!D26="Discontinue",0,1)</f>
        <v>1</v>
      </c>
      <c r="P385" s="260" t="s">
        <v>864</v>
      </c>
      <c r="R385" s="356" t="s">
        <v>986</v>
      </c>
      <c r="S385" s="359" t="str">
        <f t="shared" si="113"/>
        <v>MSPI</v>
      </c>
      <c r="V385" s="586">
        <f t="shared" si="105"/>
        <v>0</v>
      </c>
    </row>
    <row r="386" spans="1:22" ht="13.5" thickTop="1" x14ac:dyDescent="0.2">
      <c r="A386" s="176"/>
      <c r="D386" s="90"/>
      <c r="H386" s="376"/>
      <c r="I386" s="376"/>
      <c r="J386" s="376"/>
      <c r="K386" s="376"/>
      <c r="L386" s="376"/>
      <c r="M386" s="376"/>
      <c r="V386" s="376">
        <f t="shared" si="105"/>
        <v>0</v>
      </c>
    </row>
    <row r="387" spans="1:22" x14ac:dyDescent="0.2">
      <c r="A387" s="176"/>
      <c r="D387" s="90"/>
      <c r="H387" s="346"/>
      <c r="I387" s="346"/>
      <c r="J387" s="346"/>
      <c r="K387" s="346"/>
      <c r="L387" s="346"/>
      <c r="M387" s="346"/>
      <c r="V387" s="346">
        <f t="shared" si="105"/>
        <v>0</v>
      </c>
    </row>
    <row r="388" spans="1:22" x14ac:dyDescent="0.2">
      <c r="A388" s="176"/>
      <c r="D388" s="4" t="s">
        <v>982</v>
      </c>
      <c r="H388" s="346">
        <f>H178</f>
        <v>10800709.522368424</v>
      </c>
      <c r="I388" s="346">
        <f>I178</f>
        <v>11772773.379381584</v>
      </c>
      <c r="J388" s="346">
        <f>J178</f>
        <v>12832322.983525928</v>
      </c>
      <c r="K388" s="346">
        <f>K178</f>
        <v>5596844.6589462617</v>
      </c>
      <c r="L388" s="346">
        <f>L178</f>
        <v>9913519.6830669362</v>
      </c>
      <c r="M388" s="587">
        <f>M178*N388</f>
        <v>10800709.522368424</v>
      </c>
      <c r="N388" s="581">
        <f>IF('Budget Choices Workings'!D27="Discontinue",0,1)</f>
        <v>1</v>
      </c>
      <c r="P388" s="260" t="s">
        <v>864</v>
      </c>
      <c r="R388" s="356" t="s">
        <v>986</v>
      </c>
      <c r="S388" s="359" t="str">
        <f t="shared" si="113"/>
        <v>MSPI</v>
      </c>
      <c r="V388" s="587">
        <f t="shared" si="105"/>
        <v>0</v>
      </c>
    </row>
    <row r="389" spans="1:22" x14ac:dyDescent="0.2">
      <c r="A389" s="176"/>
      <c r="H389" s="346"/>
      <c r="I389" s="346"/>
      <c r="J389" s="346"/>
      <c r="K389" s="346"/>
      <c r="L389" s="346"/>
      <c r="M389" s="346"/>
      <c r="S389" s="359" t="str">
        <f t="shared" si="113"/>
        <v/>
      </c>
      <c r="V389" s="346">
        <f t="shared" si="105"/>
        <v>0</v>
      </c>
    </row>
    <row r="390" spans="1:22" x14ac:dyDescent="0.2">
      <c r="A390" s="176"/>
      <c r="C390" s="230" t="s">
        <v>853</v>
      </c>
      <c r="D390" s="224"/>
      <c r="E390" s="224"/>
      <c r="F390" s="224"/>
      <c r="G390" s="224"/>
      <c r="H390" s="224"/>
      <c r="S390" s="359" t="str">
        <f t="shared" si="113"/>
        <v/>
      </c>
      <c r="V390" s="5">
        <f t="shared" si="105"/>
        <v>0</v>
      </c>
    </row>
    <row r="391" spans="1:22" x14ac:dyDescent="0.2">
      <c r="A391" s="176"/>
      <c r="D391" s="64" t="s">
        <v>688</v>
      </c>
      <c r="S391" s="359" t="str">
        <f t="shared" si="113"/>
        <v/>
      </c>
      <c r="V391" s="5">
        <f t="shared" si="105"/>
        <v>0</v>
      </c>
    </row>
    <row r="392" spans="1:22" x14ac:dyDescent="0.2">
      <c r="A392" s="176"/>
      <c r="G392" s="617" t="s">
        <v>1273</v>
      </c>
      <c r="H392" s="218">
        <f>IF(G1="South Africa",9,1)</f>
        <v>9</v>
      </c>
      <c r="S392" s="359" t="str">
        <f t="shared" si="113"/>
        <v/>
      </c>
      <c r="V392" s="5">
        <f t="shared" si="105"/>
        <v>9</v>
      </c>
    </row>
    <row r="393" spans="1:22" x14ac:dyDescent="0.2">
      <c r="A393" s="176"/>
      <c r="D393" s="65" t="s">
        <v>2</v>
      </c>
      <c r="H393" s="243">
        <f>$G43*GenAssumptions!D16*PDOH!H43</f>
        <v>35444.07</v>
      </c>
      <c r="I393" s="243">
        <f>$G43*GenAssumptions!E16*PDOH!I43</f>
        <v>37783.378620000003</v>
      </c>
      <c r="J393" s="243">
        <f>$G43*GenAssumptions!F16*PDOH!J43</f>
        <v>40277.081608920009</v>
      </c>
      <c r="K393" s="243">
        <f>$G43*GenAssumptions!G16*PDOH!K43</f>
        <v>35444.07</v>
      </c>
      <c r="L393" s="243">
        <f>$G43*GenAssumptions!I16*PDOH!L43</f>
        <v>35444.07</v>
      </c>
      <c r="M393" s="243">
        <f>$G43*GenAssumptions!I16*PDOH!M43</f>
        <v>35444.07</v>
      </c>
      <c r="S393" s="359" t="str">
        <f t="shared" si="113"/>
        <v/>
      </c>
      <c r="V393" s="243">
        <f t="shared" si="105"/>
        <v>0</v>
      </c>
    </row>
    <row r="394" spans="1:22" x14ac:dyDescent="0.2">
      <c r="A394" s="176"/>
      <c r="D394" s="65" t="s">
        <v>3</v>
      </c>
      <c r="H394" s="243">
        <f>$G44*GenAssumptions!D17*PDOH!H44</f>
        <v>28947.059999999998</v>
      </c>
      <c r="I394" s="243">
        <f>$G44*GenAssumptions!E17*PDOH!I44</f>
        <v>30857.56596</v>
      </c>
      <c r="J394" s="243">
        <f>$G44*GenAssumptions!F17*PDOH!J44</f>
        <v>32894.165313359998</v>
      </c>
      <c r="K394" s="243">
        <f>$G44*GenAssumptions!G17*PDOH!K44</f>
        <v>28947.059999999998</v>
      </c>
      <c r="L394" s="243">
        <f>$G44*GenAssumptions!I17*PDOH!L44</f>
        <v>28947.059999999998</v>
      </c>
      <c r="M394" s="243">
        <f>$G44*GenAssumptions!I17*PDOH!M44</f>
        <v>28947.059999999998</v>
      </c>
      <c r="S394" s="359" t="str">
        <f t="shared" si="113"/>
        <v/>
      </c>
      <c r="V394" s="243">
        <f t="shared" si="105"/>
        <v>0</v>
      </c>
    </row>
    <row r="395" spans="1:22" x14ac:dyDescent="0.2">
      <c r="A395" s="176"/>
      <c r="D395" s="65" t="s">
        <v>5</v>
      </c>
      <c r="H395" s="243">
        <f>$G45*GenAssumptions!D18*PDOH!H45</f>
        <v>63082.200000000004</v>
      </c>
      <c r="I395" s="243">
        <f>$G45*GenAssumptions!E18*PDOH!I45</f>
        <v>67245.625200000009</v>
      </c>
      <c r="J395" s="243">
        <f>$G45*GenAssumptions!F18*PDOH!J45</f>
        <v>71683.836463200016</v>
      </c>
      <c r="K395" s="243">
        <f>$G45*GenAssumptions!G18*PDOH!K45</f>
        <v>63082.200000000004</v>
      </c>
      <c r="L395" s="243">
        <f>$G45*GenAssumptions!I18*PDOH!L45</f>
        <v>63082.200000000004</v>
      </c>
      <c r="M395" s="243">
        <f>$G45*GenAssumptions!I18*PDOH!M45</f>
        <v>63082.200000000004</v>
      </c>
      <c r="S395" s="359" t="str">
        <f t="shared" si="113"/>
        <v/>
      </c>
      <c r="V395" s="243">
        <f t="shared" si="105"/>
        <v>0</v>
      </c>
    </row>
    <row r="396" spans="1:22" x14ac:dyDescent="0.2">
      <c r="A396" s="176"/>
      <c r="D396" s="65" t="s">
        <v>815</v>
      </c>
      <c r="H396" s="243">
        <f>$G46*GenAssumptions!D19*PDOH!H46</f>
        <v>16899.900000000001</v>
      </c>
      <c r="I396" s="243">
        <f>$G46*GenAssumptions!E19*PDOH!I46</f>
        <v>18015.293400000002</v>
      </c>
      <c r="J396" s="243">
        <f>$G46*GenAssumptions!F19*PDOH!J46</f>
        <v>19204.302764400003</v>
      </c>
      <c r="K396" s="243">
        <f>$G46*GenAssumptions!G19*PDOH!K46</f>
        <v>16899.900000000001</v>
      </c>
      <c r="L396" s="243">
        <f>$G46*GenAssumptions!I19*PDOH!L46</f>
        <v>16899.900000000001</v>
      </c>
      <c r="M396" s="243">
        <f>$G46*GenAssumptions!I19*PDOH!M46</f>
        <v>16899.900000000001</v>
      </c>
      <c r="S396" s="359" t="str">
        <f t="shared" si="113"/>
        <v/>
      </c>
      <c r="V396" s="243">
        <f t="shared" si="105"/>
        <v>0</v>
      </c>
    </row>
    <row r="397" spans="1:22" x14ac:dyDescent="0.2">
      <c r="A397" s="176"/>
      <c r="D397" s="65" t="s">
        <v>1151</v>
      </c>
      <c r="H397" s="243">
        <f>$G47*GenAssumptions!D20*PDOH!H47</f>
        <v>11390.1</v>
      </c>
      <c r="I397" s="243">
        <f>$G47*GenAssumptions!E20*PDOH!I47</f>
        <v>12141.846600000001</v>
      </c>
      <c r="J397" s="243">
        <f>$G47*GenAssumptions!F20*PDOH!J47</f>
        <v>12943.208475600002</v>
      </c>
      <c r="K397" s="243">
        <f>$G47*GenAssumptions!G20*PDOH!K47</f>
        <v>11390.1</v>
      </c>
      <c r="L397" s="243">
        <f>$G47*GenAssumptions!I20*PDOH!L47</f>
        <v>11390.1</v>
      </c>
      <c r="M397" s="243">
        <f>$G47*GenAssumptions!I20*PDOH!M47</f>
        <v>11390.1</v>
      </c>
      <c r="S397" s="359" t="str">
        <f t="shared" si="113"/>
        <v/>
      </c>
      <c r="V397" s="243">
        <f t="shared" si="105"/>
        <v>0</v>
      </c>
    </row>
    <row r="398" spans="1:22" x14ac:dyDescent="0.2">
      <c r="A398" s="176"/>
      <c r="D398" s="65" t="s">
        <v>647</v>
      </c>
      <c r="H398" s="243">
        <f>$G48*GenAssumptions!D21*PDOH!H48</f>
        <v>29716.800000000003</v>
      </c>
      <c r="I398" s="243">
        <f>$G48*GenAssumptions!E21*PDOH!I48</f>
        <v>31678.108800000002</v>
      </c>
      <c r="J398" s="243">
        <f>$G48*GenAssumptions!F21*PDOH!J48</f>
        <v>33768.863980800001</v>
      </c>
      <c r="K398" s="243">
        <f>$G48*GenAssumptions!G21*PDOH!K48</f>
        <v>29716.800000000003</v>
      </c>
      <c r="L398" s="243">
        <f>$G48*GenAssumptions!I21*PDOH!L48</f>
        <v>29716.800000000003</v>
      </c>
      <c r="M398" s="243">
        <f>$G48*GenAssumptions!I21*PDOH!M48</f>
        <v>29716.800000000003</v>
      </c>
      <c r="S398" s="359" t="str">
        <f t="shared" si="113"/>
        <v/>
      </c>
      <c r="V398" s="243">
        <f t="shared" si="105"/>
        <v>0</v>
      </c>
    </row>
    <row r="399" spans="1:22" x14ac:dyDescent="0.2">
      <c r="A399" s="176"/>
      <c r="H399" s="244">
        <f>SUM(H393:H398)</f>
        <v>185480.13</v>
      </c>
      <c r="I399" s="245">
        <f t="shared" ref="I399" si="115">SUM(I393:I398)</f>
        <v>197721.81858000002</v>
      </c>
      <c r="J399" s="245">
        <f t="shared" ref="J399" si="116">SUM(J393:J398)</f>
        <v>210771.45860628001</v>
      </c>
      <c r="K399" s="245">
        <f t="shared" ref="K399:L399" si="117">SUM(K393:K398)</f>
        <v>185480.13</v>
      </c>
      <c r="L399" s="245">
        <f t="shared" si="117"/>
        <v>185480.13</v>
      </c>
      <c r="M399" s="246">
        <f t="shared" ref="M399" si="118">SUM(M393:M398)</f>
        <v>185480.13</v>
      </c>
      <c r="S399" s="359" t="str">
        <f t="shared" si="113"/>
        <v/>
      </c>
      <c r="V399" s="246">
        <f t="shared" si="105"/>
        <v>0</v>
      </c>
    </row>
    <row r="400" spans="1:22" x14ac:dyDescent="0.2">
      <c r="A400" s="176"/>
      <c r="D400" s="5" t="s">
        <v>852</v>
      </c>
      <c r="H400" s="618">
        <f>H399*H58*$H$392</f>
        <v>333864.23400000005</v>
      </c>
      <c r="I400" s="618">
        <f>I399*I58*$H$392</f>
        <v>355899.27344400005</v>
      </c>
      <c r="J400" s="618">
        <f>J399*J58*$H$392</f>
        <v>379388.62549130403</v>
      </c>
      <c r="K400" s="618">
        <f>K399*K58*$H$392</f>
        <v>333864.23400000005</v>
      </c>
      <c r="L400" s="618">
        <f>L399*L58*$H$392</f>
        <v>333864.23400000005</v>
      </c>
      <c r="M400" s="616">
        <f>M399*M58*N400*H392</f>
        <v>0</v>
      </c>
      <c r="N400" s="5">
        <f>IF('Budget Choices Workings'!$D$18="Discontinue",0,1)</f>
        <v>0</v>
      </c>
      <c r="P400" s="260" t="s">
        <v>865</v>
      </c>
      <c r="R400" s="356" t="s">
        <v>984</v>
      </c>
      <c r="S400" s="359" t="str">
        <f t="shared" si="113"/>
        <v>COEPM</v>
      </c>
      <c r="V400" s="234">
        <f t="shared" si="105"/>
        <v>333864.23400000005</v>
      </c>
    </row>
    <row r="401" spans="1:22" x14ac:dyDescent="0.2">
      <c r="A401" s="176"/>
      <c r="S401" s="359" t="str">
        <f t="shared" si="113"/>
        <v/>
      </c>
      <c r="V401" s="5">
        <f t="shared" si="105"/>
        <v>0</v>
      </c>
    </row>
    <row r="402" spans="1:22" x14ac:dyDescent="0.2">
      <c r="A402" s="176"/>
      <c r="D402" s="264" t="s">
        <v>821</v>
      </c>
      <c r="E402" s="179"/>
      <c r="F402" s="179"/>
      <c r="G402" s="179"/>
      <c r="H402" s="247">
        <f>H54*GenAssumptions!D57+PDOH!H55*GenAssumptions!D58+PDOH!H56*GenAssumptions!D59</f>
        <v>51600</v>
      </c>
      <c r="I402" s="247">
        <f>I54*GenAssumptions!E57+PDOH!I55*GenAssumptions!E58+PDOH!I56*GenAssumptions!E59</f>
        <v>27244.800000000003</v>
      </c>
      <c r="J402" s="247">
        <f>J54*GenAssumptions!F57+PDOH!J55*GenAssumptions!F58+PDOH!J56*GenAssumptions!F59</f>
        <v>28770.508800000003</v>
      </c>
      <c r="K402" s="247">
        <f>K54*GenAssumptions!G57+PDOH!K55*GenAssumptions!G58+PDOH!K56*GenAssumptions!G59</f>
        <v>51600</v>
      </c>
      <c r="L402" s="247">
        <f>L54*GenAssumptions!I57+PDOH!L55*GenAssumptions!I58+PDOH!L56*GenAssumptions!I59</f>
        <v>51600</v>
      </c>
      <c r="M402" s="248">
        <f>M54*GenAssumptions!I57+PDOH!M55*GenAssumptions!I58+PDOH!M56*GenAssumptions!I59</f>
        <v>51600</v>
      </c>
      <c r="S402" s="359" t="str">
        <f t="shared" si="113"/>
        <v/>
      </c>
      <c r="V402" s="248">
        <f t="shared" si="105"/>
        <v>0</v>
      </c>
    </row>
    <row r="403" spans="1:22" x14ac:dyDescent="0.2">
      <c r="A403" s="176"/>
      <c r="D403" s="232" t="s">
        <v>822</v>
      </c>
      <c r="E403" s="182"/>
      <c r="F403" s="182"/>
      <c r="G403" s="182"/>
      <c r="H403" s="233">
        <f>H402*H58*$H$392</f>
        <v>92880</v>
      </c>
      <c r="I403" s="233">
        <f>I402*I58*$H$392</f>
        <v>49040.640000000007</v>
      </c>
      <c r="J403" s="233">
        <f>J402*J58*$H$392</f>
        <v>51786.915840000016</v>
      </c>
      <c r="K403" s="233">
        <f>K402*K58*$H$392</f>
        <v>92880</v>
      </c>
      <c r="L403" s="233">
        <f>L402*L58*$H$392</f>
        <v>92880</v>
      </c>
      <c r="M403" s="615">
        <f>M402*M58*N403*H392</f>
        <v>0</v>
      </c>
      <c r="N403" s="5">
        <f>IF('Budget Choices Workings'!$D$18="Discontinue",0,1)</f>
        <v>0</v>
      </c>
      <c r="P403" s="260" t="s">
        <v>866</v>
      </c>
      <c r="R403" s="356" t="s">
        <v>984</v>
      </c>
      <c r="S403" s="359" t="str">
        <f t="shared" si="113"/>
        <v>GSPM</v>
      </c>
      <c r="V403" s="234">
        <f t="shared" si="105"/>
        <v>92880</v>
      </c>
    </row>
    <row r="404" spans="1:22" x14ac:dyDescent="0.2">
      <c r="A404" s="176"/>
      <c r="D404" s="4" t="s">
        <v>818</v>
      </c>
      <c r="S404" s="359" t="str">
        <f t="shared" si="113"/>
        <v/>
      </c>
      <c r="V404" s="5">
        <f t="shared" si="105"/>
        <v>0</v>
      </c>
    </row>
    <row r="405" spans="1:22" x14ac:dyDescent="0.2">
      <c r="A405" s="176"/>
      <c r="D405" s="5" t="s">
        <v>819</v>
      </c>
      <c r="H405" s="341">
        <f>H50*GenAssumptions!D51</f>
        <v>54000</v>
      </c>
      <c r="I405" s="341">
        <f>I50*GenAssumptions!E51</f>
        <v>57024</v>
      </c>
      <c r="J405" s="341">
        <f>J50*GenAssumptions!F51</f>
        <v>60217.343999999997</v>
      </c>
      <c r="K405" s="341">
        <f>K50*GenAssumptions!G51</f>
        <v>54000</v>
      </c>
      <c r="L405" s="341">
        <f>L50*GenAssumptions!I51</f>
        <v>54000</v>
      </c>
      <c r="M405" s="341">
        <f>M50*GenAssumptions!I51</f>
        <v>54000</v>
      </c>
      <c r="S405" s="359" t="str">
        <f t="shared" si="113"/>
        <v/>
      </c>
      <c r="V405" s="341">
        <f t="shared" si="105"/>
        <v>0</v>
      </c>
    </row>
    <row r="406" spans="1:22" x14ac:dyDescent="0.2">
      <c r="A406" s="176"/>
      <c r="D406" s="5" t="s">
        <v>960</v>
      </c>
      <c r="H406" s="342">
        <f>(H50+H52)*H51*GenAssumptions!D52+PDOH!H51*GenAssumptions!D54</f>
        <v>13000</v>
      </c>
      <c r="I406" s="342">
        <f>(I50+I52)*I51*GenAssumptions!E52+PDOH!I51*GenAssumptions!E54</f>
        <v>13728</v>
      </c>
      <c r="J406" s="342">
        <f>(J50+J52)*J51*GenAssumptions!F52+PDOH!J51*GenAssumptions!F54</f>
        <v>14496.768</v>
      </c>
      <c r="K406" s="342">
        <f>(K50+K52)*K51*GenAssumptions!G52+PDOH!K51*GenAssumptions!G54</f>
        <v>13000</v>
      </c>
      <c r="L406" s="342">
        <f>(L50+L52)*L51*GenAssumptions!I52+PDOH!L51*GenAssumptions!I54</f>
        <v>13000</v>
      </c>
      <c r="M406" s="342">
        <f>(M50+M52)*M51*GenAssumptions!I52+PDOH!M51*GenAssumptions!I54</f>
        <v>13000</v>
      </c>
      <c r="S406" s="359" t="str">
        <f t="shared" si="113"/>
        <v/>
      </c>
      <c r="V406" s="342">
        <f t="shared" si="105"/>
        <v>0</v>
      </c>
    </row>
    <row r="407" spans="1:22" ht="13.5" thickBot="1" x14ac:dyDescent="0.25">
      <c r="A407" s="176"/>
      <c r="H407" s="345">
        <f>SUM(H405:H406)</f>
        <v>67000</v>
      </c>
      <c r="I407" s="345">
        <f>SUM(I405:I406)</f>
        <v>70752</v>
      </c>
      <c r="J407" s="345">
        <f t="shared" ref="J407:M407" si="119">SUM(J405:J406)</f>
        <v>74714.111999999994</v>
      </c>
      <c r="K407" s="345">
        <f t="shared" si="119"/>
        <v>67000</v>
      </c>
      <c r="L407" s="345">
        <f t="shared" ref="L407" si="120">SUM(L405:L406)</f>
        <v>67000</v>
      </c>
      <c r="M407" s="345">
        <f t="shared" si="119"/>
        <v>67000</v>
      </c>
      <c r="S407" s="359" t="str">
        <f t="shared" si="113"/>
        <v/>
      </c>
      <c r="V407" s="345">
        <f t="shared" si="105"/>
        <v>0</v>
      </c>
    </row>
    <row r="408" spans="1:22" ht="13.5" thickTop="1" x14ac:dyDescent="0.2">
      <c r="A408" s="176"/>
      <c r="D408" s="182" t="s">
        <v>820</v>
      </c>
      <c r="E408" s="182"/>
      <c r="F408" s="182"/>
      <c r="G408" s="182"/>
      <c r="H408" s="343">
        <f>H407*H58*$H$392</f>
        <v>120600</v>
      </c>
      <c r="I408" s="343">
        <f>I407*I58*$H$392</f>
        <v>127353.60000000001</v>
      </c>
      <c r="J408" s="343">
        <f>J407*J58*$H$392</f>
        <v>134485.40159999998</v>
      </c>
      <c r="K408" s="343">
        <f>K407*K58*$H$392</f>
        <v>120600</v>
      </c>
      <c r="L408" s="343">
        <f>L407*L58*$H$392</f>
        <v>120600</v>
      </c>
      <c r="M408" s="614">
        <f>M407*M58*N408*H392</f>
        <v>0</v>
      </c>
      <c r="N408" s="5">
        <f>IF('Budget Choices Workings'!$D$18="Discontinue",0,1)</f>
        <v>0</v>
      </c>
      <c r="P408" s="260" t="s">
        <v>866</v>
      </c>
      <c r="R408" s="356" t="s">
        <v>984</v>
      </c>
      <c r="S408" s="359" t="str">
        <f t="shared" si="113"/>
        <v>GSPM</v>
      </c>
      <c r="V408" s="344">
        <f t="shared" si="105"/>
        <v>120600</v>
      </c>
    </row>
    <row r="409" spans="1:22" x14ac:dyDescent="0.2">
      <c r="A409" s="176"/>
      <c r="M409" s="611">
        <f>(H400+H403+H408)*N409</f>
        <v>547344.23400000005</v>
      </c>
      <c r="N409" s="5">
        <f>IF('Budget Choices Workings'!$D$18="Discontinue",1,0)</f>
        <v>1</v>
      </c>
      <c r="S409" s="359" t="str">
        <f t="shared" si="113"/>
        <v/>
      </c>
      <c r="V409" s="5">
        <f t="shared" si="105"/>
        <v>-547344.23400000005</v>
      </c>
    </row>
    <row r="410" spans="1:22" x14ac:dyDescent="0.2">
      <c r="A410" s="176"/>
      <c r="S410" s="359" t="str">
        <f t="shared" si="113"/>
        <v/>
      </c>
      <c r="V410" s="5">
        <f t="shared" si="105"/>
        <v>0</v>
      </c>
    </row>
    <row r="411" spans="1:22" s="236" customFormat="1" x14ac:dyDescent="0.2">
      <c r="A411" s="176"/>
      <c r="B411" s="237"/>
      <c r="D411" s="230"/>
      <c r="E411" s="230"/>
      <c r="F411" s="230"/>
      <c r="G411" s="230"/>
      <c r="H411" s="230"/>
      <c r="I411" s="230"/>
      <c r="P411" s="260"/>
      <c r="S411" s="359" t="str">
        <f t="shared" si="113"/>
        <v/>
      </c>
      <c r="V411" s="236">
        <f t="shared" si="105"/>
        <v>0</v>
      </c>
    </row>
    <row r="412" spans="1:22" x14ac:dyDescent="0.2">
      <c r="A412" s="176"/>
      <c r="C412" s="64" t="s">
        <v>497</v>
      </c>
      <c r="S412" s="359" t="str">
        <f t="shared" si="113"/>
        <v/>
      </c>
      <c r="V412" s="5">
        <f t="shared" si="105"/>
        <v>0</v>
      </c>
    </row>
    <row r="413" spans="1:22" x14ac:dyDescent="0.2">
      <c r="A413" s="176"/>
      <c r="D413" s="5" t="s">
        <v>2</v>
      </c>
      <c r="H413" s="192">
        <f>H63*GenAssumptions!D16</f>
        <v>413514.14999999997</v>
      </c>
      <c r="I413" s="192">
        <f>I63*GenAssumptions!E16</f>
        <v>440806.08390000003</v>
      </c>
      <c r="J413" s="192">
        <f>J63*GenAssumptions!F16</f>
        <v>469899.28543740005</v>
      </c>
      <c r="K413" s="192">
        <f>K63*GenAssumptions!G16</f>
        <v>413514.14999999997</v>
      </c>
      <c r="L413" s="192">
        <f>L63*GenAssumptions!I16</f>
        <v>413514.14999999997</v>
      </c>
      <c r="M413" s="192">
        <f>M63*GenAssumptions!I16</f>
        <v>413514.14999999997</v>
      </c>
      <c r="S413" s="359" t="str">
        <f t="shared" si="113"/>
        <v/>
      </c>
      <c r="V413" s="192">
        <f t="shared" si="105"/>
        <v>0</v>
      </c>
    </row>
    <row r="414" spans="1:22" x14ac:dyDescent="0.2">
      <c r="A414" s="176"/>
      <c r="D414" s="5" t="s">
        <v>3</v>
      </c>
      <c r="H414" s="192">
        <f>H64*GenAssumptions!D17</f>
        <v>482451</v>
      </c>
      <c r="I414" s="192">
        <f>I64*GenAssumptions!E17</f>
        <v>514292.766</v>
      </c>
      <c r="J414" s="192">
        <f>J64*GenAssumptions!F17</f>
        <v>548236.08855600003</v>
      </c>
      <c r="K414" s="192">
        <f>K64*GenAssumptions!G17</f>
        <v>482451</v>
      </c>
      <c r="L414" s="192">
        <f>L64*GenAssumptions!I17</f>
        <v>482451</v>
      </c>
      <c r="M414" s="192">
        <f>M64*GenAssumptions!I17</f>
        <v>482451</v>
      </c>
      <c r="S414" s="359" t="str">
        <f t="shared" si="113"/>
        <v/>
      </c>
      <c r="V414" s="192">
        <f t="shared" si="105"/>
        <v>0</v>
      </c>
    </row>
    <row r="415" spans="1:22" x14ac:dyDescent="0.2">
      <c r="A415" s="176"/>
      <c r="D415" s="5" t="s">
        <v>5</v>
      </c>
      <c r="H415" s="197">
        <f>H67*H24/GenAssumptions!$E$45*GenAssumptions!D19+H65*GenAssumptions!D19</f>
        <v>1077314.0387596898</v>
      </c>
      <c r="I415" s="197">
        <f>I67*I24/GenAssumptions!$E$45*GenAssumptions!E19+I65*GenAssumptions!E19</f>
        <v>1148416.7653178296</v>
      </c>
      <c r="J415" s="197">
        <f>J67*J24/GenAssumptions!$E$45*GenAssumptions!F19+J65*GenAssumptions!F19</f>
        <v>1224212.2718288063</v>
      </c>
      <c r="K415" s="197">
        <f>K67*K24/GenAssumptions!$E$45*GenAssumptions!G19+K65*GenAssumptions!G19</f>
        <v>1077314.0387596898</v>
      </c>
      <c r="L415" s="197">
        <f>L67*L24/GenAssumptions!$E$45*GenAssumptions!I19+L65*GenAssumptions!I19</f>
        <v>1077314.0387596898</v>
      </c>
      <c r="M415" s="197">
        <f>M67*M24/GenAssumptions!$E$45*GenAssumptions!I19+M65*GenAssumptions!I19</f>
        <v>1077314.0387596898</v>
      </c>
      <c r="S415" s="359" t="str">
        <f t="shared" si="113"/>
        <v/>
      </c>
      <c r="V415" s="197">
        <f t="shared" si="105"/>
        <v>0</v>
      </c>
    </row>
    <row r="416" spans="1:22" x14ac:dyDescent="0.2">
      <c r="A416" s="176"/>
      <c r="D416" s="5" t="s">
        <v>823</v>
      </c>
      <c r="H416" s="197">
        <f>H68*H24/GenAssumptions!$E$45*GenAssumptions!D18</f>
        <v>1695232.2480620155</v>
      </c>
      <c r="I416" s="197">
        <f>I68*I24/GenAssumptions!$E$45*GenAssumptions!E18</f>
        <v>1807117.5764341089</v>
      </c>
      <c r="J416" s="197">
        <f>J68*J24/GenAssumptions!$E$45*GenAssumptions!F18</f>
        <v>1926387.33647876</v>
      </c>
      <c r="K416" s="197">
        <f>K68*K24/GenAssumptions!$E$45*GenAssumptions!G18</f>
        <v>1695232.2480620155</v>
      </c>
      <c r="L416" s="197">
        <f>L68*L24/GenAssumptions!$E$45*GenAssumptions!I18</f>
        <v>1695232.2480620155</v>
      </c>
      <c r="M416" s="197">
        <f>M68*M24/GenAssumptions!$E$45*GenAssumptions!I18</f>
        <v>1695232.2480620155</v>
      </c>
      <c r="S416" s="359" t="str">
        <f t="shared" si="113"/>
        <v/>
      </c>
      <c r="V416" s="197">
        <f t="shared" si="105"/>
        <v>0</v>
      </c>
    </row>
    <row r="417" spans="1:22" x14ac:dyDescent="0.2">
      <c r="A417" s="176"/>
      <c r="D417" s="5" t="s">
        <v>1088</v>
      </c>
      <c r="H417" s="197">
        <f>H72/GenAssumptions!$E$45*PDOH!H73*GenAssumptions!D18</f>
        <v>97801.860465116275</v>
      </c>
      <c r="I417" s="197">
        <f>I72/GenAssumptions!$E$45*PDOH!I73*GenAssumptions!E18</f>
        <v>104256.78325581396</v>
      </c>
      <c r="J417" s="197">
        <f>J72/GenAssumptions!$E$45*PDOH!J73*GenAssumptions!F18</f>
        <v>111137.73095069769</v>
      </c>
      <c r="K417" s="197">
        <f>K72/GenAssumptions!$E$45*PDOH!K73*GenAssumptions!G18</f>
        <v>97801.860465116275</v>
      </c>
      <c r="L417" s="197">
        <f>L72/GenAssumptions!$E$45*PDOH!L73*GenAssumptions!I18</f>
        <v>97801.860465116275</v>
      </c>
      <c r="M417" s="197">
        <f>M72/GenAssumptions!$E$45*PDOH!M73*GenAssumptions!I18</f>
        <v>97801.860465116275</v>
      </c>
      <c r="V417" s="197">
        <f t="shared" si="105"/>
        <v>0</v>
      </c>
    </row>
    <row r="418" spans="1:22" x14ac:dyDescent="0.2">
      <c r="A418" s="176"/>
      <c r="D418" s="249" t="s">
        <v>822</v>
      </c>
      <c r="H418" s="249">
        <f t="shared" ref="H418:M418" si="121">SUM(H415:H416)*H69+H413+H414+H417</f>
        <v>1548276.2678294573</v>
      </c>
      <c r="I418" s="249">
        <f t="shared" si="121"/>
        <v>1650462.5015062017</v>
      </c>
      <c r="J418" s="249">
        <f t="shared" si="121"/>
        <v>1759393.0266056112</v>
      </c>
      <c r="K418" s="249">
        <f t="shared" si="121"/>
        <v>1548276.2678294573</v>
      </c>
      <c r="L418" s="249">
        <f t="shared" si="121"/>
        <v>1548276.2678294573</v>
      </c>
      <c r="M418" s="249">
        <f t="shared" si="121"/>
        <v>1548276.2678294573</v>
      </c>
      <c r="P418" s="260" t="s">
        <v>865</v>
      </c>
      <c r="R418" s="356" t="s">
        <v>984</v>
      </c>
      <c r="S418" s="359" t="str">
        <f t="shared" si="113"/>
        <v>COEPM</v>
      </c>
      <c r="V418" s="249">
        <f t="shared" si="105"/>
        <v>0</v>
      </c>
    </row>
    <row r="419" spans="1:22" x14ac:dyDescent="0.2">
      <c r="A419" s="176"/>
      <c r="D419" s="4"/>
      <c r="S419" s="359" t="str">
        <f t="shared" si="113"/>
        <v/>
      </c>
      <c r="V419" s="5">
        <f t="shared" si="105"/>
        <v>0</v>
      </c>
    </row>
    <row r="420" spans="1:22" x14ac:dyDescent="0.2">
      <c r="A420" s="176"/>
      <c r="C420" s="230" t="s">
        <v>854</v>
      </c>
      <c r="D420" s="230"/>
      <c r="E420" s="230"/>
      <c r="F420" s="230"/>
      <c r="G420" s="230"/>
      <c r="H420" s="230"/>
      <c r="I420" s="230"/>
      <c r="S420" s="359" t="str">
        <f t="shared" si="113"/>
        <v/>
      </c>
      <c r="V420" s="5">
        <f t="shared" si="105"/>
        <v>0</v>
      </c>
    </row>
    <row r="421" spans="1:22" x14ac:dyDescent="0.2">
      <c r="A421" s="176"/>
      <c r="C421" s="64" t="s">
        <v>540</v>
      </c>
      <c r="S421" s="359" t="str">
        <f t="shared" si="113"/>
        <v/>
      </c>
      <c r="V421" s="5">
        <f t="shared" si="105"/>
        <v>0</v>
      </c>
    </row>
    <row r="422" spans="1:22" x14ac:dyDescent="0.2">
      <c r="A422" s="176"/>
      <c r="S422" s="359" t="str">
        <f t="shared" si="113"/>
        <v/>
      </c>
      <c r="V422" s="5">
        <f t="shared" ref="V422:V498" si="122">H422-M422</f>
        <v>0</v>
      </c>
    </row>
    <row r="423" spans="1:22" x14ac:dyDescent="0.2">
      <c r="A423" s="176"/>
      <c r="S423" s="359" t="str">
        <f t="shared" si="113"/>
        <v/>
      </c>
      <c r="V423" s="5">
        <f t="shared" si="122"/>
        <v>0</v>
      </c>
    </row>
    <row r="424" spans="1:22" x14ac:dyDescent="0.2">
      <c r="A424" s="176"/>
      <c r="D424" s="5" t="s">
        <v>409</v>
      </c>
      <c r="H424" s="192">
        <f>H78*GenAssumptions!D16</f>
        <v>59073.450000000004</v>
      </c>
      <c r="I424" s="192">
        <f>I78*GenAssumptions!E16</f>
        <v>62972.29770000001</v>
      </c>
      <c r="J424" s="192">
        <f>J78*GenAssumptions!F16</f>
        <v>67128.469348200015</v>
      </c>
      <c r="K424" s="192">
        <f>K78*GenAssumptions!G16</f>
        <v>59073.450000000004</v>
      </c>
      <c r="L424" s="192">
        <f>L78*GenAssumptions!I16</f>
        <v>59073.450000000004</v>
      </c>
      <c r="M424" s="192">
        <f>M78*GenAssumptions!I16</f>
        <v>59073.450000000004</v>
      </c>
      <c r="S424" s="359" t="str">
        <f t="shared" si="113"/>
        <v/>
      </c>
      <c r="V424" s="192">
        <f t="shared" si="122"/>
        <v>0</v>
      </c>
    </row>
    <row r="425" spans="1:22" x14ac:dyDescent="0.2">
      <c r="A425" s="176"/>
      <c r="D425" s="5" t="s">
        <v>495</v>
      </c>
      <c r="H425" s="197">
        <f>H80*H25/GenAssumptions!$E$45*GenAssumptions!D19*PDOH!H81</f>
        <v>625514.64496124024</v>
      </c>
      <c r="I425" s="197">
        <f>I80*I25/GenAssumptions!$E$45*GenAssumptions!E19*PDOH!I81</f>
        <v>666798.61152868217</v>
      </c>
      <c r="J425" s="197">
        <f>J80*J25/GenAssumptions!$E$45*GenAssumptions!F19*PDOH!J81</f>
        <v>710807.31988957524</v>
      </c>
      <c r="K425" s="197">
        <f>K80*K25/GenAssumptions!$E$45*GenAssumptions!G19*PDOH!K81</f>
        <v>625514.64496124024</v>
      </c>
      <c r="L425" s="197">
        <f>L80*L25/GenAssumptions!$E$45*GenAssumptions!I19*PDOH!L81</f>
        <v>625514.64496124024</v>
      </c>
      <c r="M425" s="197">
        <f>M80*M25/GenAssumptions!$E$45*GenAssumptions!I19*PDOH!M81</f>
        <v>625514.64496124024</v>
      </c>
      <c r="S425" s="359" t="str">
        <f t="shared" si="113"/>
        <v/>
      </c>
      <c r="V425" s="197">
        <f t="shared" si="122"/>
        <v>0</v>
      </c>
    </row>
    <row r="426" spans="1:22" x14ac:dyDescent="0.2">
      <c r="A426" s="176"/>
      <c r="S426" s="359" t="str">
        <f t="shared" si="113"/>
        <v/>
      </c>
      <c r="V426" s="5">
        <f t="shared" si="122"/>
        <v>0</v>
      </c>
    </row>
    <row r="427" spans="1:22" x14ac:dyDescent="0.2">
      <c r="A427" s="176"/>
      <c r="D427" s="5" t="s">
        <v>35</v>
      </c>
      <c r="H427" s="197">
        <f>H83*H25/GenAssumptions!$E$46*GenAssumptions!D18</f>
        <v>7296426.2984496132</v>
      </c>
      <c r="I427" s="197">
        <f>I83*I25/GenAssumptions!$E$46*GenAssumptions!E18</f>
        <v>7777990.4341472881</v>
      </c>
      <c r="J427" s="197">
        <f>J83*J25/GenAssumptions!$E$46*GenAssumptions!F18</f>
        <v>8291337.8028010093</v>
      </c>
      <c r="K427" s="197">
        <f>K83*K25/GenAssumptions!$E$46*GenAssumptions!G18</f>
        <v>7296426.2984496132</v>
      </c>
      <c r="L427" s="197">
        <f>L83*L25/GenAssumptions!$E$46*GenAssumptions!I18</f>
        <v>7296426.2984496132</v>
      </c>
      <c r="M427" s="197">
        <f>M83*M25/GenAssumptions!$E$46*GenAssumptions!I18</f>
        <v>7296426.2984496132</v>
      </c>
      <c r="S427" s="359" t="str">
        <f t="shared" si="113"/>
        <v/>
      </c>
      <c r="V427" s="197">
        <f t="shared" si="122"/>
        <v>0</v>
      </c>
    </row>
    <row r="428" spans="1:22" x14ac:dyDescent="0.2">
      <c r="A428" s="176"/>
      <c r="D428" s="5" t="s">
        <v>10</v>
      </c>
      <c r="H428" s="197">
        <f>H84*H25/GenAssumptions!$E$46*GenAssumptions!D19</f>
        <v>7818933.0620155046</v>
      </c>
      <c r="I428" s="197">
        <f>I84*I25/GenAssumptions!$E$46*GenAssumptions!E19</f>
        <v>8334982.6441085283</v>
      </c>
      <c r="J428" s="197">
        <f>J84*J25/GenAssumptions!$E$46*GenAssumptions!F19</f>
        <v>8885091.4986196905</v>
      </c>
      <c r="K428" s="197">
        <f>K84*K25/GenAssumptions!$E$46*GenAssumptions!G19</f>
        <v>7818933.0620155046</v>
      </c>
      <c r="L428" s="197">
        <f>L84*L25/GenAssumptions!$E$46*GenAssumptions!I19</f>
        <v>7818933.0620155046</v>
      </c>
      <c r="M428" s="197">
        <f>M84*M25/GenAssumptions!$E$46*GenAssumptions!I19</f>
        <v>7818933.0620155046</v>
      </c>
      <c r="S428" s="359" t="str">
        <f t="shared" si="113"/>
        <v/>
      </c>
      <c r="V428" s="197">
        <f t="shared" si="122"/>
        <v>0</v>
      </c>
    </row>
    <row r="429" spans="1:22" x14ac:dyDescent="0.2">
      <c r="A429" s="176"/>
      <c r="D429" s="5" t="s">
        <v>9</v>
      </c>
      <c r="H429" s="197">
        <f>H86*GenAssumptions!D20</f>
        <v>34170.299999999996</v>
      </c>
      <c r="I429" s="197">
        <f>I86*GenAssumptions!E20</f>
        <v>36425.539799999999</v>
      </c>
      <c r="J429" s="197">
        <f>J86*GenAssumptions!F20</f>
        <v>38829.625426800005</v>
      </c>
      <c r="K429" s="197">
        <f>K86*GenAssumptions!G20</f>
        <v>34170.299999999996</v>
      </c>
      <c r="L429" s="197">
        <f>L86*GenAssumptions!I20</f>
        <v>34170.299999999996</v>
      </c>
      <c r="M429" s="197">
        <f>M86*GenAssumptions!I20</f>
        <v>34170.299999999996</v>
      </c>
      <c r="S429" s="359" t="str">
        <f t="shared" si="113"/>
        <v/>
      </c>
      <c r="V429" s="197">
        <f t="shared" si="122"/>
        <v>0</v>
      </c>
    </row>
    <row r="430" spans="1:22" ht="13.5" thickBot="1" x14ac:dyDescent="0.25">
      <c r="A430" s="176"/>
      <c r="H430" s="235">
        <f>SUM(H424:H429)</f>
        <v>15834117.755426358</v>
      </c>
      <c r="I430" s="235">
        <f t="shared" ref="I430:M430" si="123">SUM(I424:I429)</f>
        <v>16879169.527284499</v>
      </c>
      <c r="J430" s="235">
        <f t="shared" si="123"/>
        <v>17993194.716085274</v>
      </c>
      <c r="K430" s="235">
        <f t="shared" si="123"/>
        <v>15834117.755426358</v>
      </c>
      <c r="L430" s="235">
        <f t="shared" ref="L430" si="124">SUM(L424:L429)</f>
        <v>15834117.755426358</v>
      </c>
      <c r="M430" s="235">
        <f t="shared" si="123"/>
        <v>15834117.755426358</v>
      </c>
      <c r="P430" s="260" t="s">
        <v>865</v>
      </c>
      <c r="R430" s="356" t="s">
        <v>984</v>
      </c>
      <c r="S430" s="359" t="str">
        <f t="shared" si="113"/>
        <v>COEPM</v>
      </c>
      <c r="V430" s="235">
        <f t="shared" si="122"/>
        <v>0</v>
      </c>
    </row>
    <row r="431" spans="1:22" ht="14.25" thickTop="1" thickBot="1" x14ac:dyDescent="0.25">
      <c r="A431" s="176"/>
      <c r="D431" s="5" t="s">
        <v>7</v>
      </c>
      <c r="H431" s="235">
        <f>H87*H88*H25*GenAssumptions!D60</f>
        <v>26186.0625</v>
      </c>
      <c r="I431" s="235">
        <f>I87*I88*I25*GenAssumptions!E60</f>
        <v>27652.482000000004</v>
      </c>
      <c r="J431" s="235">
        <f>J87*J88*J25*GenAssumptions!F60</f>
        <v>29201.020992000005</v>
      </c>
      <c r="K431" s="235">
        <f>K87*K88*K25*GenAssumptions!G60</f>
        <v>26186.0625</v>
      </c>
      <c r="L431" s="235">
        <f>L87*L88*L25*GenAssumptions!I60</f>
        <v>26186.0625</v>
      </c>
      <c r="M431" s="235">
        <f>M87*M88*M25*GenAssumptions!I60</f>
        <v>26186.0625</v>
      </c>
      <c r="P431" s="260" t="s">
        <v>866</v>
      </c>
      <c r="R431" s="356" t="s">
        <v>984</v>
      </c>
      <c r="S431" s="359" t="str">
        <f t="shared" si="113"/>
        <v>GSPM</v>
      </c>
      <c r="V431" s="235">
        <f t="shared" si="122"/>
        <v>0</v>
      </c>
    </row>
    <row r="432" spans="1:22" ht="13.5" thickTop="1" x14ac:dyDescent="0.2">
      <c r="A432" s="176"/>
      <c r="S432" s="359" t="str">
        <f t="shared" si="113"/>
        <v/>
      </c>
      <c r="V432" s="5">
        <f t="shared" si="122"/>
        <v>0</v>
      </c>
    </row>
    <row r="433" spans="1:26" x14ac:dyDescent="0.2">
      <c r="A433" s="176"/>
      <c r="S433" s="359" t="str">
        <f t="shared" si="113"/>
        <v/>
      </c>
      <c r="V433" s="5">
        <f t="shared" si="122"/>
        <v>0</v>
      </c>
    </row>
    <row r="434" spans="1:26" x14ac:dyDescent="0.2">
      <c r="A434" s="176"/>
      <c r="D434" s="4" t="s">
        <v>538</v>
      </c>
      <c r="S434" s="359" t="str">
        <f t="shared" si="113"/>
        <v/>
      </c>
      <c r="V434" s="5">
        <f t="shared" si="122"/>
        <v>0</v>
      </c>
    </row>
    <row r="435" spans="1:26" x14ac:dyDescent="0.2">
      <c r="A435" s="176"/>
      <c r="S435" s="359" t="str">
        <f t="shared" si="113"/>
        <v/>
      </c>
      <c r="V435" s="5">
        <f t="shared" si="122"/>
        <v>0</v>
      </c>
    </row>
    <row r="436" spans="1:26" x14ac:dyDescent="0.2">
      <c r="A436" s="176"/>
      <c r="D436" s="5" t="s">
        <v>833</v>
      </c>
      <c r="H436" s="192">
        <f>H95*H25/GenAssumptions!D66*GenAssumptions!D69*PDOH!H94*PDOH!H93</f>
        <v>71620000</v>
      </c>
      <c r="I436" s="192">
        <f>(I95*I25)/GenAssumptions!E66*PDOH!I93*GenAssumptions!E69*PDOH!I94</f>
        <v>75630720</v>
      </c>
      <c r="J436" s="192">
        <f>(J95*J25)/GenAssumptions!F66*PDOH!J93*GenAssumptions!F69*PDOH!J94</f>
        <v>79866040.320000008</v>
      </c>
      <c r="K436" s="192">
        <f>(K95*K25)/GenAssumptions!G66*PDOH!K93*GenAssumptions!G69*PDOH!K94</f>
        <v>71620000</v>
      </c>
      <c r="L436" s="192">
        <f>(L95*L25)/GenAssumptions!I66*PDOH!L93*GenAssumptions!I69*PDOH!L94</f>
        <v>71620000</v>
      </c>
      <c r="M436" s="580">
        <f>(M95*M25)/GenAssumptions!I66*PDOH!M93*GenAssumptions!I69*PDOH!M94*N436</f>
        <v>71620000</v>
      </c>
      <c r="N436" s="619">
        <f>'Budget Choices Workings'!D29</f>
        <v>1</v>
      </c>
      <c r="P436" s="260" t="s">
        <v>866</v>
      </c>
      <c r="R436" s="356" t="s">
        <v>985</v>
      </c>
      <c r="S436" s="359" t="str">
        <f t="shared" si="113"/>
        <v>GSEC</v>
      </c>
      <c r="V436" s="580">
        <f t="shared" si="122"/>
        <v>0</v>
      </c>
    </row>
    <row r="437" spans="1:26" x14ac:dyDescent="0.2">
      <c r="A437" s="176"/>
      <c r="D437" s="238" t="s">
        <v>646</v>
      </c>
      <c r="H437" s="192">
        <f>H99*H26*H157/GenAssumptions!D73*PDOH!H97*PDOH!H98*GenAssumptions!D76</f>
        <v>38778133.333333328</v>
      </c>
      <c r="I437" s="192">
        <f>I99*I26*I157/GenAssumptions!E73*PDOH!I97*PDOH!I98*GenAssumptions!E76</f>
        <v>40949708.799999997</v>
      </c>
      <c r="J437" s="192">
        <f>J99*J26*J157/GenAssumptions!F73*PDOH!J97*PDOH!J98*GenAssumptions!F76</f>
        <v>43242892.492799997</v>
      </c>
      <c r="K437" s="192">
        <f>K99*K26*K157/GenAssumptions!G73*PDOH!K97*PDOH!K98*GenAssumptions!G76</f>
        <v>11405333.333333334</v>
      </c>
      <c r="L437" s="192">
        <f>L99*L26*L157/GenAssumptions!H73*PDOH!L97*PDOH!L98*GenAssumptions!H76</f>
        <v>41059200</v>
      </c>
      <c r="M437" s="192">
        <f>M99*M26*M157/GenAssumptions!I73*PDOH!M97*PDOH!M98*GenAssumptions!I76*N437</f>
        <v>38778133.333333328</v>
      </c>
      <c r="N437" s="619">
        <f>'Budget Choices Workings'!D30</f>
        <v>1</v>
      </c>
      <c r="P437" s="260" t="s">
        <v>866</v>
      </c>
      <c r="R437" s="356" t="s">
        <v>985</v>
      </c>
      <c r="S437" s="359" t="str">
        <f t="shared" si="113"/>
        <v>GSEC</v>
      </c>
      <c r="V437" s="582">
        <f t="shared" si="122"/>
        <v>0</v>
      </c>
    </row>
    <row r="438" spans="1:26" x14ac:dyDescent="0.2">
      <c r="A438" s="176"/>
      <c r="D438" s="238" t="s">
        <v>830</v>
      </c>
      <c r="H438" s="192">
        <f>(H103*H24*H144)/GenAssumptions!D66*GenAssumptions!D69*PDOH!H102*PDOH!H101</f>
        <v>499200</v>
      </c>
      <c r="I438" s="192">
        <f>I103*I24*I144/GenAssumptions!E66*GenAssumptions!E69*PDOH!I101*PDOH!I102</f>
        <v>527155.20000000007</v>
      </c>
      <c r="J438" s="192">
        <f>J103*J24*J144/GenAssumptions!F66*GenAssumptions!F69*PDOH!J101*PDOH!J102</f>
        <v>556675.89120000007</v>
      </c>
      <c r="K438" s="192">
        <f>K103*K24*K144/GenAssumptions!G66*GenAssumptions!G69*PDOH!K101*PDOH!K102</f>
        <v>499200</v>
      </c>
      <c r="L438" s="192">
        <f>L103*L24*L144/GenAssumptions!H66*GenAssumptions!H69*PDOH!L101*PDOH!L102</f>
        <v>499200</v>
      </c>
      <c r="M438" s="192">
        <f>M103*M24*M144/GenAssumptions!I66*GenAssumptions!I69*PDOH!M101*PDOH!M102*N438</f>
        <v>499200</v>
      </c>
      <c r="N438" s="619">
        <f>'Budget Choices Workings'!D31</f>
        <v>1</v>
      </c>
      <c r="P438" s="260" t="s">
        <v>866</v>
      </c>
      <c r="R438" s="356" t="s">
        <v>985</v>
      </c>
      <c r="S438" s="359" t="str">
        <f t="shared" ref="S438:S472" si="125">CONCATENATE(P438,R438)</f>
        <v>GSEC</v>
      </c>
      <c r="V438" s="580">
        <f t="shared" si="122"/>
        <v>0</v>
      </c>
    </row>
    <row r="439" spans="1:26" x14ac:dyDescent="0.2">
      <c r="A439" s="176"/>
      <c r="S439" s="359" t="str">
        <f t="shared" si="125"/>
        <v/>
      </c>
      <c r="V439" s="5">
        <f t="shared" si="122"/>
        <v>0</v>
      </c>
    </row>
    <row r="440" spans="1:26" x14ac:dyDescent="0.2">
      <c r="A440" s="176"/>
      <c r="H440" s="5">
        <v>5</v>
      </c>
      <c r="I440" s="5">
        <v>6</v>
      </c>
      <c r="J440" s="5">
        <v>7</v>
      </c>
      <c r="K440" s="5">
        <v>8</v>
      </c>
      <c r="L440" s="5">
        <v>9</v>
      </c>
      <c r="M440" s="5">
        <v>10</v>
      </c>
      <c r="S440" s="359" t="str">
        <f t="shared" si="125"/>
        <v/>
      </c>
      <c r="V440" s="5">
        <f t="shared" si="122"/>
        <v>-5</v>
      </c>
    </row>
    <row r="441" spans="1:26" ht="13.5" thickBot="1" x14ac:dyDescent="0.25">
      <c r="A441" s="176"/>
      <c r="D441" s="4" t="s">
        <v>539</v>
      </c>
      <c r="H441" s="250">
        <f>VLOOKUP($G$1,$D$108:$M$117,H440,FALSE)</f>
        <v>58322390.910774343</v>
      </c>
      <c r="I441" s="250">
        <f t="shared" ref="I441:M441" si="126">VLOOKUP($G$1,$D$108:$M$117,I440,FALSE)</f>
        <v>61588444.80177772</v>
      </c>
      <c r="J441" s="250">
        <f t="shared" si="126"/>
        <v>65037397.710677266</v>
      </c>
      <c r="K441" s="250">
        <f t="shared" si="126"/>
        <v>58322390.910774343</v>
      </c>
      <c r="L441" s="250">
        <f t="shared" si="126"/>
        <v>58322390.910774343</v>
      </c>
      <c r="M441" s="250">
        <f t="shared" si="126"/>
        <v>58322390.910774343</v>
      </c>
      <c r="P441" s="260" t="s">
        <v>866</v>
      </c>
      <c r="R441" s="356" t="s">
        <v>985</v>
      </c>
      <c r="S441" s="359" t="str">
        <f t="shared" si="125"/>
        <v>GSEC</v>
      </c>
      <c r="V441" s="250">
        <f t="shared" si="122"/>
        <v>0</v>
      </c>
    </row>
    <row r="442" spans="1:26" ht="13.5" thickTop="1" x14ac:dyDescent="0.2">
      <c r="A442" s="176"/>
      <c r="D442" s="6"/>
      <c r="S442" s="359" t="str">
        <f t="shared" si="125"/>
        <v/>
      </c>
      <c r="V442" s="5">
        <f t="shared" si="122"/>
        <v>0</v>
      </c>
    </row>
    <row r="443" spans="1:26" x14ac:dyDescent="0.2">
      <c r="B443" s="5"/>
      <c r="P443" s="5"/>
      <c r="S443" s="359" t="str">
        <f t="shared" si="125"/>
        <v/>
      </c>
      <c r="V443" s="5">
        <f t="shared" si="122"/>
        <v>0</v>
      </c>
    </row>
    <row r="444" spans="1:26" ht="15" x14ac:dyDescent="0.25">
      <c r="A444" s="176"/>
      <c r="D444" s="2" t="s">
        <v>11</v>
      </c>
      <c r="K444" s="581" t="s">
        <v>1249</v>
      </c>
      <c r="L444" s="581"/>
      <c r="M444" s="646">
        <f>VLOOKUP(G1,'H&amp;S Demand'!A4:B13,2,FALSE)</f>
        <v>5685452</v>
      </c>
      <c r="S444" s="359" t="str">
        <f t="shared" si="125"/>
        <v/>
      </c>
      <c r="V444" s="575">
        <f t="shared" si="122"/>
        <v>-5685452</v>
      </c>
    </row>
    <row r="445" spans="1:26" x14ac:dyDescent="0.2">
      <c r="A445" s="176"/>
      <c r="D445" s="5" t="s">
        <v>1742</v>
      </c>
      <c r="H445" s="449">
        <f t="shared" ref="H445:M445" si="127">(H314*H126+H316*H127+H317*H128+H318*H129)*H138/Minutes_per_Year</f>
        <v>211.60161231815468</v>
      </c>
      <c r="I445" s="449">
        <f t="shared" si="127"/>
        <v>211.60161231815468</v>
      </c>
      <c r="J445" s="449">
        <f t="shared" si="127"/>
        <v>211.60161231815468</v>
      </c>
      <c r="K445" s="449">
        <f t="shared" si="127"/>
        <v>109.65032910796987</v>
      </c>
      <c r="L445" s="449">
        <f t="shared" si="127"/>
        <v>194.22027269044906</v>
      </c>
      <c r="M445" s="449">
        <f t="shared" si="127"/>
        <v>211.60161231815468</v>
      </c>
      <c r="S445" s="359" t="str">
        <f t="shared" si="125"/>
        <v/>
      </c>
      <c r="V445" s="5">
        <f t="shared" si="122"/>
        <v>0</v>
      </c>
      <c r="X445" s="5" t="s">
        <v>1498</v>
      </c>
    </row>
    <row r="446" spans="1:26" x14ac:dyDescent="0.2">
      <c r="A446" s="176"/>
      <c r="D446" s="176" t="s">
        <v>1743</v>
      </c>
      <c r="E446" s="176"/>
      <c r="F446" s="176"/>
      <c r="G446" s="176"/>
      <c r="H446" s="984">
        <f>H445*GenAssumptions!D27</f>
        <v>44892763.264582746</v>
      </c>
      <c r="I446" s="984">
        <f>I445*GenAssumptions!E27</f>
        <v>47855685.640045211</v>
      </c>
      <c r="J446" s="984">
        <f>J445*GenAssumptions!F27</f>
        <v>51014160.892288193</v>
      </c>
      <c r="K446" s="984">
        <f>K445*GenAssumptions!G27</f>
        <v>23263084.872559562</v>
      </c>
      <c r="L446" s="984">
        <f>L445*GenAssumptions!H27</f>
        <v>41205190.393187605</v>
      </c>
      <c r="M446" s="984">
        <f>M445*GenAssumptions!I27</f>
        <v>44892763.264582746</v>
      </c>
    </row>
    <row r="447" spans="1:26" ht="15" x14ac:dyDescent="0.25">
      <c r="A447" s="176"/>
      <c r="D447" s="943" t="s">
        <v>1684</v>
      </c>
      <c r="E447" s="179"/>
      <c r="F447" s="179"/>
      <c r="G447" s="179"/>
      <c r="H447" s="449">
        <f>H314*H126+H316*H127+H317*H128+H318*H129+H301*H130+H302*H131+H303*H132+H304*H133+H305*H134+H315*H140</f>
        <v>70608735.72628285</v>
      </c>
      <c r="I447" s="449">
        <f>I314*I126+I316*I127+I317*I128+I318*I129+I301*I130+I302*I131+I303*I132+I304*I133+I305*I134+I315*I140</f>
        <v>70608735.72628285</v>
      </c>
      <c r="J447" s="449">
        <f>J314*J126+J316*J127+J317*J128+J318*J129+J301*J130+J302*J131+J303*J132+J304*J133+J305*J134+J315*J140</f>
        <v>70608735.72628285</v>
      </c>
      <c r="K447" s="449">
        <f>K314*K126+K316*K127+K317*K128+K318*K129+K301*K130+K302*K131+K303*K132+K304*K133+K305*K134+K315*K140</f>
        <v>36611904.845678784</v>
      </c>
      <c r="L447" s="449">
        <f>L314*L126+L316*L127+L317*L128+L318*L129+L301*L130+L302*L131+L303*L132+L304*L133+L305*L134+L315*L140</f>
        <v>64823213.464629382</v>
      </c>
      <c r="M447" s="584">
        <f>(M314*M126+M316*M127+M317*M128+M318*M129+M301*M130+M302*M131+M303*M132+M304*M133+M305*M134+M315*M140)*N447</f>
        <v>70608735.72628285</v>
      </c>
      <c r="N447" s="645">
        <f>('Budget Choices Workings'!D22*M444)/PDOH!H28</f>
        <v>1</v>
      </c>
      <c r="S447" s="359" t="str">
        <f t="shared" si="125"/>
        <v/>
      </c>
      <c r="V447" s="584">
        <f t="shared" si="122"/>
        <v>0</v>
      </c>
      <c r="X447" s="5" t="s">
        <v>1365</v>
      </c>
      <c r="Y447" s="5" t="s">
        <v>1694</v>
      </c>
    </row>
    <row r="448" spans="1:26" ht="14.25" x14ac:dyDescent="0.2">
      <c r="A448" s="176"/>
      <c r="D448" s="935" t="s">
        <v>1682</v>
      </c>
      <c r="E448" s="936"/>
      <c r="F448" s="936"/>
      <c r="G448" s="936"/>
      <c r="H448" s="937">
        <f t="shared" ref="H448:M448" si="128">H447*H121</f>
        <v>0</v>
      </c>
      <c r="I448" s="937">
        <f t="shared" si="128"/>
        <v>49426115.008397989</v>
      </c>
      <c r="J448" s="937">
        <f t="shared" si="128"/>
        <v>49426115.008397989</v>
      </c>
      <c r="K448" s="937">
        <f t="shared" si="128"/>
        <v>25628333.391975146</v>
      </c>
      <c r="L448" s="937">
        <f t="shared" si="128"/>
        <v>45376249.425240561</v>
      </c>
      <c r="M448" s="937">
        <f t="shared" si="128"/>
        <v>0</v>
      </c>
      <c r="N448" s="938"/>
      <c r="O448" s="938"/>
      <c r="P448" s="939"/>
      <c r="V448" s="450">
        <f t="shared" si="122"/>
        <v>0</v>
      </c>
      <c r="X448" s="283">
        <f>H450+H451</f>
        <v>182411222.12870792</v>
      </c>
      <c r="Y448" s="283">
        <f>M450+M451</f>
        <v>182411222.12870792</v>
      </c>
      <c r="Z448" s="951" t="s">
        <v>1690</v>
      </c>
    </row>
    <row r="449" spans="1:33" ht="14.25" x14ac:dyDescent="0.2">
      <c r="A449" s="176"/>
      <c r="D449" s="940" t="s">
        <v>1683</v>
      </c>
      <c r="E449" s="941"/>
      <c r="F449" s="941"/>
      <c r="G449" s="941"/>
      <c r="H449" s="942"/>
      <c r="I449" s="942">
        <f t="shared" ref="I449:M449" si="129">I447-I448</f>
        <v>21182620.717884861</v>
      </c>
      <c r="J449" s="942">
        <f t="shared" si="129"/>
        <v>21182620.717884861</v>
      </c>
      <c r="K449" s="942">
        <f t="shared" si="129"/>
        <v>10983571.453703638</v>
      </c>
      <c r="L449" s="942">
        <f t="shared" ref="L449" si="130">L447-L448</f>
        <v>19446964.039388821</v>
      </c>
      <c r="M449" s="942">
        <f t="shared" si="129"/>
        <v>70608735.72628285</v>
      </c>
      <c r="N449" s="938"/>
      <c r="O449" s="938"/>
      <c r="P449" s="939"/>
      <c r="V449" s="451">
        <f t="shared" si="122"/>
        <v>-70608735.72628285</v>
      </c>
      <c r="X449" s="954" t="s">
        <v>1500</v>
      </c>
      <c r="Z449" s="946" t="s">
        <v>1701</v>
      </c>
    </row>
    <row r="450" spans="1:33" ht="13.5" thickBot="1" x14ac:dyDescent="0.25">
      <c r="A450" s="176"/>
      <c r="D450" s="5" t="s">
        <v>1128</v>
      </c>
      <c r="H450" s="448">
        <f>H135*GenAssumptions!D27</f>
        <v>161284857.29415366</v>
      </c>
      <c r="I450" s="448">
        <f>I135*GenAssumptions!E27</f>
        <v>171929657.87556782</v>
      </c>
      <c r="J450" s="448">
        <f>J135*GenAssumptions!F27</f>
        <v>183277015.29535529</v>
      </c>
      <c r="K450" s="448">
        <f>K135*GenAssumptions!G27</f>
        <v>83629111.717750579</v>
      </c>
      <c r="L450" s="448">
        <f>L135*GenAssumptions!I27</f>
        <v>148069535.94977793</v>
      </c>
      <c r="M450" s="648">
        <f>MAX(X450,M135*GenAssumptions!I27)</f>
        <v>161284857.29415366</v>
      </c>
      <c r="N450" s="283">
        <f>H450-M450</f>
        <v>0</v>
      </c>
      <c r="P450" s="260" t="s">
        <v>865</v>
      </c>
      <c r="R450" s="356" t="s">
        <v>986</v>
      </c>
      <c r="S450" s="359" t="str">
        <f t="shared" si="125"/>
        <v>COEPI</v>
      </c>
      <c r="V450" s="448">
        <f t="shared" si="122"/>
        <v>0</v>
      </c>
      <c r="X450" s="955">
        <f>(1-'Budget Choices'!$N$9)*H450</f>
        <v>129027885.83532293</v>
      </c>
      <c r="Z450" s="950">
        <f>X448-Y448</f>
        <v>0</v>
      </c>
    </row>
    <row r="451" spans="1:33" ht="14.25" thickTop="1" thickBot="1" x14ac:dyDescent="0.25">
      <c r="A451" s="176"/>
      <c r="D451" s="272" t="s">
        <v>423</v>
      </c>
      <c r="H451" s="250">
        <f>H137*GenAssumptions!D33</f>
        <v>21126364.834554266</v>
      </c>
      <c r="I451" s="250">
        <f>I137*GenAssumptions!E33</f>
        <v>22520704.913634852</v>
      </c>
      <c r="J451" s="250">
        <f>J137*GenAssumptions!F33</f>
        <v>24007071.437934753</v>
      </c>
      <c r="K451" s="250">
        <f>K137*GenAssumptions!G33</f>
        <v>10954401.762073787</v>
      </c>
      <c r="L451" s="250">
        <f>L137*GenAssumptions!I33</f>
        <v>19395317.637618974</v>
      </c>
      <c r="M451" s="647">
        <f>MAX(X451,M137*GenAssumptions!I33)</f>
        <v>21126364.834554266</v>
      </c>
      <c r="N451" s="283">
        <f>H451-M451</f>
        <v>0</v>
      </c>
      <c r="P451" s="260" t="s">
        <v>865</v>
      </c>
      <c r="R451" s="356" t="s">
        <v>986</v>
      </c>
      <c r="S451" s="359" t="str">
        <f t="shared" si="125"/>
        <v>COEPI</v>
      </c>
      <c r="V451" s="250">
        <f t="shared" si="122"/>
        <v>0</v>
      </c>
      <c r="X451" s="955">
        <f>(1-'Budget Choices'!$N$9)*H451</f>
        <v>16901091.867643412</v>
      </c>
    </row>
    <row r="452" spans="1:33" ht="13.5" thickTop="1" x14ac:dyDescent="0.2">
      <c r="A452" s="176"/>
      <c r="D452" s="5" t="s">
        <v>859</v>
      </c>
      <c r="F452" s="5" t="s">
        <v>1720</v>
      </c>
      <c r="H452" s="193">
        <f>H144*H24</f>
        <v>41.6</v>
      </c>
      <c r="I452" s="193">
        <f t="shared" ref="I452:M452" si="131">I144*I24</f>
        <v>41.6</v>
      </c>
      <c r="J452" s="193">
        <f t="shared" si="131"/>
        <v>41.6</v>
      </c>
      <c r="K452" s="193">
        <f t="shared" si="131"/>
        <v>41.6</v>
      </c>
      <c r="L452" s="193">
        <f t="shared" si="131"/>
        <v>41.6</v>
      </c>
      <c r="M452" s="193">
        <f t="shared" si="131"/>
        <v>41.6</v>
      </c>
      <c r="S452" s="359" t="str">
        <f t="shared" si="125"/>
        <v/>
      </c>
      <c r="V452" s="254">
        <f t="shared" si="122"/>
        <v>0</v>
      </c>
      <c r="X452" s="956">
        <f>SUM(X450:X451)</f>
        <v>145928977.70296633</v>
      </c>
      <c r="Z452" s="955">
        <f>IF(Z450&gt;0,Z450,MIN(Z450,X448-X452))</f>
        <v>0</v>
      </c>
    </row>
    <row r="453" spans="1:33" x14ac:dyDescent="0.2">
      <c r="A453" s="176"/>
      <c r="D453" s="178" t="s">
        <v>48</v>
      </c>
      <c r="E453" s="179"/>
      <c r="F453" s="179"/>
      <c r="G453" s="179"/>
      <c r="H453" s="255">
        <f>$G146*H146*GenAssumptions!D39*H452</f>
        <v>2770485.12</v>
      </c>
      <c r="I453" s="255">
        <f>$G146*I146*GenAssumptions!E39*I452</f>
        <v>2953337.1379200006</v>
      </c>
      <c r="J453" s="255">
        <f>$G146*J146*GenAssumptions!F39*J452</f>
        <v>3148257.38902272</v>
      </c>
      <c r="K453" s="255">
        <f>$G146*K146*GenAssumptions!G39*K452</f>
        <v>2770485.12</v>
      </c>
      <c r="L453" s="255">
        <f>$G146*L146*GenAssumptions!H39*L452</f>
        <v>2770485.12</v>
      </c>
      <c r="M453" s="255">
        <f>$G146*M146*GenAssumptions!I39*M452</f>
        <v>2770485.12</v>
      </c>
      <c r="S453" s="359" t="str">
        <f t="shared" si="125"/>
        <v/>
      </c>
      <c r="V453" s="255">
        <f t="shared" si="122"/>
        <v>0</v>
      </c>
    </row>
    <row r="454" spans="1:33" x14ac:dyDescent="0.2">
      <c r="A454" s="176"/>
      <c r="D454" s="5" t="s">
        <v>1128</v>
      </c>
      <c r="E454" s="25"/>
      <c r="F454" s="25"/>
      <c r="G454" s="25"/>
      <c r="H454" s="255">
        <f>$G147*H147*GenAssumptions!D34*H452</f>
        <v>568451.52</v>
      </c>
      <c r="I454" s="255">
        <f>$G147*I147*GenAssumptions!E34*I452</f>
        <v>605969.32032000006</v>
      </c>
      <c r="J454" s="255">
        <f>$G147*J147*GenAssumptions!F34*J452</f>
        <v>645963.29546111997</v>
      </c>
      <c r="K454" s="255">
        <f>$G147*K147*GenAssumptions!G34*K452</f>
        <v>568451.52</v>
      </c>
      <c r="L454" s="255">
        <f>$G147*L147*GenAssumptions!H34*L452</f>
        <v>568451.52</v>
      </c>
      <c r="M454" s="255">
        <f>$G147*M147*GenAssumptions!I34*M452</f>
        <v>568451.52</v>
      </c>
      <c r="S454" s="359" t="str">
        <f t="shared" si="125"/>
        <v/>
      </c>
      <c r="V454" s="255">
        <f t="shared" si="122"/>
        <v>0</v>
      </c>
    </row>
    <row r="455" spans="1:33" x14ac:dyDescent="0.2">
      <c r="A455" s="176"/>
      <c r="D455" s="180" t="s">
        <v>419</v>
      </c>
      <c r="E455" s="25"/>
      <c r="F455" s="25"/>
      <c r="G455" s="25"/>
      <c r="H455" s="255">
        <f>$G148*H148*GenAssumptions!D29*H452</f>
        <v>2391442.56</v>
      </c>
      <c r="I455" s="255">
        <f>$G148*I148*GenAssumptions!E29*I452</f>
        <v>2549277.76896</v>
      </c>
      <c r="J455" s="255">
        <f>$G148*J148*GenAssumptions!F29*J452</f>
        <v>2717530.1017113603</v>
      </c>
      <c r="K455" s="255">
        <f>$G148*K148*GenAssumptions!G29*K452</f>
        <v>2391442.56</v>
      </c>
      <c r="L455" s="255">
        <f>$G148*L148*GenAssumptions!H29*L452</f>
        <v>2391442.56</v>
      </c>
      <c r="M455" s="255">
        <f>$G148*M148*GenAssumptions!I29*M452</f>
        <v>2391442.56</v>
      </c>
      <c r="S455" s="359" t="str">
        <f t="shared" si="125"/>
        <v/>
      </c>
      <c r="V455" s="255">
        <f t="shared" si="122"/>
        <v>0</v>
      </c>
    </row>
    <row r="456" spans="1:33" x14ac:dyDescent="0.2">
      <c r="A456" s="176"/>
      <c r="D456" s="180" t="s">
        <v>420</v>
      </c>
      <c r="E456" s="25"/>
      <c r="F456" s="25"/>
      <c r="G456" s="25"/>
      <c r="H456" s="255">
        <f>$G149*H149*GenAssumptions!D36*H452</f>
        <v>1063479.456</v>
      </c>
      <c r="I456" s="255">
        <f>$G149*I149*GenAssumptions!E36*I452</f>
        <v>1133669.1000960001</v>
      </c>
      <c r="J456" s="255">
        <f>$G149*J149*GenAssumptions!F36*J452</f>
        <v>1208491.2607023362</v>
      </c>
      <c r="K456" s="255">
        <f>$G149*K149*GenAssumptions!G36*K452</f>
        <v>1063479.456</v>
      </c>
      <c r="L456" s="255">
        <f>$G149*L149*GenAssumptions!H36*L452</f>
        <v>1063479.456</v>
      </c>
      <c r="M456" s="255">
        <f>$G149*M149*GenAssumptions!I36*M452</f>
        <v>1063479.456</v>
      </c>
      <c r="S456" s="359" t="str">
        <f t="shared" si="125"/>
        <v/>
      </c>
      <c r="V456" s="255">
        <f t="shared" si="122"/>
        <v>0</v>
      </c>
    </row>
    <row r="457" spans="1:33" x14ac:dyDescent="0.2">
      <c r="A457" s="176"/>
      <c r="D457" s="180" t="s">
        <v>421</v>
      </c>
      <c r="E457" s="25"/>
      <c r="F457" s="25"/>
      <c r="G457" s="25"/>
      <c r="H457" s="255">
        <f>$G150*H150*GenAssumptions!D32*H452</f>
        <v>2391442.56</v>
      </c>
      <c r="I457" s="255">
        <f>$G150*I150*GenAssumptions!E32*I452</f>
        <v>2549277.76896</v>
      </c>
      <c r="J457" s="255">
        <f>$G150*J150*GenAssumptions!F32*J452</f>
        <v>2717530.1017113603</v>
      </c>
      <c r="K457" s="255">
        <f>$G150*K150*GenAssumptions!G32*K452</f>
        <v>2391442.56</v>
      </c>
      <c r="L457" s="255">
        <f>$G150*L150*GenAssumptions!H32*L452</f>
        <v>2391442.56</v>
      </c>
      <c r="M457" s="255">
        <f>$G150*M150*GenAssumptions!I32*M452</f>
        <v>2391442.56</v>
      </c>
      <c r="S457" s="359" t="str">
        <f t="shared" si="125"/>
        <v/>
      </c>
      <c r="V457" s="255">
        <f t="shared" si="122"/>
        <v>0</v>
      </c>
    </row>
    <row r="458" spans="1:33" x14ac:dyDescent="0.2">
      <c r="A458" s="176"/>
      <c r="D458" s="180" t="s">
        <v>422</v>
      </c>
      <c r="E458" s="25"/>
      <c r="F458" s="25"/>
      <c r="G458" s="25"/>
      <c r="H458" s="255">
        <f>$G151*H151*GenAssumptions!D28*H452</f>
        <v>1998659.52</v>
      </c>
      <c r="I458" s="255">
        <f>$G151*I151*GenAssumptions!E28*I452</f>
        <v>2130571.0483200001</v>
      </c>
      <c r="J458" s="255">
        <f>$G151*J151*GenAssumptions!F28*J452</f>
        <v>2271188.7375091203</v>
      </c>
      <c r="K458" s="255">
        <f>$G151*K151*GenAssumptions!G28*K452</f>
        <v>1998659.52</v>
      </c>
      <c r="L458" s="255">
        <f>$G151*L151*GenAssumptions!H28*L452</f>
        <v>1998659.52</v>
      </c>
      <c r="M458" s="255">
        <f>$G151*M151*GenAssumptions!I28*M452</f>
        <v>1998659.52</v>
      </c>
      <c r="S458" s="359" t="str">
        <f t="shared" si="125"/>
        <v/>
      </c>
      <c r="V458" s="255">
        <f t="shared" si="122"/>
        <v>0</v>
      </c>
    </row>
    <row r="459" spans="1:33" x14ac:dyDescent="0.2">
      <c r="A459" s="176"/>
      <c r="D459" s="5" t="s">
        <v>1128</v>
      </c>
      <c r="E459" s="25"/>
      <c r="F459" s="25"/>
      <c r="G459" s="25"/>
      <c r="H459" s="255">
        <f>$G152*H152*GenAssumptions!D33*H452</f>
        <v>867048</v>
      </c>
      <c r="I459" s="255">
        <f>$G152*I152*GenAssumptions!E33*I452</f>
        <v>924273.16800000018</v>
      </c>
      <c r="J459" s="255">
        <f>$G152*J152*GenAssumptions!F33*J452</f>
        <v>985275.19708800025</v>
      </c>
      <c r="K459" s="255">
        <f>$G152*K152*GenAssumptions!G33*K452</f>
        <v>867048</v>
      </c>
      <c r="L459" s="255">
        <f>$G152*L152*GenAssumptions!H33*L452</f>
        <v>867048</v>
      </c>
      <c r="M459" s="255">
        <f>$G152*M152*GenAssumptions!I33*M452</f>
        <v>867048</v>
      </c>
      <c r="S459" s="359" t="str">
        <f t="shared" si="125"/>
        <v/>
      </c>
      <c r="V459" s="255">
        <f t="shared" si="122"/>
        <v>0</v>
      </c>
    </row>
    <row r="460" spans="1:33" x14ac:dyDescent="0.2">
      <c r="A460" s="176"/>
      <c r="D460" s="439" t="s">
        <v>424</v>
      </c>
      <c r="E460" s="182"/>
      <c r="F460" s="182"/>
      <c r="G460" s="182"/>
      <c r="H460" s="255">
        <f>$G153*H153*GenAssumptions!D24*H452</f>
        <v>4294049.7599999988</v>
      </c>
      <c r="I460" s="255">
        <f>$G153*I153*GenAssumptions!E24*I452</f>
        <v>4577457.0441599991</v>
      </c>
      <c r="J460" s="255">
        <f>$G153*J153*GenAssumptions!F24*J452</f>
        <v>4879569.2090745596</v>
      </c>
      <c r="K460" s="255">
        <f>$G153*K153*GenAssumptions!G24*K452</f>
        <v>4294049.7599999988</v>
      </c>
      <c r="L460" s="255">
        <f>$G153*L153*GenAssumptions!H24*L452</f>
        <v>4294049.7599999988</v>
      </c>
      <c r="M460" s="255">
        <f>$G153*M153*GenAssumptions!I24*M452</f>
        <v>4294049.7599999988</v>
      </c>
      <c r="S460" s="359" t="str">
        <f t="shared" si="125"/>
        <v/>
      </c>
      <c r="V460" s="255">
        <f t="shared" si="122"/>
        <v>0</v>
      </c>
      <c r="AA460" s="5" t="s">
        <v>1693</v>
      </c>
      <c r="AB460" s="5" t="s">
        <v>1694</v>
      </c>
      <c r="AC460" s="5" t="s">
        <v>1695</v>
      </c>
      <c r="AE460" s="5" t="s">
        <v>1698</v>
      </c>
      <c r="AF460" s="5" t="s">
        <v>1699</v>
      </c>
      <c r="AG460" s="5" t="s">
        <v>1365</v>
      </c>
    </row>
    <row r="461" spans="1:33" ht="13.5" thickBot="1" x14ac:dyDescent="0.25">
      <c r="A461" s="176"/>
      <c r="H461" s="250">
        <f t="shared" ref="H461:L461" si="132">SUM(H453:H460)*H144</f>
        <v>13076046.796800001</v>
      </c>
      <c r="I461" s="250">
        <f t="shared" si="132"/>
        <v>13939065.885388801</v>
      </c>
      <c r="J461" s="250">
        <f t="shared" si="132"/>
        <v>14859044.233824462</v>
      </c>
      <c r="K461" s="250">
        <f t="shared" si="132"/>
        <v>13076046.796800001</v>
      </c>
      <c r="L461" s="250">
        <f t="shared" si="132"/>
        <v>13076046.796800001</v>
      </c>
      <c r="M461" s="648">
        <f>SUM(M453:M460)*M144</f>
        <v>13076046.796800001</v>
      </c>
      <c r="P461" s="260" t="s">
        <v>865</v>
      </c>
      <c r="R461" s="356" t="s">
        <v>986</v>
      </c>
      <c r="S461" s="359" t="str">
        <f t="shared" si="125"/>
        <v>COEPI</v>
      </c>
      <c r="V461" s="250">
        <f t="shared" si="122"/>
        <v>0</v>
      </c>
      <c r="X461" s="951" t="s">
        <v>1690</v>
      </c>
      <c r="Y461" s="945"/>
      <c r="Z461" s="5" t="s">
        <v>1692</v>
      </c>
      <c r="AA461" s="219">
        <f>H161*H163</f>
        <v>3817.2224999999999</v>
      </c>
      <c r="AB461" s="219">
        <f>M161*M163</f>
        <v>3817.2224999999999</v>
      </c>
      <c r="AC461" s="219">
        <f>AB461-AA461</f>
        <v>0</v>
      </c>
      <c r="AD461" s="5" t="s">
        <v>1700</v>
      </c>
      <c r="AE461" s="5">
        <f>IF(AC461&gt;0,AC461/AB461,0)</f>
        <v>0</v>
      </c>
      <c r="AF461" s="5">
        <f>IF(AC461&lt;0,ABS(AC461/AB461),0)</f>
        <v>0</v>
      </c>
      <c r="AG461" s="5">
        <v>1</v>
      </c>
    </row>
    <row r="462" spans="1:33" ht="13.5" thickTop="1" x14ac:dyDescent="0.2">
      <c r="A462" s="176"/>
      <c r="H462" s="196"/>
      <c r="I462" s="196"/>
      <c r="J462" s="196"/>
      <c r="K462" s="196"/>
      <c r="L462" s="196"/>
      <c r="M462" s="196"/>
      <c r="S462" s="359" t="str">
        <f t="shared" si="125"/>
        <v/>
      </c>
      <c r="V462" s="196">
        <f t="shared" si="122"/>
        <v>0</v>
      </c>
      <c r="X462" s="946" t="s">
        <v>1691</v>
      </c>
      <c r="Y462" s="947"/>
      <c r="Z462" s="5" t="s">
        <v>12</v>
      </c>
      <c r="AA462" s="219">
        <f>H162*H163</f>
        <v>254.48149999999995</v>
      </c>
      <c r="AB462" s="219">
        <f>M162*M163</f>
        <v>254.48149999999995</v>
      </c>
      <c r="AC462" s="219">
        <f>AB462-AA462</f>
        <v>0</v>
      </c>
      <c r="AD462" s="5" t="s">
        <v>12</v>
      </c>
      <c r="AE462" s="5">
        <f>IF(AC462&gt;0,AC462/AB462,0)</f>
        <v>0</v>
      </c>
      <c r="AF462" s="5">
        <f>IF(AC462&lt;0,ABS(AC462/AB462),0)</f>
        <v>0</v>
      </c>
      <c r="AG462" s="5">
        <v>1</v>
      </c>
    </row>
    <row r="463" spans="1:33" x14ac:dyDescent="0.2">
      <c r="A463" s="176"/>
      <c r="D463" s="4" t="s">
        <v>860</v>
      </c>
      <c r="S463" s="359" t="str">
        <f t="shared" si="125"/>
        <v/>
      </c>
      <c r="V463" s="5">
        <f t="shared" si="122"/>
        <v>0</v>
      </c>
      <c r="X463" s="950">
        <f>H467-M467</f>
        <v>238251.32277184725</v>
      </c>
      <c r="Y463" s="947"/>
    </row>
    <row r="464" spans="1:33" x14ac:dyDescent="0.2">
      <c r="A464" s="176"/>
      <c r="D464" s="79" t="s">
        <v>1719</v>
      </c>
      <c r="H464" s="196">
        <f>H162*H163*GenAssumptions!D25</f>
        <v>35575750.255499996</v>
      </c>
      <c r="I464" s="196">
        <f>I162*I163*GenAssumptions!E25</f>
        <v>37923749.772363</v>
      </c>
      <c r="J464" s="196">
        <f>J162*J163*GenAssumptions!F25</f>
        <v>40426717.257338956</v>
      </c>
      <c r="K464" s="196">
        <f>K162*K163*GenAssumptions!G25</f>
        <v>2615863.9893749999</v>
      </c>
      <c r="L464" s="196">
        <f>L162*L163*GenAssumptions!H25</f>
        <v>37668441.446999997</v>
      </c>
      <c r="M464" s="196">
        <f>M162*M163*GenAssumptions!I25</f>
        <v>35575750.255499996</v>
      </c>
      <c r="S464" s="359" t="str">
        <f t="shared" si="125"/>
        <v/>
      </c>
      <c r="V464" s="196">
        <f t="shared" si="122"/>
        <v>0</v>
      </c>
      <c r="X464" s="946"/>
      <c r="Y464" s="947"/>
    </row>
    <row r="465" spans="1:25" x14ac:dyDescent="0.2">
      <c r="A465" s="176"/>
      <c r="C465" s="339" t="s">
        <v>1756</v>
      </c>
      <c r="D465" s="5" t="s">
        <v>1715</v>
      </c>
      <c r="E465" s="5" t="s">
        <v>1713</v>
      </c>
      <c r="H465" s="196">
        <f>H161*GenAssumptions!D$24*H163</f>
        <v>375259692.3075</v>
      </c>
      <c r="I465" s="196">
        <f>I161*GenAssumptions!E$24*I163</f>
        <v>400026831.99979502</v>
      </c>
      <c r="J465" s="196">
        <f>J161*GenAssumptions!F$24*J163</f>
        <v>426428602.91178149</v>
      </c>
      <c r="K465" s="196">
        <f>K161*GenAssumptions!G$24*K163</f>
        <v>73580331.824999988</v>
      </c>
      <c r="L465" s="196">
        <f>L161*GenAssumptions!H$24*L163</f>
        <v>397333791.85499996</v>
      </c>
      <c r="M465" s="196">
        <f>M161*GenAssumptions!I$24*M163</f>
        <v>375259692.3075</v>
      </c>
      <c r="V465" s="196"/>
      <c r="X465" s="946"/>
      <c r="Y465" s="947"/>
    </row>
    <row r="466" spans="1:25" x14ac:dyDescent="0.2">
      <c r="A466" s="176"/>
      <c r="C466" s="339" t="s">
        <v>1714</v>
      </c>
      <c r="D466" s="5" t="s">
        <v>1715</v>
      </c>
      <c r="E466" s="5" t="s">
        <v>1714</v>
      </c>
      <c r="H466" s="196">
        <f>H172*GenAssumptions!D$24</f>
        <v>1542674.8404349945</v>
      </c>
      <c r="I466" s="196">
        <f>I172*GenAssumptions!E$24</f>
        <v>1644491.3799037042</v>
      </c>
      <c r="J466" s="196">
        <f>J172*GenAssumptions!F$24</f>
        <v>1753027.8109773488</v>
      </c>
      <c r="K466" s="196">
        <f>K172*GenAssumptions!G$24</f>
        <v>647815.27791044244</v>
      </c>
      <c r="L466" s="196">
        <f>L172*GenAssumptions!H$24</f>
        <v>1304423.5176631189</v>
      </c>
      <c r="M466" s="196">
        <f>M172*GenAssumptions!I$24</f>
        <v>1304423.5176631189</v>
      </c>
      <c r="S466" s="359" t="str">
        <f t="shared" si="125"/>
        <v/>
      </c>
      <c r="V466" s="196">
        <f t="shared" si="122"/>
        <v>238251.32277187565</v>
      </c>
      <c r="X466" s="948"/>
      <c r="Y466" s="949"/>
    </row>
    <row r="467" spans="1:25" ht="13.5" thickBot="1" x14ac:dyDescent="0.25">
      <c r="A467" s="176"/>
      <c r="H467" s="250">
        <f>SUM(H462:H466)</f>
        <v>412378117.40343499</v>
      </c>
      <c r="I467" s="250">
        <f t="shared" ref="I467:K467" si="133">SUM(I462:I466)</f>
        <v>439595073.15206176</v>
      </c>
      <c r="J467" s="250">
        <f t="shared" si="133"/>
        <v>468608347.98009777</v>
      </c>
      <c r="K467" s="250">
        <f t="shared" si="133"/>
        <v>76844011.092285424</v>
      </c>
      <c r="L467" s="250">
        <f t="shared" ref="L467" si="134">SUM(L462:L466)</f>
        <v>436306656.81966305</v>
      </c>
      <c r="M467" s="647">
        <f>SUM(M462:M466)</f>
        <v>412139866.08066314</v>
      </c>
      <c r="N467" s="283">
        <f>H467-M467</f>
        <v>238251.32277184725</v>
      </c>
      <c r="P467" s="260" t="s">
        <v>865</v>
      </c>
      <c r="R467" s="356" t="s">
        <v>986</v>
      </c>
      <c r="S467" s="359" t="str">
        <f t="shared" si="125"/>
        <v>COEPI</v>
      </c>
      <c r="V467" s="250">
        <f t="shared" si="122"/>
        <v>238251.32277184725</v>
      </c>
    </row>
    <row r="468" spans="1:25" s="182" customFormat="1" ht="13.5" thickTop="1" x14ac:dyDescent="0.2">
      <c r="A468" s="444"/>
      <c r="B468" s="281"/>
      <c r="D468" s="182" t="s">
        <v>843</v>
      </c>
      <c r="H468" s="256">
        <f>GenAssumptions!D60*(H169*H167+H161*H164*H163)</f>
        <v>2153142.8323965995</v>
      </c>
      <c r="I468" s="256">
        <f>GenAssumptions!E60*(I169*I167+I161*I164*I163)</f>
        <v>2273718.8310108092</v>
      </c>
      <c r="J468" s="256">
        <f>GenAssumptions!F60*(J169*J167+J161*J164*J163)</f>
        <v>2401047.0855474146</v>
      </c>
      <c r="K468" s="256">
        <f>GenAssumptions!G60*(K169*K167+K161*K164*K163)</f>
        <v>904169.03535975958</v>
      </c>
      <c r="L468" s="256">
        <f>GenAssumptions!H60*(L169*L167+L161*L164*L163)</f>
        <v>1820610.5874352283</v>
      </c>
      <c r="M468" s="256">
        <f>GenAssumptions!I60*(M169*M167+M161*M164*M163)</f>
        <v>1820610.5874352283</v>
      </c>
      <c r="N468" s="283">
        <f>H468-M468</f>
        <v>332532.24496137118</v>
      </c>
      <c r="P468" s="445" t="s">
        <v>866</v>
      </c>
      <c r="R468" s="446" t="s">
        <v>986</v>
      </c>
      <c r="S468" s="447" t="str">
        <f t="shared" si="125"/>
        <v>GSPI</v>
      </c>
      <c r="V468" s="256">
        <f t="shared" si="122"/>
        <v>332532.24496137118</v>
      </c>
    </row>
    <row r="469" spans="1:25" x14ac:dyDescent="0.2">
      <c r="A469" s="176"/>
      <c r="D469" s="5" t="s">
        <v>1680</v>
      </c>
      <c r="H469" s="252">
        <f>H468+H467</f>
        <v>414531260.23583162</v>
      </c>
      <c r="I469" s="252">
        <f t="shared" ref="I469:L469" si="135">I468+I467</f>
        <v>441868791.98307258</v>
      </c>
      <c r="J469" s="252">
        <f t="shared" si="135"/>
        <v>471009395.06564516</v>
      </c>
      <c r="K469" s="252">
        <f t="shared" si="135"/>
        <v>77748180.12764518</v>
      </c>
      <c r="L469" s="252">
        <f t="shared" si="135"/>
        <v>438127267.40709829</v>
      </c>
      <c r="M469" s="252">
        <f>M468+M467</f>
        <v>413960476.66809839</v>
      </c>
      <c r="S469" s="447" t="str">
        <f t="shared" si="125"/>
        <v/>
      </c>
      <c r="V469" s="252">
        <f t="shared" si="122"/>
        <v>570783.56773322821</v>
      </c>
    </row>
    <row r="470" spans="1:25" x14ac:dyDescent="0.2">
      <c r="A470" s="176"/>
      <c r="H470" s="252"/>
      <c r="I470" s="252"/>
      <c r="J470" s="252"/>
      <c r="K470" s="252"/>
      <c r="L470" s="252"/>
      <c r="M470" s="252"/>
      <c r="S470" s="447" t="str">
        <f t="shared" si="125"/>
        <v/>
      </c>
      <c r="V470" s="252">
        <f t="shared" si="122"/>
        <v>0</v>
      </c>
    </row>
    <row r="471" spans="1:25" x14ac:dyDescent="0.2">
      <c r="A471" s="176"/>
      <c r="D471" s="6"/>
      <c r="H471" s="252"/>
      <c r="I471" s="252"/>
      <c r="J471" s="252"/>
      <c r="K471" s="252"/>
      <c r="L471" s="252"/>
      <c r="M471" s="252"/>
      <c r="R471" s="356"/>
      <c r="S471" s="447" t="str">
        <f t="shared" si="125"/>
        <v/>
      </c>
      <c r="V471" s="252">
        <f t="shared" si="122"/>
        <v>0</v>
      </c>
    </row>
    <row r="472" spans="1:25" x14ac:dyDescent="0.2">
      <c r="A472" s="176"/>
      <c r="D472" s="65" t="s">
        <v>1151</v>
      </c>
      <c r="E472" s="5" t="s">
        <v>889</v>
      </c>
      <c r="H472" s="252">
        <f>H208*H25/H207*GenAssumptions!D30*IF(H206="Yes",1,0)</f>
        <v>555058581</v>
      </c>
      <c r="I472" s="252">
        <f>I208*I25/I207*GenAssumptions!E30*IF(I206="Yes",1,0)</f>
        <v>591692447.34600008</v>
      </c>
      <c r="J472" s="252">
        <f>J208*J25/J207*GenAssumptions!F30*IF(J206="Yes",1,0)</f>
        <v>630744148.87083614</v>
      </c>
      <c r="K472" s="252">
        <f>K208*K25/K207*GenAssumptions!G30*IF(K206="Yes",1,0)</f>
        <v>0</v>
      </c>
      <c r="L472" s="252">
        <f>L208*L25/L207*GenAssumptions!H30*IF(L206="Yes",1,0)</f>
        <v>555058581</v>
      </c>
      <c r="M472" s="252">
        <f>IFERROR(M208*M25/M207*GenAssumptions!I30*IF(M206="Yes",1,0),0)</f>
        <v>0</v>
      </c>
      <c r="P472" s="260" t="s">
        <v>865</v>
      </c>
      <c r="R472" s="356" t="s">
        <v>986</v>
      </c>
      <c r="S472" s="447" t="str">
        <f t="shared" si="125"/>
        <v>COEPI</v>
      </c>
      <c r="V472" s="252">
        <f t="shared" si="122"/>
        <v>555058581</v>
      </c>
    </row>
    <row r="473" spans="1:25" x14ac:dyDescent="0.2">
      <c r="A473" s="176"/>
      <c r="D473" s="6" t="s">
        <v>1708</v>
      </c>
      <c r="H473" s="252">
        <f>H25/H207*GenAssumptions!D30*IF(H206="Yes",1,0)</f>
        <v>555058581</v>
      </c>
      <c r="I473" s="252">
        <f>I25/I207*GenAssumptions!E30*IF(I206="Yes",1,0)</f>
        <v>591692447.34600008</v>
      </c>
      <c r="J473" s="252">
        <f>J25/J207*GenAssumptions!F30*IF(J206="Yes",1,0)</f>
        <v>630744148.87083614</v>
      </c>
      <c r="K473" s="252">
        <f>K25/K207*GenAssumptions!G30*IF(K206="Yes",1,0)</f>
        <v>0</v>
      </c>
      <c r="L473" s="252">
        <f>L25/L207*GenAssumptions!H30*IF(L206="Yes",1,0)</f>
        <v>555058581</v>
      </c>
      <c r="M473" s="252">
        <f>IFERROR(M25/M207*GenAssumptions!I30*IF(M206="Yes",1,0),0)</f>
        <v>0</v>
      </c>
      <c r="R473" s="356"/>
      <c r="S473" s="959"/>
      <c r="V473" s="252"/>
    </row>
    <row r="474" spans="1:25" x14ac:dyDescent="0.2">
      <c r="A474" s="176"/>
      <c r="D474" s="6" t="s">
        <v>1709</v>
      </c>
      <c r="H474" s="465">
        <f>H25/H207</f>
        <v>3581</v>
      </c>
      <c r="I474" s="465">
        <f t="shared" ref="I474:L474" si="136">I25/I207</f>
        <v>3581</v>
      </c>
      <c r="J474" s="465">
        <f t="shared" si="136"/>
        <v>3581</v>
      </c>
      <c r="K474" s="465">
        <f t="shared" si="136"/>
        <v>3581</v>
      </c>
      <c r="L474" s="465">
        <f t="shared" si="136"/>
        <v>3581</v>
      </c>
      <c r="M474" s="465">
        <f>IFERROR(M25/M207,0)</f>
        <v>1193.6666666666667</v>
      </c>
      <c r="R474" s="356"/>
      <c r="S474" s="959"/>
      <c r="V474" s="252"/>
    </row>
    <row r="475" spans="1:25" x14ac:dyDescent="0.2">
      <c r="H475" s="667">
        <f>(H468+H467+H461+H451+H450)</f>
        <v>610018529.16133952</v>
      </c>
      <c r="I475" s="667">
        <f t="shared" ref="I475:L475" si="137">(I468+I467+I461+I451+I450)</f>
        <v>650258220.65766406</v>
      </c>
      <c r="J475" s="667">
        <f t="shared" si="137"/>
        <v>693152526.03275967</v>
      </c>
      <c r="K475" s="667">
        <f t="shared" si="137"/>
        <v>185407740.40426955</v>
      </c>
      <c r="L475" s="667">
        <f t="shared" si="137"/>
        <v>618668167.79129517</v>
      </c>
      <c r="M475" s="667">
        <f>(M468+M467+M461+M451+M450)</f>
        <v>609447745.59360635</v>
      </c>
      <c r="V475" s="5" t="e">
        <f>#REF!-M476</f>
        <v>#REF!</v>
      </c>
    </row>
    <row r="476" spans="1:25" x14ac:dyDescent="0.2">
      <c r="M476" s="621">
        <f>(H468+H467+H461+H451+H450)-(M468+M467+M450+M451+M461)</f>
        <v>570783.5677331686</v>
      </c>
      <c r="N476" s="607" t="s">
        <v>1275</v>
      </c>
      <c r="V476" s="5">
        <f>H476-M477</f>
        <v>0</v>
      </c>
    </row>
    <row r="477" spans="1:25" ht="38.25" x14ac:dyDescent="0.2">
      <c r="D477" s="516" t="s">
        <v>1108</v>
      </c>
      <c r="E477" s="176"/>
      <c r="G477" s="515" t="s">
        <v>1141</v>
      </c>
      <c r="M477" s="283"/>
      <c r="V477" s="5" t="e">
        <f>H477-#REF!</f>
        <v>#REF!</v>
      </c>
    </row>
    <row r="478" spans="1:25" x14ac:dyDescent="0.2">
      <c r="D478" s="79" t="s">
        <v>1128</v>
      </c>
      <c r="E478" s="79" t="s">
        <v>1128</v>
      </c>
      <c r="G478" s="258">
        <f t="shared" ref="G478:G483" si="138">G211</f>
        <v>6</v>
      </c>
      <c r="H478" s="258">
        <f>$G478*H211*'Acute Prevalence'!C$24/Minutes_per_Year*GenAssumptions!D27</f>
        <v>162629513.52797833</v>
      </c>
      <c r="I478" s="258">
        <f>$G478*I211*'Acute Prevalence'!D$24/Minutes_per_Year*GenAssumptions!E27</f>
        <v>173363061.42082492</v>
      </c>
      <c r="J478" s="258">
        <f>$G478*J211*'Acute Prevalence'!E$24/Minutes_per_Year*GenAssumptions!F27</f>
        <v>184805023.47459936</v>
      </c>
      <c r="K478" s="258">
        <f>$G478*K211*'Acute Prevalence'!F$24/Minutes_per_Year*GenAssumptions!G27</f>
        <v>84441089.489761636</v>
      </c>
      <c r="L478" s="258">
        <f>$G478*L211*'Acute Prevalence'!G$24/Minutes_per_Year*GenAssumptions!H27</f>
        <v>179251179.59765613</v>
      </c>
      <c r="M478" s="258">
        <f>$G478*M211*'Acute Prevalence'!H$24/Minutes_per_Year*GenAssumptions!I27</f>
        <v>162629513.52797833</v>
      </c>
      <c r="N478" s="283">
        <f>M478-H478</f>
        <v>0</v>
      </c>
      <c r="V478" s="258">
        <f t="shared" si="122"/>
        <v>0</v>
      </c>
    </row>
    <row r="479" spans="1:25" x14ac:dyDescent="0.2">
      <c r="D479" s="79" t="s">
        <v>423</v>
      </c>
      <c r="E479" s="79" t="s">
        <v>423</v>
      </c>
      <c r="G479" s="258">
        <f t="shared" si="138"/>
        <v>0</v>
      </c>
      <c r="H479" s="258">
        <f>$G479*H212*'Acute Prevalence'!C$24/Minutes_per_Year*GenAssumptions!D33</f>
        <v>0</v>
      </c>
      <c r="I479" s="258">
        <f>$G479*I212*'Acute Prevalence'!D$24/Minutes_per_Year*GenAssumptions!E33</f>
        <v>0</v>
      </c>
      <c r="J479" s="258">
        <f>$G479*J212*'Acute Prevalence'!E$24/Minutes_per_Year*GenAssumptions!F33</f>
        <v>0</v>
      </c>
      <c r="K479" s="258">
        <f>$G479*K212*'Acute Prevalence'!F$24/Minutes_per_Year*GenAssumptions!G33</f>
        <v>0</v>
      </c>
      <c r="L479" s="258">
        <f>$G479*L212*'Acute Prevalence'!G$24/Minutes_per_Year*GenAssumptions!H33</f>
        <v>0</v>
      </c>
      <c r="M479" s="258">
        <f>$G479*M212*'Acute Prevalence'!H$24/Minutes_per_Year*GenAssumptions!I33</f>
        <v>0</v>
      </c>
      <c r="N479" s="283">
        <f t="shared" ref="N479:N531" si="139">M479-H479</f>
        <v>0</v>
      </c>
      <c r="V479" s="258">
        <f t="shared" si="122"/>
        <v>0</v>
      </c>
    </row>
    <row r="480" spans="1:25" x14ac:dyDescent="0.2">
      <c r="D480" s="5" t="s">
        <v>1130</v>
      </c>
      <c r="E480" s="5" t="s">
        <v>1130</v>
      </c>
      <c r="G480" s="258">
        <f t="shared" si="138"/>
        <v>4</v>
      </c>
      <c r="H480" s="258">
        <f>$G480*H213*'Acute Prevalence'!C$24/Minutes_per_Year*GenAssumptions!D37</f>
        <v>142369802.57844758</v>
      </c>
      <c r="I480" s="258">
        <f>$G480*I213*'Acute Prevalence'!D$24/Minutes_per_Year*GenAssumptions!E37</f>
        <v>151766209.54862511</v>
      </c>
      <c r="J480" s="258">
        <f>$G480*J213*'Acute Prevalence'!E$24/Minutes_per_Year*GenAssumptions!F37</f>
        <v>161782779.3788344</v>
      </c>
      <c r="K480" s="258">
        <f>$G480*K213*'Acute Prevalence'!F$24/Minutes_per_Year*GenAssumptions!G37</f>
        <v>73921768.437794521</v>
      </c>
      <c r="L480" s="258">
        <f>$G480*L213*'Acute Prevalence'!G$24/Minutes_per_Year*GenAssumptions!H37</f>
        <v>130767341.96671388</v>
      </c>
      <c r="M480" s="258">
        <f>$G480*M213*'Acute Prevalence'!H$24/Minutes_per_Year*GenAssumptions!I37</f>
        <v>142369802.57844758</v>
      </c>
      <c r="N480" s="283">
        <f t="shared" si="139"/>
        <v>0</v>
      </c>
      <c r="V480" s="258">
        <f t="shared" si="122"/>
        <v>0</v>
      </c>
    </row>
    <row r="481" spans="4:22" x14ac:dyDescent="0.2">
      <c r="D481" s="5" t="s">
        <v>815</v>
      </c>
      <c r="E481" s="5" t="s">
        <v>815</v>
      </c>
      <c r="G481" s="258">
        <f t="shared" si="138"/>
        <v>4</v>
      </c>
      <c r="H481" s="258">
        <f>$G481*H214*'Acute Prevalence'!C$24/Minutes_per_Year*GenAssumptions!D29</f>
        <v>117510683.65883103</v>
      </c>
      <c r="I481" s="258">
        <f>$G481*I214*'Acute Prevalence'!D$24/Minutes_per_Year*GenAssumptions!E29</f>
        <v>125266388.78031388</v>
      </c>
      <c r="J481" s="258">
        <f>$G481*J214*'Acute Prevalence'!E$24/Minutes_per_Year*GenAssumptions!F29</f>
        <v>133533970.43981461</v>
      </c>
      <c r="K481" s="258">
        <f>$G481*K214*'Acute Prevalence'!F$24/Minutes_per_Year*GenAssumptions!G29</f>
        <v>61014325.99520959</v>
      </c>
      <c r="L481" s="258">
        <f>$G481*L214*'Acute Prevalence'!G$24/Minutes_per_Year*GenAssumptions!H29</f>
        <v>129520947.3620463</v>
      </c>
      <c r="M481" s="258">
        <f>$G481*M214*'Acute Prevalence'!H$24/Minutes_per_Year*GenAssumptions!I29</f>
        <v>117510683.65883103</v>
      </c>
      <c r="N481" s="283">
        <f t="shared" si="139"/>
        <v>0</v>
      </c>
      <c r="V481" s="258">
        <f t="shared" si="122"/>
        <v>0</v>
      </c>
    </row>
    <row r="482" spans="4:22" x14ac:dyDescent="0.2">
      <c r="D482" s="5" t="s">
        <v>424</v>
      </c>
      <c r="E482" s="5" t="s">
        <v>1129</v>
      </c>
      <c r="G482" s="258">
        <f t="shared" si="138"/>
        <v>3</v>
      </c>
      <c r="H482" s="258">
        <f>$G482*H215*'Acute Prevalence'!C$24/Minutes_per_Year*GenAssumptions!D26</f>
        <v>57952301.258649945</v>
      </c>
      <c r="I482" s="258">
        <f>$G482*I215*'Acute Prevalence'!D$24/Minutes_per_Year*GenAssumptions!E26</f>
        <v>61777153.141720846</v>
      </c>
      <c r="J482" s="258">
        <f>$G482*J215*'Acute Prevalence'!E$24/Minutes_per_Year*GenAssumptions!F26</f>
        <v>65854445.249074422</v>
      </c>
      <c r="K482" s="258">
        <f>$G482*K215*'Acute Prevalence'!F$24/Minutes_per_Year*GenAssumptions!G26</f>
        <v>30090205.341956034</v>
      </c>
      <c r="L482" s="258">
        <f>$G482*L215*'Acute Prevalence'!G$24/Minutes_per_Year*GenAssumptions!H26</f>
        <v>63875357.772773579</v>
      </c>
      <c r="M482" s="258">
        <f>$G482*M215*'Acute Prevalence'!H$24/Minutes_per_Year*GenAssumptions!I26</f>
        <v>57952301.258649945</v>
      </c>
      <c r="N482" s="283">
        <f t="shared" si="139"/>
        <v>0</v>
      </c>
      <c r="V482" s="258">
        <f t="shared" si="122"/>
        <v>0</v>
      </c>
    </row>
    <row r="483" spans="4:22" x14ac:dyDescent="0.2">
      <c r="D483" s="5" t="s">
        <v>1151</v>
      </c>
      <c r="E483" s="5" t="s">
        <v>1151</v>
      </c>
      <c r="G483" s="258">
        <f t="shared" si="138"/>
        <v>4</v>
      </c>
      <c r="H483" s="258">
        <f>$G483*H216*'Acute Prevalence'!C$24/Minutes_per_Year*GenAssumptions!D30</f>
        <v>95053143.573297784</v>
      </c>
      <c r="I483" s="258">
        <f>$G483*I216*'Acute Prevalence'!D$24/Minutes_per_Year*GenAssumptions!E30</f>
        <v>101326651.04913545</v>
      </c>
      <c r="J483" s="258">
        <f>$G483*J216*'Acute Prevalence'!E$24/Minutes_per_Year*GenAssumptions!F30</f>
        <v>108014210.01837839</v>
      </c>
      <c r="K483" s="258">
        <f>$G483*K216*'Acute Prevalence'!F$24/Minutes_per_Year*GenAssumptions!G30</f>
        <v>49353840.078819141</v>
      </c>
      <c r="L483" s="258">
        <f>$G483*L216*'Acute Prevalence'!G$24/Minutes_per_Year*GenAssumptions!H30</f>
        <v>78576088.713970214</v>
      </c>
      <c r="M483" s="258">
        <f>$G483*M216*'Acute Prevalence'!H$24/Minutes_per_Year*GenAssumptions!I30</f>
        <v>95053143.573297784</v>
      </c>
      <c r="N483" s="283">
        <f t="shared" si="139"/>
        <v>0</v>
      </c>
      <c r="V483" s="258">
        <f t="shared" si="122"/>
        <v>0</v>
      </c>
    </row>
    <row r="484" spans="4:22" x14ac:dyDescent="0.2">
      <c r="N484" s="283"/>
      <c r="V484" s="5">
        <f t="shared" si="122"/>
        <v>0</v>
      </c>
    </row>
    <row r="485" spans="4:22" ht="38.25" x14ac:dyDescent="0.25">
      <c r="D485" s="517" t="s">
        <v>1104</v>
      </c>
      <c r="E485" s="481"/>
      <c r="G485" s="515" t="str">
        <f>G218</f>
        <v>Number of contact sessions during treatment</v>
      </c>
      <c r="N485" s="283"/>
      <c r="V485" s="5">
        <f t="shared" si="122"/>
        <v>0</v>
      </c>
    </row>
    <row r="486" spans="4:22" x14ac:dyDescent="0.2">
      <c r="D486" s="910" t="s">
        <v>1529</v>
      </c>
      <c r="E486" s="515"/>
      <c r="F486" s="515"/>
      <c r="G486" s="515"/>
      <c r="N486" s="283"/>
    </row>
    <row r="487" spans="4:22" x14ac:dyDescent="0.2">
      <c r="D487" s="79" t="s">
        <v>1128</v>
      </c>
      <c r="E487" s="79" t="s">
        <v>1128</v>
      </c>
      <c r="G487" s="521">
        <f t="shared" ref="G487:G493" si="140">G220</f>
        <v>16</v>
      </c>
      <c r="H487" s="258">
        <f>$G487*H220*'Acute Prevalence'!C$26/Minutes_per_Year*GenAssumptions!D27*(1-'Acute Prevalence'!C$11)</f>
        <v>69388592.438604102</v>
      </c>
      <c r="I487" s="258">
        <f>$G487*I220*'Acute Prevalence'!D$26/Minutes_per_Year*GenAssumptions!E27*(1-'Acute Prevalence'!D$11)</f>
        <v>110952359.30932795</v>
      </c>
      <c r="J487" s="258">
        <f>$G487*J220*'Acute Prevalence'!E$26/Minutes_per_Year*GenAssumptions!F27*(1-'Acute Prevalence'!E$11)</f>
        <v>118275215.0237436</v>
      </c>
      <c r="K487" s="258">
        <f>$G487*K220*'Acute Prevalence'!F$26/Minutes_per_Year*GenAssumptions!G27*(1-'Acute Prevalence'!F$11)</f>
        <v>54042297.273447439</v>
      </c>
      <c r="L487" s="258">
        <f>$G487*L220*'Acute Prevalence'!G$26/Minutes_per_Year*GenAssumptions!H27*(1-'Acute Prevalence'!G$11)</f>
        <v>71700471.839062452</v>
      </c>
      <c r="M487" s="258">
        <f>$G487*M220*'Acute Prevalence'!H$26/Minutes_per_Year*GenAssumptions!I27*(1-'Acute Prevalence'!H$11)</f>
        <v>69388592.438604102</v>
      </c>
      <c r="N487" s="283">
        <f>M487-H487</f>
        <v>0</v>
      </c>
    </row>
    <row r="488" spans="4:22" x14ac:dyDescent="0.2">
      <c r="D488" s="79" t="s">
        <v>423</v>
      </c>
      <c r="E488" s="79" t="s">
        <v>423</v>
      </c>
      <c r="G488" s="521">
        <f t="shared" si="140"/>
        <v>0</v>
      </c>
      <c r="H488" s="258">
        <f>$G488*H221*'Acute Prevalence'!C$26/Minutes_per_Year*GenAssumptions!D28*(1-'Acute Prevalence'!C$11)</f>
        <v>0</v>
      </c>
      <c r="I488" s="258">
        <f>$G488*I221*'Acute Prevalence'!D$26/Minutes_per_Year*GenAssumptions!E28*(1-'Acute Prevalence'!D$11)</f>
        <v>0</v>
      </c>
      <c r="J488" s="258">
        <f>$G488*J221*'Acute Prevalence'!E$26/Minutes_per_Year*GenAssumptions!F28*(1-'Acute Prevalence'!E$11)</f>
        <v>0</v>
      </c>
      <c r="K488" s="258">
        <f>$G488*K221*'Acute Prevalence'!F$26/Minutes_per_Year*GenAssumptions!G28*(1-'Acute Prevalence'!F$11)</f>
        <v>0</v>
      </c>
      <c r="L488" s="258">
        <f>$G488*L221*'Acute Prevalence'!G$26/Minutes_per_Year*GenAssumptions!H28*(1-'Acute Prevalence'!G$11)</f>
        <v>0</v>
      </c>
      <c r="M488" s="258">
        <f>$G488*M221*'Acute Prevalence'!H$26/Minutes_per_Year*GenAssumptions!I28*(1-'Acute Prevalence'!H$11)</f>
        <v>0</v>
      </c>
      <c r="N488" s="283">
        <f t="shared" ref="N488:N493" si="141">M488-H488</f>
        <v>0</v>
      </c>
    </row>
    <row r="489" spans="4:22" x14ac:dyDescent="0.2">
      <c r="D489" s="5" t="s">
        <v>1130</v>
      </c>
      <c r="E489" s="5" t="s">
        <v>1130</v>
      </c>
      <c r="G489" s="521">
        <f t="shared" si="140"/>
        <v>2</v>
      </c>
      <c r="H489" s="258">
        <f>$G489*H222*'Acute Prevalence'!C$26/Minutes_per_Year*GenAssumptions!D29*(1-'Acute Prevalence'!C$11)</f>
        <v>15668091.154510804</v>
      </c>
      <c r="I489" s="258">
        <f>$G489*I222*'Acute Prevalence'!D$26/Minutes_per_Year*GenAssumptions!E29*(1-'Acute Prevalence'!D$11)</f>
        <v>16702185.170708518</v>
      </c>
      <c r="J489" s="258">
        <f>$G489*J222*'Acute Prevalence'!E$26/Minutes_per_Year*GenAssumptions!F29*(1-'Acute Prevalence'!E$11)</f>
        <v>17804529.39197528</v>
      </c>
      <c r="K489" s="258">
        <f>$G489*K222*'Acute Prevalence'!F$26/Minutes_per_Year*GenAssumptions!G29*(1-'Acute Prevalence'!F$11)</f>
        <v>8135243.4660279453</v>
      </c>
      <c r="L489" s="258">
        <f>$G489*L222*'Acute Prevalence'!G$26/Minutes_per_Year*GenAssumptions!H29*(1-'Acute Prevalence'!G$11)</f>
        <v>10793412.280170526</v>
      </c>
      <c r="M489" s="258">
        <f>$G489*M222*'Acute Prevalence'!H$26/Minutes_per_Year*GenAssumptions!I29*(1-'Acute Prevalence'!H$11)</f>
        <v>15668091.154510804</v>
      </c>
      <c r="N489" s="283">
        <f t="shared" si="141"/>
        <v>0</v>
      </c>
    </row>
    <row r="490" spans="4:22" x14ac:dyDescent="0.2">
      <c r="D490" s="5" t="s">
        <v>815</v>
      </c>
      <c r="E490" s="5" t="s">
        <v>815</v>
      </c>
      <c r="G490" s="521">
        <f t="shared" si="140"/>
        <v>0</v>
      </c>
      <c r="H490" s="258">
        <f>$G490*H223*'Acute Prevalence'!C$26/Minutes_per_Year*GenAssumptions!D30*(1-'Acute Prevalence'!C$11)</f>
        <v>0</v>
      </c>
      <c r="I490" s="258">
        <f>$G490*I223*'Acute Prevalence'!D$26/Minutes_per_Year*GenAssumptions!E30*(1-'Acute Prevalence'!D$11)</f>
        <v>0</v>
      </c>
      <c r="J490" s="258">
        <f>$G490*J223*'Acute Prevalence'!E$26/Minutes_per_Year*GenAssumptions!F30*(1-'Acute Prevalence'!E$11)</f>
        <v>0</v>
      </c>
      <c r="K490" s="258">
        <f>$G490*K223*'Acute Prevalence'!F$26/Minutes_per_Year*GenAssumptions!G30*(1-'Acute Prevalence'!F$11)</f>
        <v>0</v>
      </c>
      <c r="L490" s="258">
        <f>$G490*L223*'Acute Prevalence'!G$26/Minutes_per_Year*GenAssumptions!H30*(1-'Acute Prevalence'!G$11)</f>
        <v>0</v>
      </c>
      <c r="M490" s="258">
        <f>$G490*M223*'Acute Prevalence'!H$26/Minutes_per_Year*GenAssumptions!I30*(1-'Acute Prevalence'!H$11)</f>
        <v>0</v>
      </c>
      <c r="N490" s="283">
        <f t="shared" si="141"/>
        <v>0</v>
      </c>
    </row>
    <row r="491" spans="4:22" x14ac:dyDescent="0.2">
      <c r="D491" s="5" t="s">
        <v>421</v>
      </c>
      <c r="E491" s="5" t="s">
        <v>421</v>
      </c>
      <c r="G491" s="521">
        <f t="shared" si="140"/>
        <v>0</v>
      </c>
      <c r="H491" s="258">
        <f>$G491*H224*'Acute Prevalence'!C$26/Minutes_per_Year*GenAssumptions!D31*(1-'Acute Prevalence'!C$11)</f>
        <v>0</v>
      </c>
      <c r="I491" s="258">
        <f>$G491*I224*'Acute Prevalence'!D$26/Minutes_per_Year*GenAssumptions!E31*(1-'Acute Prevalence'!D$11)</f>
        <v>0</v>
      </c>
      <c r="J491" s="258">
        <f>$G491*J224*'Acute Prevalence'!E$26/Minutes_per_Year*GenAssumptions!F31*(1-'Acute Prevalence'!E$11)</f>
        <v>0</v>
      </c>
      <c r="K491" s="258">
        <f>$G491*K224*'Acute Prevalence'!F$26/Minutes_per_Year*GenAssumptions!G31*(1-'Acute Prevalence'!F$11)</f>
        <v>0</v>
      </c>
      <c r="L491" s="258">
        <f>$G491*L224*'Acute Prevalence'!G$26/Minutes_per_Year*GenAssumptions!H31*(1-'Acute Prevalence'!G$11)</f>
        <v>0</v>
      </c>
      <c r="M491" s="258">
        <f>$G491*M224*'Acute Prevalence'!H$26/Minutes_per_Year*GenAssumptions!I31*(1-'Acute Prevalence'!H$11)</f>
        <v>0</v>
      </c>
      <c r="N491" s="283">
        <f t="shared" si="141"/>
        <v>0</v>
      </c>
    </row>
    <row r="492" spans="4:22" x14ac:dyDescent="0.2">
      <c r="D492" s="5" t="s">
        <v>422</v>
      </c>
      <c r="E492" s="5" t="s">
        <v>422</v>
      </c>
      <c r="G492" s="521">
        <f t="shared" si="140"/>
        <v>16</v>
      </c>
      <c r="H492" s="258">
        <f>$G492*H225*'Acute Prevalence'!C$26/Minutes_per_Year*GenAssumptions!D32*(1-'Acute Prevalence'!C$11)</f>
        <v>156680911.54510799</v>
      </c>
      <c r="I492" s="258">
        <f>$G492*I225*'Acute Prevalence'!D$26/Minutes_per_Year*GenAssumptions!E32*(1-'Acute Prevalence'!D$11)</f>
        <v>233830592.38991925</v>
      </c>
      <c r="J492" s="258">
        <f>$G492*J225*'Acute Prevalence'!E$26/Minutes_per_Year*GenAssumptions!F32*(1-'Acute Prevalence'!E$11)</f>
        <v>249263411.48765394</v>
      </c>
      <c r="K492" s="258">
        <f>$G492*K225*'Acute Prevalence'!F$26/Minutes_per_Year*GenAssumptions!G32*(1-'Acute Prevalence'!F$11)</f>
        <v>113893408.52439125</v>
      </c>
      <c r="L492" s="258">
        <f>$G492*L225*'Acute Prevalence'!G$26/Minutes_per_Year*GenAssumptions!H32*(1-'Acute Prevalence'!G$11)</f>
        <v>151107771.92238736</v>
      </c>
      <c r="M492" s="258">
        <f>$G492*M225*'Acute Prevalence'!H$26/Minutes_per_Year*GenAssumptions!I32*(1-'Acute Prevalence'!H$11)</f>
        <v>156680911.54510799</v>
      </c>
      <c r="N492" s="283">
        <f>M492-H492</f>
        <v>0</v>
      </c>
    </row>
    <row r="493" spans="4:22" x14ac:dyDescent="0.2">
      <c r="D493" s="5" t="s">
        <v>1151</v>
      </c>
      <c r="E493" s="5" t="s">
        <v>1151</v>
      </c>
      <c r="G493" s="521">
        <f t="shared" si="140"/>
        <v>16</v>
      </c>
      <c r="H493" s="258">
        <f>$G493*H226*'Acute Prevalence'!C$26/Minutes_per_Year*GenAssumptions!D33*(1-'Acute Prevalence'!C$11)</f>
        <v>238587983.55253989</v>
      </c>
      <c r="I493" s="258">
        <f>$G493*I226*'Acute Prevalence'!D$26/Minutes_per_Year*GenAssumptions!E33*(1-'Acute Prevalence'!D$11)</f>
        <v>254334790.46700752</v>
      </c>
      <c r="J493" s="258">
        <f>$G493*J226*'Acute Prevalence'!E$26/Minutes_per_Year*GenAssumptions!F33*(1-'Acute Prevalence'!E$11)</f>
        <v>271120886.63783002</v>
      </c>
      <c r="K493" s="258">
        <f>$G493*K226*'Acute Prevalence'!F$26/Minutes_per_Year*GenAssumptions!G33*(1-'Acute Prevalence'!F$11)</f>
        <v>123880523.48736703</v>
      </c>
      <c r="L493" s="258">
        <f>$G493*L226*'Acute Prevalence'!G$26/Minutes_per_Year*GenAssumptions!H33*(1-'Acute Prevalence'!G$11)</f>
        <v>164358149.70579362</v>
      </c>
      <c r="M493" s="258">
        <f>$G493*M226*'Acute Prevalence'!H$26/Minutes_per_Year*GenAssumptions!I33*(1-'Acute Prevalence'!H$11)</f>
        <v>238587983.55253989</v>
      </c>
      <c r="N493" s="283">
        <f t="shared" si="141"/>
        <v>0</v>
      </c>
    </row>
    <row r="494" spans="4:22" x14ac:dyDescent="0.2">
      <c r="G494" s="515"/>
      <c r="N494" s="283"/>
    </row>
    <row r="495" spans="4:22" x14ac:dyDescent="0.2">
      <c r="D495" s="79" t="s">
        <v>1128</v>
      </c>
      <c r="E495" s="79" t="s">
        <v>1128</v>
      </c>
      <c r="G495" s="521">
        <f t="shared" ref="G495:G501" si="142">G228</f>
        <v>16</v>
      </c>
      <c r="H495" s="258">
        <f>$G495*H228*'Acute Prevalence'!C$26/Minutes_per_Year*GenAssumptions!D27*'Acute Prevalence'!C$11</f>
        <v>69388592.438604102</v>
      </c>
      <c r="I495" s="258">
        <f>$G495*I228*'Acute Prevalence'!D$26/Minutes_per_Year*GenAssumptions!E27*'Acute Prevalence'!D$11</f>
        <v>110952359.30932795</v>
      </c>
      <c r="J495" s="258">
        <f>$G495*J228*'Acute Prevalence'!E$26/Minutes_per_Year*GenAssumptions!F27*'Acute Prevalence'!E$11</f>
        <v>118275215.0237436</v>
      </c>
      <c r="K495" s="258">
        <f>$G495*K228*'Acute Prevalence'!F$26/Minutes_per_Year*GenAssumptions!G27*'Acute Prevalence'!F$11</f>
        <v>54042297.273447439</v>
      </c>
      <c r="L495" s="258">
        <f>$G495*L228*'Acute Prevalence'!G$26/Minutes_per_Year*GenAssumptions!H27*'Acute Prevalence'!G$11</f>
        <v>23900157.279687487</v>
      </c>
      <c r="M495" s="258">
        <f>$G495*M228*'Acute Prevalence'!H$26/Minutes_per_Year*GenAssumptions!I27*'Acute Prevalence'!H$11</f>
        <v>69388592.438604102</v>
      </c>
      <c r="N495" s="283">
        <f>M495-H487</f>
        <v>0</v>
      </c>
      <c r="V495" s="258">
        <f>H487-M495</f>
        <v>0</v>
      </c>
    </row>
    <row r="496" spans="4:22" x14ac:dyDescent="0.2">
      <c r="D496" s="79" t="s">
        <v>423</v>
      </c>
      <c r="E496" s="79" t="s">
        <v>423</v>
      </c>
      <c r="G496" s="521">
        <f t="shared" si="142"/>
        <v>0</v>
      </c>
      <c r="H496" s="258">
        <f>$G496*H229*'Acute Prevalence'!C$26/Minutes_per_Year*GenAssumptions!D28*'Acute Prevalence'!C$11</f>
        <v>0</v>
      </c>
      <c r="I496" s="258">
        <f>$G496*I229*'Acute Prevalence'!D$26/Minutes_per_Year*GenAssumptions!E28*'Acute Prevalence'!D$11</f>
        <v>0</v>
      </c>
      <c r="J496" s="258">
        <f>$G496*J229*'Acute Prevalence'!E$26/Minutes_per_Year*GenAssumptions!F28*'Acute Prevalence'!E$11</f>
        <v>0</v>
      </c>
      <c r="K496" s="258">
        <f>$G496*K229*'Acute Prevalence'!F$26/Minutes_per_Year*GenAssumptions!G28*'Acute Prevalence'!F$11</f>
        <v>0</v>
      </c>
      <c r="L496" s="258">
        <f>$G496*L229*'Acute Prevalence'!G$26/Minutes_per_Year*GenAssumptions!H28*'Acute Prevalence'!G$11</f>
        <v>0</v>
      </c>
      <c r="M496" s="258">
        <f>$G496*M229*'Acute Prevalence'!H$26/Minutes_per_Year*GenAssumptions!I28*'Acute Prevalence'!H$11</f>
        <v>0</v>
      </c>
      <c r="N496" s="283">
        <f t="shared" si="139"/>
        <v>0</v>
      </c>
      <c r="V496" s="258">
        <f t="shared" si="122"/>
        <v>0</v>
      </c>
    </row>
    <row r="497" spans="4:22" x14ac:dyDescent="0.2">
      <c r="D497" s="5" t="s">
        <v>1130</v>
      </c>
      <c r="E497" s="5" t="s">
        <v>1130</v>
      </c>
      <c r="G497" s="521">
        <f t="shared" si="142"/>
        <v>16</v>
      </c>
      <c r="H497" s="258">
        <f>$G497*H230*'Acute Prevalence'!C$26/Minutes_per_Year*GenAssumptions!D29*'Acute Prevalence'!C$11</f>
        <v>112810256.31247778</v>
      </c>
      <c r="I497" s="258">
        <f>$G497*I230*'Acute Prevalence'!D$26/Minutes_per_Year*GenAssumptions!E29*'Acute Prevalence'!D$11</f>
        <v>120255733.22910133</v>
      </c>
      <c r="J497" s="258">
        <f>$G497*J230*'Acute Prevalence'!E$26/Minutes_per_Year*GenAssumptions!F29*'Acute Prevalence'!E$11</f>
        <v>128192611.62222202</v>
      </c>
      <c r="K497" s="258">
        <f>$G497*K230*'Acute Prevalence'!F$26/Minutes_per_Year*GenAssumptions!G29*'Acute Prevalence'!F$11</f>
        <v>58573752.955401212</v>
      </c>
      <c r="L497" s="258">
        <f>$G497*L230*'Acute Prevalence'!G$26/Minutes_per_Year*GenAssumptions!H29*'Acute Prevalence'!G$11</f>
        <v>25904189.472409256</v>
      </c>
      <c r="M497" s="258">
        <f>$G497*M230*'Acute Prevalence'!H$26/Minutes_per_Year*GenAssumptions!I29*'Acute Prevalence'!H$11</f>
        <v>112810256.31247778</v>
      </c>
      <c r="N497" s="283">
        <f t="shared" si="139"/>
        <v>0</v>
      </c>
      <c r="V497" s="258">
        <f t="shared" si="122"/>
        <v>0</v>
      </c>
    </row>
    <row r="498" spans="4:22" x14ac:dyDescent="0.2">
      <c r="D498" s="5" t="s">
        <v>815</v>
      </c>
      <c r="E498" s="5" t="s">
        <v>815</v>
      </c>
      <c r="G498" s="521">
        <f t="shared" si="142"/>
        <v>16</v>
      </c>
      <c r="H498" s="258">
        <f>$G498*H231*'Acute Prevalence'!C$26/Minutes_per_Year*GenAssumptions!D30*'Acute Prevalence'!C$11</f>
        <v>50695009.90575882</v>
      </c>
      <c r="I498" s="258">
        <f>$G498*I231*'Acute Prevalence'!D$26/Minutes_per_Year*GenAssumptions!E30*'Acute Prevalence'!D$11</f>
        <v>54040880.559538908</v>
      </c>
      <c r="J498" s="258">
        <f>$G498*J231*'Acute Prevalence'!E$26/Minutes_per_Year*GenAssumptions!F30*'Acute Prevalence'!E$11</f>
        <v>57607578.676468477</v>
      </c>
      <c r="K498" s="258">
        <f>$G498*K231*'Acute Prevalence'!F$26/Minutes_per_Year*GenAssumptions!G30*'Acute Prevalence'!F$11</f>
        <v>26322048.042036876</v>
      </c>
      <c r="L498" s="258">
        <f>$G498*L231*'Acute Prevalence'!G$26/Minutes_per_Year*GenAssumptions!H30*'Acute Prevalence'!G$11</f>
        <v>11640902.031699294</v>
      </c>
      <c r="M498" s="258">
        <f>$G498*M231*'Acute Prevalence'!H$26/Minutes_per_Year*GenAssumptions!I30*'Acute Prevalence'!H$11</f>
        <v>50695009.90575882</v>
      </c>
      <c r="N498" s="283">
        <f t="shared" si="139"/>
        <v>0</v>
      </c>
      <c r="V498" s="258">
        <f t="shared" si="122"/>
        <v>0</v>
      </c>
    </row>
    <row r="499" spans="4:22" x14ac:dyDescent="0.2">
      <c r="D499" s="5" t="s">
        <v>421</v>
      </c>
      <c r="E499" s="5" t="s">
        <v>421</v>
      </c>
      <c r="G499" s="521">
        <f t="shared" si="142"/>
        <v>0</v>
      </c>
      <c r="H499" s="258">
        <f>$G499*H232*'Acute Prevalence'!C$26/Minutes_per_Year*GenAssumptions!D31*'Acute Prevalence'!C$11</f>
        <v>0</v>
      </c>
      <c r="I499" s="258">
        <f>$G499*I232*'Acute Prevalence'!D$26/Minutes_per_Year*GenAssumptions!E31*'Acute Prevalence'!D$11</f>
        <v>0</v>
      </c>
      <c r="J499" s="258">
        <f>$G499*J232*'Acute Prevalence'!E$26/Minutes_per_Year*GenAssumptions!F31*'Acute Prevalence'!E$11</f>
        <v>0</v>
      </c>
      <c r="K499" s="258">
        <f>$G499*K232*'Acute Prevalence'!F$26/Minutes_per_Year*GenAssumptions!G31*'Acute Prevalence'!F$11</f>
        <v>0</v>
      </c>
      <c r="L499" s="258">
        <f>$G499*L232*'Acute Prevalence'!G$26/Minutes_per_Year*GenAssumptions!H31*'Acute Prevalence'!G$11</f>
        <v>0</v>
      </c>
      <c r="M499" s="258">
        <f>$G499*M232*'Acute Prevalence'!H$26/Minutes_per_Year*GenAssumptions!I31*'Acute Prevalence'!H$11</f>
        <v>0</v>
      </c>
      <c r="N499" s="283">
        <f t="shared" si="139"/>
        <v>0</v>
      </c>
      <c r="V499" s="258">
        <f t="shared" ref="V499:V531" si="143">H499-M499</f>
        <v>0</v>
      </c>
    </row>
    <row r="500" spans="4:22" x14ac:dyDescent="0.2">
      <c r="D500" s="5" t="s">
        <v>422</v>
      </c>
      <c r="E500" s="5" t="s">
        <v>422</v>
      </c>
      <c r="G500" s="521">
        <f t="shared" si="142"/>
        <v>16</v>
      </c>
      <c r="H500" s="258">
        <f>$G500*H233*'Acute Prevalence'!C$26/Minutes_per_Year*GenAssumptions!D32*'Acute Prevalence'!C$11</f>
        <v>156680911.54510799</v>
      </c>
      <c r="I500" s="258">
        <f>$G500*I233*'Acute Prevalence'!D$26/Minutes_per_Year*GenAssumptions!E32*'Acute Prevalence'!D$11</f>
        <v>167021851.70708516</v>
      </c>
      <c r="J500" s="258">
        <f>$G500*J233*'Acute Prevalence'!E$26/Minutes_per_Year*GenAssumptions!F32*'Acute Prevalence'!E$11</f>
        <v>178045293.91975278</v>
      </c>
      <c r="K500" s="258">
        <f>$G500*K233*'Acute Prevalence'!F$26/Minutes_per_Year*GenAssumptions!G32*'Acute Prevalence'!F$11</f>
        <v>81352434.660279453</v>
      </c>
      <c r="L500" s="258">
        <f>$G500*L233*'Acute Prevalence'!G$26/Minutes_per_Year*GenAssumptions!H32*'Acute Prevalence'!G$11</f>
        <v>35978040.93390175</v>
      </c>
      <c r="M500" s="258">
        <f>$G500*M233*'Acute Prevalence'!H$26/Minutes_per_Year*GenAssumptions!I32*'Acute Prevalence'!H$11</f>
        <v>156680911.54510799</v>
      </c>
      <c r="N500" s="283">
        <f t="shared" si="139"/>
        <v>0</v>
      </c>
      <c r="V500" s="258">
        <f t="shared" si="143"/>
        <v>0</v>
      </c>
    </row>
    <row r="501" spans="4:22" x14ac:dyDescent="0.2">
      <c r="D501" s="5" t="s">
        <v>1151</v>
      </c>
      <c r="E501" s="5" t="s">
        <v>1151</v>
      </c>
      <c r="G501" s="521">
        <f t="shared" si="142"/>
        <v>16</v>
      </c>
      <c r="H501" s="258">
        <f>$G501*H234*'Acute Prevalence'!C$26/Minutes_per_Year*GenAssumptions!D33*'Acute Prevalence'!C$11</f>
        <v>238587983.55253989</v>
      </c>
      <c r="I501" s="258">
        <f>$G501*I234*'Acute Prevalence'!D$26/Minutes_per_Year*GenAssumptions!E33*'Acute Prevalence'!D$11</f>
        <v>254334790.46700752</v>
      </c>
      <c r="J501" s="258">
        <f>$G501*J234*'Acute Prevalence'!E$26/Minutes_per_Year*GenAssumptions!F33*'Acute Prevalence'!E$11</f>
        <v>271120886.63783002</v>
      </c>
      <c r="K501" s="258">
        <f>$G501*K234*'Acute Prevalence'!F$26/Minutes_per_Year*GenAssumptions!G33*'Acute Prevalence'!F$11</f>
        <v>123880523.48736703</v>
      </c>
      <c r="L501" s="258">
        <f>$G501*L234*'Acute Prevalence'!G$26/Minutes_per_Year*GenAssumptions!H33*'Acute Prevalence'!G$11</f>
        <v>54786049.901931204</v>
      </c>
      <c r="M501" s="258">
        <f>$G501*M234*'Acute Prevalence'!H$26/Minutes_per_Year*GenAssumptions!I33*'Acute Prevalence'!H$11</f>
        <v>238587983.55253989</v>
      </c>
      <c r="N501" s="283">
        <f t="shared" si="139"/>
        <v>0</v>
      </c>
      <c r="V501" s="258">
        <f t="shared" si="143"/>
        <v>0</v>
      </c>
    </row>
    <row r="502" spans="4:22" x14ac:dyDescent="0.2">
      <c r="N502" s="283"/>
      <c r="V502" s="5">
        <f t="shared" si="143"/>
        <v>0</v>
      </c>
    </row>
    <row r="503" spans="4:22" ht="38.25" x14ac:dyDescent="0.25">
      <c r="D503" s="518" t="s">
        <v>1188</v>
      </c>
      <c r="E503" s="477"/>
      <c r="G503" s="515" t="str">
        <f t="shared" ref="G503:G511" si="144">G236</f>
        <v>Number of contact sessions during treatment</v>
      </c>
      <c r="N503" s="283"/>
      <c r="V503" s="5">
        <f t="shared" si="143"/>
        <v>0</v>
      </c>
    </row>
    <row r="504" spans="4:22" x14ac:dyDescent="0.2">
      <c r="D504" s="79" t="s">
        <v>1128</v>
      </c>
      <c r="E504" s="79" t="s">
        <v>1128</v>
      </c>
      <c r="G504" s="521">
        <f t="shared" si="144"/>
        <v>12</v>
      </c>
      <c r="H504" s="258">
        <f>$G504*H237*'Acute Prevalence'!C$27/Minutes_per_Year*GenAssumptions!D27</f>
        <v>36429011.030267149</v>
      </c>
      <c r="I504" s="258">
        <f>$G504*I237*'Acute Prevalence'!D$27/Minutes_per_Year*GenAssumptions!E27</f>
        <v>38833325.758264787</v>
      </c>
      <c r="J504" s="258">
        <f>$G504*J237*'Acute Prevalence'!E$27/Minutes_per_Year*GenAssumptions!F27</f>
        <v>41396325.258310258</v>
      </c>
      <c r="K504" s="258">
        <f>$G504*K237*'Acute Prevalence'!F$27/Minutes_per_Year*GenAssumptions!G27</f>
        <v>18914804.045706604</v>
      </c>
      <c r="L504" s="258">
        <f>$G504*L237*'Acute Prevalence'!G$27/Minutes_per_Year*GenAssumptions!H27</f>
        <v>18821373.857753899</v>
      </c>
      <c r="M504" s="258">
        <f>$G504*M237*'Acute Prevalence'!H$27/Minutes_per_Year*GenAssumptions!I27</f>
        <v>36429011.030267149</v>
      </c>
      <c r="N504" s="283">
        <f t="shared" si="139"/>
        <v>0</v>
      </c>
      <c r="V504" s="258">
        <f t="shared" si="143"/>
        <v>0</v>
      </c>
    </row>
    <row r="505" spans="4:22" x14ac:dyDescent="0.2">
      <c r="D505" s="79" t="s">
        <v>423</v>
      </c>
      <c r="E505" s="79" t="s">
        <v>423</v>
      </c>
      <c r="G505" s="521">
        <f t="shared" si="144"/>
        <v>0</v>
      </c>
      <c r="H505" s="258">
        <f>$G505*H238*'Acute Prevalence'!C$27/Minutes_per_Year*GenAssumptions!D33</f>
        <v>0</v>
      </c>
      <c r="I505" s="258">
        <f>$G505*I238*'Acute Prevalence'!D$27/Minutes_per_Year*GenAssumptions!E33</f>
        <v>0</v>
      </c>
      <c r="J505" s="258">
        <f>$G505*J238*'Acute Prevalence'!E$27/Minutes_per_Year*GenAssumptions!F33</f>
        <v>0</v>
      </c>
      <c r="K505" s="258">
        <f>$G505*K238*'Acute Prevalence'!F$27/Minutes_per_Year*GenAssumptions!G33</f>
        <v>0</v>
      </c>
      <c r="L505" s="258">
        <f>$G505*L238*'Acute Prevalence'!G$27/Minutes_per_Year*GenAssumptions!H33</f>
        <v>0</v>
      </c>
      <c r="M505" s="258">
        <f>$G505*M238*'Acute Prevalence'!H$27/Minutes_per_Year*GenAssumptions!I33</f>
        <v>0</v>
      </c>
      <c r="N505" s="283">
        <f t="shared" si="139"/>
        <v>0</v>
      </c>
      <c r="V505" s="258">
        <f t="shared" si="143"/>
        <v>0</v>
      </c>
    </row>
    <row r="506" spans="4:22" x14ac:dyDescent="0.2">
      <c r="D506" s="79" t="s">
        <v>1148</v>
      </c>
      <c r="E506" s="79" t="s">
        <v>1148</v>
      </c>
      <c r="G506" s="521">
        <f t="shared" si="144"/>
        <v>0</v>
      </c>
      <c r="H506" s="258">
        <f>$G506*H239*'Acute Prevalence'!C$27/Minutes_per_Year*GenAssumptions!D40</f>
        <v>0</v>
      </c>
      <c r="I506" s="258">
        <f>$G506*I239*'Acute Prevalence'!D$27/Minutes_per_Year*GenAssumptions!E40</f>
        <v>0</v>
      </c>
      <c r="J506" s="258">
        <f>$G506*J239*'Acute Prevalence'!E$27/Minutes_per_Year*GenAssumptions!F40</f>
        <v>0</v>
      </c>
      <c r="K506" s="258">
        <f>$G506*K239*'Acute Prevalence'!F$27/Minutes_per_Year*GenAssumptions!G40</f>
        <v>0</v>
      </c>
      <c r="L506" s="258">
        <f>$G506*L239*'Acute Prevalence'!G$27/Minutes_per_Year*GenAssumptions!H40</f>
        <v>0</v>
      </c>
      <c r="M506" s="258">
        <f>$G506*M239*'Acute Prevalence'!H$27/Minutes_per_Year*GenAssumptions!I40</f>
        <v>0</v>
      </c>
      <c r="N506" s="283">
        <f t="shared" si="139"/>
        <v>0</v>
      </c>
      <c r="V506" s="258">
        <f t="shared" si="143"/>
        <v>0</v>
      </c>
    </row>
    <row r="507" spans="4:22" x14ac:dyDescent="0.2">
      <c r="D507" s="5" t="s">
        <v>1150</v>
      </c>
      <c r="E507" s="5" t="s">
        <v>1150</v>
      </c>
      <c r="G507" s="521">
        <f t="shared" si="144"/>
        <v>6</v>
      </c>
      <c r="H507" s="258">
        <f>$G507*H240*'Acute Prevalence'!C$27/Minutes_per_Year*GenAssumptions!D39</f>
        <v>16336328.840002839</v>
      </c>
      <c r="I507" s="258">
        <f>$G507*I240*'Acute Prevalence'!D$27/Minutes_per_Year*GenAssumptions!E39</f>
        <v>17414526.543443028</v>
      </c>
      <c r="J507" s="258">
        <f>$G507*J240*'Acute Prevalence'!E$27/Minutes_per_Year*GenAssumptions!F39</f>
        <v>18563885.295310266</v>
      </c>
      <c r="K507" s="258">
        <f>$G507*K240*'Acute Prevalence'!F$27/Minutes_per_Year*GenAssumptions!G39</f>
        <v>8482208.2756555453</v>
      </c>
      <c r="L507" s="258">
        <f>$G507*L240*'Acute Prevalence'!G$27/Minutes_per_Year*GenAssumptions!H39</f>
        <v>8440310.1776613258</v>
      </c>
      <c r="M507" s="258">
        <f>$G507*M240*'Acute Prevalence'!H$27/Minutes_per_Year*GenAssumptions!I39</f>
        <v>16336328.840002839</v>
      </c>
      <c r="N507" s="283">
        <f t="shared" si="139"/>
        <v>0</v>
      </c>
      <c r="V507" s="258">
        <f t="shared" si="143"/>
        <v>0</v>
      </c>
    </row>
    <row r="508" spans="4:22" x14ac:dyDescent="0.2">
      <c r="D508" s="5" t="s">
        <v>815</v>
      </c>
      <c r="E508" s="5" t="s">
        <v>815</v>
      </c>
      <c r="G508" s="521">
        <f t="shared" si="144"/>
        <v>6</v>
      </c>
      <c r="H508" s="258">
        <f>$G508*H241*'Acute Prevalence'!C$27/Minutes_per_Year*GenAssumptions!D29</f>
        <v>14101282.039059723</v>
      </c>
      <c r="I508" s="258">
        <f>$G508*I241*'Acute Prevalence'!D$27/Minutes_per_Year*GenAssumptions!E29</f>
        <v>15031966.653637666</v>
      </c>
      <c r="J508" s="258">
        <f>$G508*J241*'Acute Prevalence'!E$27/Minutes_per_Year*GenAssumptions!F29</f>
        <v>16024076.452777753</v>
      </c>
      <c r="K508" s="258">
        <f>$G508*K241*'Acute Prevalence'!F$27/Minutes_per_Year*GenAssumptions!G29</f>
        <v>7321719.1194251515</v>
      </c>
      <c r="L508" s="258">
        <f>$G508*L241*'Acute Prevalence'!G$27/Minutes_per_Year*GenAssumptions!H29</f>
        <v>7285553.2891151048</v>
      </c>
      <c r="M508" s="258">
        <f>$G508*M241*'Acute Prevalence'!H$27/Minutes_per_Year*GenAssumptions!I29</f>
        <v>14101282.039059723</v>
      </c>
      <c r="N508" s="283">
        <f t="shared" si="139"/>
        <v>0</v>
      </c>
      <c r="V508" s="258">
        <f t="shared" si="143"/>
        <v>0</v>
      </c>
    </row>
    <row r="509" spans="4:22" x14ac:dyDescent="0.2">
      <c r="D509" s="5" t="s">
        <v>421</v>
      </c>
      <c r="E509" s="5" t="s">
        <v>421</v>
      </c>
      <c r="G509" s="521">
        <f t="shared" si="144"/>
        <v>0</v>
      </c>
      <c r="H509" s="258">
        <f>$G509*H242*'Acute Prevalence'!C$27/Minutes_per_Year*GenAssumptions!D32</f>
        <v>0</v>
      </c>
      <c r="I509" s="258">
        <f>$G509*I242*'Acute Prevalence'!D$27/Minutes_per_Year*GenAssumptions!E32</f>
        <v>0</v>
      </c>
      <c r="J509" s="258">
        <f>$G509*J242*'Acute Prevalence'!E$27/Minutes_per_Year*GenAssumptions!F32</f>
        <v>0</v>
      </c>
      <c r="K509" s="258">
        <f>$G509*K242*'Acute Prevalence'!F$27/Minutes_per_Year*GenAssumptions!G32</f>
        <v>0</v>
      </c>
      <c r="L509" s="258">
        <f>$G509*L242*'Acute Prevalence'!G$27/Minutes_per_Year*GenAssumptions!H32</f>
        <v>0</v>
      </c>
      <c r="M509" s="258">
        <f>$G509*M242*'Acute Prevalence'!H$27/Minutes_per_Year*GenAssumptions!I32</f>
        <v>0</v>
      </c>
      <c r="N509" s="283">
        <f t="shared" si="139"/>
        <v>0</v>
      </c>
      <c r="V509" s="258">
        <f t="shared" si="143"/>
        <v>0</v>
      </c>
    </row>
    <row r="510" spans="4:22" x14ac:dyDescent="0.2">
      <c r="D510" s="5" t="s">
        <v>422</v>
      </c>
      <c r="E510" s="5" t="s">
        <v>422</v>
      </c>
      <c r="G510" s="521">
        <f t="shared" si="144"/>
        <v>3</v>
      </c>
      <c r="H510" s="258">
        <f>$G510*H243*'Acute Prevalence'!C$27/Minutes_per_Year*GenAssumptions!D28</f>
        <v>13749415.969037678</v>
      </c>
      <c r="I510" s="258">
        <f>$G510*I243*'Acute Prevalence'!D$27/Minutes_per_Year*GenAssumptions!E28</f>
        <v>14656877.422994167</v>
      </c>
      <c r="J510" s="258">
        <f>$G510*J243*'Acute Prevalence'!E$27/Minutes_per_Year*GenAssumptions!F28</f>
        <v>15624231.332911782</v>
      </c>
      <c r="K510" s="258">
        <f>$G510*K243*'Acute Prevalence'!F$27/Minutes_per_Year*GenAssumptions!G28</f>
        <v>7139021.9345010221</v>
      </c>
      <c r="L510" s="258">
        <f>$G510*L243*'Acute Prevalence'!G$27/Minutes_per_Year*GenAssumptions!H28</f>
        <v>7103758.541894515</v>
      </c>
      <c r="M510" s="258">
        <f>$G510*M243*'Acute Prevalence'!H$27/Minutes_per_Year*GenAssumptions!I28</f>
        <v>13749415.969037678</v>
      </c>
      <c r="N510" s="283">
        <f t="shared" si="139"/>
        <v>0</v>
      </c>
      <c r="V510" s="258">
        <f t="shared" si="143"/>
        <v>0</v>
      </c>
    </row>
    <row r="511" spans="4:22" x14ac:dyDescent="0.2">
      <c r="D511" s="5" t="s">
        <v>1151</v>
      </c>
      <c r="E511" s="5" t="s">
        <v>1151</v>
      </c>
      <c r="G511" s="521">
        <f t="shared" si="144"/>
        <v>8</v>
      </c>
      <c r="H511" s="258">
        <f>$G511*H244*'Acute Prevalence'!C$27/Minutes_per_Year*GenAssumptions!D30</f>
        <v>22812754.457591467</v>
      </c>
      <c r="I511" s="258">
        <f>$G511*I244*'Acute Prevalence'!D$27/Minutes_per_Year*GenAssumptions!E30</f>
        <v>24318396.251792505</v>
      </c>
      <c r="J511" s="258">
        <f>$G511*J244*'Acute Prevalence'!E$27/Minutes_per_Year*GenAssumptions!F30</f>
        <v>25923410.404410813</v>
      </c>
      <c r="K511" s="258">
        <f>$G511*K244*'Acute Prevalence'!F$27/Minutes_per_Year*GenAssumptions!G30</f>
        <v>11844921.618916595</v>
      </c>
      <c r="L511" s="258">
        <f>$G511*L244*'Acute Prevalence'!G$27/Minutes_per_Year*GenAssumptions!H30</f>
        <v>11786413.307095535</v>
      </c>
      <c r="M511" s="258">
        <f>$G511*M244*'Acute Prevalence'!H$27/Minutes_per_Year*GenAssumptions!I30</f>
        <v>22812754.457591467</v>
      </c>
      <c r="N511" s="283">
        <f t="shared" si="139"/>
        <v>0</v>
      </c>
      <c r="V511" s="258">
        <f t="shared" si="143"/>
        <v>0</v>
      </c>
    </row>
    <row r="512" spans="4:22" x14ac:dyDescent="0.2">
      <c r="N512" s="283"/>
      <c r="V512" s="5">
        <f t="shared" si="143"/>
        <v>0</v>
      </c>
    </row>
    <row r="513" spans="4:22" ht="38.25" x14ac:dyDescent="0.2">
      <c r="D513" s="519" t="s">
        <v>1189</v>
      </c>
      <c r="E513" s="462"/>
      <c r="G513" s="515" t="str">
        <f>G246</f>
        <v>Number of contact sessions during treatment</v>
      </c>
      <c r="N513" s="283"/>
      <c r="V513" s="5">
        <f t="shared" si="143"/>
        <v>0</v>
      </c>
    </row>
    <row r="514" spans="4:22" ht="15" x14ac:dyDescent="0.2">
      <c r="D514" s="519" t="s">
        <v>1190</v>
      </c>
      <c r="E514" s="462"/>
      <c r="G514" s="515"/>
      <c r="N514" s="283"/>
      <c r="V514" s="5">
        <f t="shared" si="143"/>
        <v>0</v>
      </c>
    </row>
    <row r="515" spans="4:22" x14ac:dyDescent="0.2">
      <c r="D515" s="79" t="s">
        <v>423</v>
      </c>
      <c r="E515" s="79" t="s">
        <v>423</v>
      </c>
      <c r="G515" s="521">
        <f>G248</f>
        <v>14</v>
      </c>
      <c r="H515" s="258">
        <f>$G515*H248*'Acute Prevalence'!C$28/Minutes_per_Year*GenAssumptions!D33</f>
        <v>20876448.560847234</v>
      </c>
      <c r="I515" s="258">
        <f>$G515*I248*'Acute Prevalence'!D$28/Minutes_per_Year*GenAssumptions!E33</f>
        <v>22254294.165863153</v>
      </c>
      <c r="J515" s="258">
        <f>$G515*J248*'Acute Prevalence'!E$28/Minutes_per_Year*GenAssumptions!F33</f>
        <v>23723077.580810122</v>
      </c>
      <c r="K515" s="258">
        <f>$G515*K248*'Acute Prevalence'!F$28/Minutes_per_Year*GenAssumptions!G33</f>
        <v>10839545.805144612</v>
      </c>
      <c r="L515" s="258">
        <f>$G515*L248*'Acute Prevalence'!G$28/Minutes_per_Year*GenAssumptions!H33</f>
        <v>4793779.3664189801</v>
      </c>
      <c r="M515" s="258">
        <f>$G515*M248*'Acute Prevalence'!H$28/Minutes_per_Year*GenAssumptions!I33</f>
        <v>20876448.560847234</v>
      </c>
      <c r="N515" s="283">
        <f t="shared" si="139"/>
        <v>0</v>
      </c>
      <c r="V515" s="258">
        <f t="shared" si="143"/>
        <v>0</v>
      </c>
    </row>
    <row r="516" spans="4:22" x14ac:dyDescent="0.2">
      <c r="D516" s="79" t="s">
        <v>1186</v>
      </c>
      <c r="E516" s="79" t="s">
        <v>1186</v>
      </c>
      <c r="G516" s="521">
        <f>G249</f>
        <v>14</v>
      </c>
      <c r="H516" s="258">
        <f>$G516*H249*'Acute Prevalence'!C$28/Minutes_per_Year*GenAssumptions!D35</f>
        <v>14294094.563731162</v>
      </c>
      <c r="I516" s="258">
        <f>$G516*I249*'Acute Prevalence'!D$28/Minutes_per_Year*GenAssumptions!E35</f>
        <v>15237504.804937419</v>
      </c>
      <c r="J516" s="258">
        <f>$G516*J249*'Acute Prevalence'!E$28/Minutes_per_Year*GenAssumptions!F35</f>
        <v>16243180.122063288</v>
      </c>
      <c r="K516" s="258">
        <f>$G516*K249*'Acute Prevalence'!F$28/Minutes_per_Year*GenAssumptions!G35</f>
        <v>7421831.9421061771</v>
      </c>
      <c r="L516" s="258">
        <f>$G516*L249*'Acute Prevalence'!G$28/Minutes_per_Year*GenAssumptions!H35</f>
        <v>3282298.489685033</v>
      </c>
      <c r="M516" s="258">
        <f>$G516*M249*'Acute Prevalence'!H$28/Minutes_per_Year*GenAssumptions!I35</f>
        <v>14294094.563731162</v>
      </c>
      <c r="N516" s="283">
        <f t="shared" si="139"/>
        <v>0</v>
      </c>
      <c r="V516" s="258">
        <f t="shared" si="143"/>
        <v>0</v>
      </c>
    </row>
    <row r="517" spans="4:22" x14ac:dyDescent="0.2">
      <c r="D517" s="79" t="s">
        <v>1148</v>
      </c>
      <c r="E517" s="79" t="s">
        <v>1148</v>
      </c>
      <c r="G517" s="521">
        <f t="shared" ref="G517:G522" si="145">G250</f>
        <v>14</v>
      </c>
      <c r="H517" s="258">
        <f>$G517*H250*'Acute Prevalence'!C$28/Minutes_per_Year*GenAssumptions!D40</f>
        <v>35491744.021831341</v>
      </c>
      <c r="I517" s="258">
        <f>$G517*I250*'Acute Prevalence'!D$28/Minutes_per_Year*GenAssumptions!E40</f>
        <v>37834199.127272218</v>
      </c>
      <c r="J517" s="258">
        <f>$G517*J250*'Acute Prevalence'!E$28/Minutes_per_Year*GenAssumptions!F40</f>
        <v>40331256.269672185</v>
      </c>
      <c r="K517" s="258">
        <f>$G517*K250*'Acute Prevalence'!F$28/Minutes_per_Year*GenAssumptions!G40</f>
        <v>18428152.84926486</v>
      </c>
      <c r="L517" s="258">
        <f>$G517*L250*'Acute Prevalence'!G$28/Minutes_per_Year*GenAssumptions!H40</f>
        <v>8149833.9947134396</v>
      </c>
      <c r="M517" s="258">
        <f>$G517*M250*'Acute Prevalence'!H$28/Minutes_per_Year*GenAssumptions!I40</f>
        <v>35491744.021831341</v>
      </c>
      <c r="N517" s="283">
        <f t="shared" si="139"/>
        <v>0</v>
      </c>
      <c r="V517" s="258">
        <f t="shared" si="143"/>
        <v>0</v>
      </c>
    </row>
    <row r="518" spans="4:22" x14ac:dyDescent="0.2">
      <c r="D518" s="5" t="s">
        <v>1150</v>
      </c>
      <c r="E518" s="5" t="s">
        <v>1150</v>
      </c>
      <c r="G518" s="521">
        <f t="shared" si="145"/>
        <v>14</v>
      </c>
      <c r="H518" s="258">
        <f>$G518*H251*'Acute Prevalence'!C$28/Minutes_per_Year*GenAssumptions!D39</f>
        <v>66706676.096678242</v>
      </c>
      <c r="I518" s="258">
        <f>$G518*I251*'Acute Prevalence'!D$28/Minutes_per_Year*GenAssumptions!E39</f>
        <v>71109316.719059005</v>
      </c>
      <c r="J518" s="258">
        <f>$G518*J251*'Acute Prevalence'!E$28/Minutes_per_Year*GenAssumptions!F39</f>
        <v>75802531.6225169</v>
      </c>
      <c r="K518" s="258">
        <f>$G518*K251*'Acute Prevalence'!F$28/Minutes_per_Year*GenAssumptions!G39</f>
        <v>34635683.79226014</v>
      </c>
      <c r="L518" s="258">
        <f>$G518*L251*'Acute Prevalence'!G$28/Minutes_per_Year*GenAssumptions!H39</f>
        <v>15317599.952052033</v>
      </c>
      <c r="M518" s="258">
        <f>$G518*M251*'Acute Prevalence'!H$28/Minutes_per_Year*GenAssumptions!I39</f>
        <v>66706676.096678242</v>
      </c>
      <c r="N518" s="283">
        <f t="shared" si="139"/>
        <v>0</v>
      </c>
      <c r="V518" s="258">
        <f t="shared" si="143"/>
        <v>0</v>
      </c>
    </row>
    <row r="519" spans="4:22" x14ac:dyDescent="0.2">
      <c r="D519" s="5" t="s">
        <v>815</v>
      </c>
      <c r="E519" s="5" t="s">
        <v>815</v>
      </c>
      <c r="G519" s="521">
        <f t="shared" si="145"/>
        <v>14</v>
      </c>
      <c r="H519" s="258">
        <f>$G519*H252*'Acute Prevalence'!C$28/Minutes_per_Year*GenAssumptions!D29</f>
        <v>19193411.664275728</v>
      </c>
      <c r="I519" s="258">
        <f>$G519*I252*'Acute Prevalence'!D$28/Minutes_per_Year*GenAssumptions!E29</f>
        <v>20460176.834117927</v>
      </c>
      <c r="J519" s="258">
        <f>$G519*J252*'Acute Prevalence'!E$28/Minutes_per_Year*GenAssumptions!F29</f>
        <v>21810548.505169712</v>
      </c>
      <c r="K519" s="258">
        <f>$G519*K252*'Acute Prevalence'!F$28/Minutes_per_Year*GenAssumptions!G29</f>
        <v>9965673.2458842304</v>
      </c>
      <c r="L519" s="258">
        <f>$G519*L252*'Acute Prevalence'!G$28/Minutes_per_Year*GenAssumptions!H29</f>
        <v>4407310.0144029642</v>
      </c>
      <c r="M519" s="258">
        <f>$G519*M252*'Acute Prevalence'!H$28/Minutes_per_Year*GenAssumptions!I29</f>
        <v>19193411.664275728</v>
      </c>
      <c r="N519" s="283">
        <f t="shared" si="139"/>
        <v>0</v>
      </c>
      <c r="V519" s="258">
        <f t="shared" si="143"/>
        <v>0</v>
      </c>
    </row>
    <row r="520" spans="4:22" x14ac:dyDescent="0.2">
      <c r="D520" s="5" t="s">
        <v>421</v>
      </c>
      <c r="E520" s="5" t="s">
        <v>421</v>
      </c>
      <c r="G520" s="521">
        <f t="shared" si="145"/>
        <v>0</v>
      </c>
      <c r="H520" s="258">
        <f>$G520*H253*'Acute Prevalence'!C$28/Minutes_per_Year*GenAssumptions!D32</f>
        <v>0</v>
      </c>
      <c r="I520" s="258">
        <f>$G520*I253*'Acute Prevalence'!D$28/Minutes_per_Year*GenAssumptions!E32</f>
        <v>0</v>
      </c>
      <c r="J520" s="258">
        <f>$G520*J253*'Acute Prevalence'!E$28/Minutes_per_Year*GenAssumptions!F32</f>
        <v>0</v>
      </c>
      <c r="K520" s="258">
        <f>$G520*K253*'Acute Prevalence'!F$28/Minutes_per_Year*GenAssumptions!G32</f>
        <v>0</v>
      </c>
      <c r="L520" s="258">
        <f>$G520*L253*'Acute Prevalence'!G$28/Minutes_per_Year*GenAssumptions!H32</f>
        <v>0</v>
      </c>
      <c r="M520" s="258">
        <f>$G520*M253*'Acute Prevalence'!H$28/Minutes_per_Year*GenAssumptions!I32</f>
        <v>0</v>
      </c>
      <c r="N520" s="283">
        <f t="shared" si="139"/>
        <v>0</v>
      </c>
      <c r="V520" s="258">
        <f t="shared" si="143"/>
        <v>0</v>
      </c>
    </row>
    <row r="521" spans="4:22" x14ac:dyDescent="0.2">
      <c r="D521" s="5" t="s">
        <v>422</v>
      </c>
      <c r="E521" s="5" t="s">
        <v>422</v>
      </c>
      <c r="F521" s="79"/>
      <c r="G521" s="521">
        <f t="shared" si="145"/>
        <v>14</v>
      </c>
      <c r="H521" s="258">
        <f>$G521*H254*'Acute Prevalence'!C$28/Minutes_per_Year*GenAssumptions!D28</f>
        <v>6874707.9845188381</v>
      </c>
      <c r="I521" s="258">
        <f>$G521*I254*'Acute Prevalence'!D$28/Minutes_per_Year*GenAssumptions!E28</f>
        <v>7328438.7114970814</v>
      </c>
      <c r="J521" s="258">
        <f>$G521*J254*'Acute Prevalence'!E$28/Minutes_per_Year*GenAssumptions!F28</f>
        <v>7812115.6664558901</v>
      </c>
      <c r="K521" s="258">
        <f>$G521*K254*'Acute Prevalence'!F$28/Minutes_per_Year*GenAssumptions!G28</f>
        <v>3569510.9672505101</v>
      </c>
      <c r="L521" s="258">
        <f>$G521*L254*'Acute Prevalence'!G$28/Minutes_per_Year*GenAssumptions!H28</f>
        <v>1578613.0093098918</v>
      </c>
      <c r="M521" s="258">
        <f>$G521*M254*'Acute Prevalence'!H$28/Minutes_per_Year*GenAssumptions!I28</f>
        <v>6874707.9845188381</v>
      </c>
      <c r="N521" s="283">
        <f t="shared" si="139"/>
        <v>0</v>
      </c>
      <c r="V521" s="258">
        <f t="shared" si="143"/>
        <v>0</v>
      </c>
    </row>
    <row r="522" spans="4:22" x14ac:dyDescent="0.2">
      <c r="D522" s="5" t="s">
        <v>1151</v>
      </c>
      <c r="E522" s="5" t="s">
        <v>1151</v>
      </c>
      <c r="F522" s="79"/>
      <c r="G522" s="521">
        <f t="shared" si="145"/>
        <v>14</v>
      </c>
      <c r="H522" s="258">
        <f>$G522*H255*'Acute Prevalence'!C$28/Minutes_per_Year*GenAssumptions!D30</f>
        <v>3326860.0250654216</v>
      </c>
      <c r="I522" s="258">
        <f>$G522*I255*'Acute Prevalence'!D$28/Minutes_per_Year*GenAssumptions!E30</f>
        <v>3546432.7867197399</v>
      </c>
      <c r="J522" s="258">
        <f>$G522*J255*'Acute Prevalence'!E$28/Minutes_per_Year*GenAssumptions!F30</f>
        <v>3780497.3506432427</v>
      </c>
      <c r="K522" s="258">
        <f>$G522*K255*'Acute Prevalence'!F$28/Minutes_per_Year*GenAssumptions!G30</f>
        <v>1727384.4027586693</v>
      </c>
      <c r="L522" s="258">
        <f>$G522*L255*'Acute Prevalence'!G$28/Minutes_per_Year*GenAssumptions!H30</f>
        <v>763934.19583026599</v>
      </c>
      <c r="M522" s="258">
        <f>$G522*M255*'Acute Prevalence'!H$28/Minutes_per_Year*GenAssumptions!I30</f>
        <v>3326860.0250654216</v>
      </c>
      <c r="N522" s="283">
        <f t="shared" si="139"/>
        <v>0</v>
      </c>
      <c r="V522" s="258">
        <f t="shared" si="143"/>
        <v>0</v>
      </c>
    </row>
    <row r="523" spans="4:22" x14ac:dyDescent="0.2">
      <c r="D523" s="5" t="s">
        <v>1191</v>
      </c>
      <c r="N523" s="283"/>
      <c r="V523" s="5">
        <f t="shared" si="143"/>
        <v>0</v>
      </c>
    </row>
    <row r="524" spans="4:22" x14ac:dyDescent="0.2">
      <c r="D524" s="79" t="s">
        <v>423</v>
      </c>
      <c r="E524" s="79" t="s">
        <v>423</v>
      </c>
      <c r="G524" s="521">
        <f>G257</f>
        <v>14</v>
      </c>
      <c r="H524" s="258">
        <f>$G524*H257*'Acute Prevalence'!C$28/Minutes_per_Year*GenAssumptions!D33</f>
        <v>20876448.560847234</v>
      </c>
      <c r="I524" s="258">
        <f>$G524*I257*'Acute Prevalence'!D$28/Minutes_per_Year*GenAssumptions!E33</f>
        <v>22254294.165863153</v>
      </c>
      <c r="J524" s="258">
        <f>$G524*J257*'Acute Prevalence'!E$28/Minutes_per_Year*GenAssumptions!F33</f>
        <v>23723077.580810122</v>
      </c>
      <c r="K524" s="258">
        <f>$G524*K257*'Acute Prevalence'!F$28/Minutes_per_Year*GenAssumptions!G33</f>
        <v>10839545.805144612</v>
      </c>
      <c r="L524" s="258">
        <f>$G524*L257*'Acute Prevalence'!G$28/Minutes_per_Year*GenAssumptions!H33</f>
        <v>4793779.3664189801</v>
      </c>
      <c r="M524" s="258">
        <f>$G524*M257*'Acute Prevalence'!H$28/Minutes_per_Year*GenAssumptions!I33</f>
        <v>20876448.560847234</v>
      </c>
      <c r="N524" s="283">
        <f t="shared" si="139"/>
        <v>0</v>
      </c>
      <c r="V524" s="258">
        <f t="shared" si="143"/>
        <v>0</v>
      </c>
    </row>
    <row r="525" spans="4:22" x14ac:dyDescent="0.2">
      <c r="D525" s="79" t="s">
        <v>1186</v>
      </c>
      <c r="E525" s="79" t="s">
        <v>1186</v>
      </c>
      <c r="G525" s="521">
        <f t="shared" ref="G525:G531" si="146">G258</f>
        <v>14</v>
      </c>
      <c r="H525" s="258">
        <f>$G525*H258*'Acute Prevalence'!C$28/Minutes_per_Year*GenAssumptions!D35</f>
        <v>8168054.0364178075</v>
      </c>
      <c r="I525" s="258">
        <f>$G525*I258*'Acute Prevalence'!D$28/Minutes_per_Year*GenAssumptions!E35</f>
        <v>8707145.6028213818</v>
      </c>
      <c r="J525" s="258">
        <f>$G525*J258*'Acute Prevalence'!E$28/Minutes_per_Year*GenAssumptions!F35</f>
        <v>9281817.2126075942</v>
      </c>
      <c r="K525" s="258">
        <f>$G525*K258*'Acute Prevalence'!F$28/Minutes_per_Year*GenAssumptions!G35</f>
        <v>4241046.824060672</v>
      </c>
      <c r="L525" s="258">
        <f>$G525*L258*'Acute Prevalence'!G$28/Minutes_per_Year*GenAssumptions!H35</f>
        <v>1875599.1369628757</v>
      </c>
      <c r="M525" s="258">
        <f>$G525*M258*'Acute Prevalence'!H$28/Minutes_per_Year*GenAssumptions!I35</f>
        <v>8168054.0364178075</v>
      </c>
      <c r="N525" s="283">
        <f t="shared" si="139"/>
        <v>0</v>
      </c>
      <c r="V525" s="258">
        <f t="shared" si="143"/>
        <v>0</v>
      </c>
    </row>
    <row r="526" spans="4:22" x14ac:dyDescent="0.2">
      <c r="D526" s="79" t="s">
        <v>1148</v>
      </c>
      <c r="E526" s="79" t="s">
        <v>1148</v>
      </c>
      <c r="G526" s="521">
        <f t="shared" si="146"/>
        <v>14</v>
      </c>
      <c r="H526" s="258">
        <f>$G526*H259*'Acute Prevalence'!C$28/Minutes_per_Year*GenAssumptions!D40</f>
        <v>17745872.010915671</v>
      </c>
      <c r="I526" s="258">
        <f>$G526*I259*'Acute Prevalence'!D$28/Minutes_per_Year*GenAssumptions!E40</f>
        <v>18917099.563636109</v>
      </c>
      <c r="J526" s="258">
        <f>$G526*J259*'Acute Prevalence'!E$28/Minutes_per_Year*GenAssumptions!F40</f>
        <v>20165628.134836093</v>
      </c>
      <c r="K526" s="258">
        <f>$G526*K259*'Acute Prevalence'!F$28/Minutes_per_Year*GenAssumptions!G40</f>
        <v>9214076.4246324301</v>
      </c>
      <c r="L526" s="258">
        <f>$G526*L259*'Acute Prevalence'!G$28/Minutes_per_Year*GenAssumptions!H40</f>
        <v>4074916.9973567198</v>
      </c>
      <c r="M526" s="258">
        <f>$G526*M259*'Acute Prevalence'!H$28/Minutes_per_Year*GenAssumptions!I40</f>
        <v>17745872.010915671</v>
      </c>
      <c r="N526" s="283">
        <f t="shared" si="139"/>
        <v>0</v>
      </c>
      <c r="V526" s="258">
        <f t="shared" si="143"/>
        <v>0</v>
      </c>
    </row>
    <row r="527" spans="4:22" x14ac:dyDescent="0.2">
      <c r="D527" s="79" t="s">
        <v>1150</v>
      </c>
      <c r="E527" s="79" t="s">
        <v>1150</v>
      </c>
      <c r="G527" s="521">
        <f t="shared" si="146"/>
        <v>14</v>
      </c>
      <c r="H527" s="258">
        <f>$G527*H260*'Acute Prevalence'!C$28/Minutes_per_Year*GenAssumptions!D39</f>
        <v>38118100.626673281</v>
      </c>
      <c r="I527" s="258">
        <f>$G527*I260*'Acute Prevalence'!D$28/Minutes_per_Year*GenAssumptions!E39</f>
        <v>40633895.268033721</v>
      </c>
      <c r="J527" s="258">
        <f>$G527*J260*'Acute Prevalence'!E$28/Minutes_per_Year*GenAssumptions!F39</f>
        <v>43315732.355723947</v>
      </c>
      <c r="K527" s="258">
        <f>$G527*K260*'Acute Prevalence'!F$28/Minutes_per_Year*GenAssumptions!G39</f>
        <v>19791819.309862934</v>
      </c>
      <c r="L527" s="258">
        <f>$G527*L260*'Acute Prevalence'!G$28/Minutes_per_Year*GenAssumptions!H39</f>
        <v>8752914.2583154477</v>
      </c>
      <c r="M527" s="258">
        <f>$G527*M260*'Acute Prevalence'!H$28/Minutes_per_Year*GenAssumptions!I39</f>
        <v>38118100.626673281</v>
      </c>
      <c r="N527" s="283">
        <f t="shared" si="139"/>
        <v>0</v>
      </c>
      <c r="V527" s="258">
        <f t="shared" si="143"/>
        <v>0</v>
      </c>
    </row>
    <row r="528" spans="4:22" x14ac:dyDescent="0.2">
      <c r="D528" s="79" t="s">
        <v>815</v>
      </c>
      <c r="E528" s="79" t="s">
        <v>815</v>
      </c>
      <c r="G528" s="521">
        <f t="shared" si="146"/>
        <v>14</v>
      </c>
      <c r="H528" s="258">
        <f>$G528*H261*'Acute Prevalence'!C$28/Minutes_per_Year*GenAssumptions!D29</f>
        <v>19193411.664275728</v>
      </c>
      <c r="I528" s="258">
        <f>$G528*I261*'Acute Prevalence'!D$28/Minutes_per_Year*GenAssumptions!E29</f>
        <v>20460176.834117927</v>
      </c>
      <c r="J528" s="258">
        <f>$G528*J261*'Acute Prevalence'!E$28/Minutes_per_Year*GenAssumptions!F29</f>
        <v>21810548.505169712</v>
      </c>
      <c r="K528" s="258">
        <f>$G528*K261*'Acute Prevalence'!F$28/Minutes_per_Year*GenAssumptions!G29</f>
        <v>9965673.2458842304</v>
      </c>
      <c r="L528" s="258">
        <f>$G528*L261*'Acute Prevalence'!G$28/Minutes_per_Year*GenAssumptions!H29</f>
        <v>4407310.0144029642</v>
      </c>
      <c r="M528" s="258">
        <f>$G528*M261*'Acute Prevalence'!H$28/Minutes_per_Year*GenAssumptions!I29</f>
        <v>19193411.664275728</v>
      </c>
      <c r="N528" s="283">
        <f t="shared" si="139"/>
        <v>0</v>
      </c>
      <c r="V528" s="258">
        <f t="shared" si="143"/>
        <v>0</v>
      </c>
    </row>
    <row r="529" spans="4:22" x14ac:dyDescent="0.2">
      <c r="D529" s="79" t="s">
        <v>421</v>
      </c>
      <c r="E529" s="79" t="s">
        <v>421</v>
      </c>
      <c r="G529" s="521">
        <f t="shared" si="146"/>
        <v>14</v>
      </c>
      <c r="H529" s="258">
        <f>$G529*H262*'Acute Prevalence'!C$28/Minutes_per_Year*GenAssumptions!D32</f>
        <v>19193411.664275728</v>
      </c>
      <c r="I529" s="258">
        <f>$G529*I262*'Acute Prevalence'!D$28/Minutes_per_Year*GenAssumptions!E32</f>
        <v>20460176.834117927</v>
      </c>
      <c r="J529" s="258">
        <f>$G529*J262*'Acute Prevalence'!E$28/Minutes_per_Year*GenAssumptions!F32</f>
        <v>21810548.505169712</v>
      </c>
      <c r="K529" s="258">
        <f>$G529*K262*'Acute Prevalence'!F$28/Minutes_per_Year*GenAssumptions!G32</f>
        <v>9965673.2458842304</v>
      </c>
      <c r="L529" s="258">
        <f>$G529*L262*'Acute Prevalence'!G$28/Minutes_per_Year*GenAssumptions!H32</f>
        <v>4407310.0144029642</v>
      </c>
      <c r="M529" s="258">
        <f>$G529*M262*'Acute Prevalence'!H$28/Minutes_per_Year*GenAssumptions!I32</f>
        <v>19193411.664275728</v>
      </c>
      <c r="N529" s="283">
        <f t="shared" si="139"/>
        <v>0</v>
      </c>
      <c r="V529" s="258">
        <f t="shared" si="143"/>
        <v>0</v>
      </c>
    </row>
    <row r="530" spans="4:22" x14ac:dyDescent="0.2">
      <c r="D530" s="79" t="s">
        <v>422</v>
      </c>
      <c r="E530" s="79" t="s">
        <v>422</v>
      </c>
      <c r="G530" s="521">
        <f t="shared" si="146"/>
        <v>14</v>
      </c>
      <c r="H530" s="258">
        <f>$G530*H263*'Acute Prevalence'!C$28/Minutes_per_Year*GenAssumptions!D28</f>
        <v>16040985.297210621</v>
      </c>
      <c r="I530" s="258">
        <f>$G530*I263*'Acute Prevalence'!D$28/Minutes_per_Year*GenAssumptions!E28</f>
        <v>17099690.32682652</v>
      </c>
      <c r="J530" s="258">
        <f>$G530*J263*'Acute Prevalence'!E$28/Minutes_per_Year*GenAssumptions!F28</f>
        <v>18228269.888397075</v>
      </c>
      <c r="K530" s="258">
        <f>$G530*K263*'Acute Prevalence'!F$28/Minutes_per_Year*GenAssumptions!G28</f>
        <v>8328858.9235845245</v>
      </c>
      <c r="L530" s="258">
        <f>$G530*L263*'Acute Prevalence'!G$28/Minutes_per_Year*GenAssumptions!H28</f>
        <v>3683430.3550564144</v>
      </c>
      <c r="M530" s="258">
        <f>$G530*M263*'Acute Prevalence'!H$28/Minutes_per_Year*GenAssumptions!I28</f>
        <v>16040985.297210621</v>
      </c>
      <c r="N530" s="283">
        <f t="shared" si="139"/>
        <v>0</v>
      </c>
      <c r="V530" s="258">
        <f t="shared" si="143"/>
        <v>0</v>
      </c>
    </row>
    <row r="531" spans="4:22" x14ac:dyDescent="0.2">
      <c r="D531" s="79" t="s">
        <v>1151</v>
      </c>
      <c r="E531" s="79" t="s">
        <v>1151</v>
      </c>
      <c r="G531" s="521">
        <f t="shared" si="146"/>
        <v>14</v>
      </c>
      <c r="H531" s="258">
        <f>$G531*H264*'Acute Prevalence'!C$28/Minutes_per_Year*GenAssumptions!D30</f>
        <v>3326860.0250654216</v>
      </c>
      <c r="I531" s="258">
        <f>$G531*I264*'Acute Prevalence'!D$28/Minutes_per_Year*GenAssumptions!E30</f>
        <v>3546432.7867197399</v>
      </c>
      <c r="J531" s="258">
        <f>$G531*J264*'Acute Prevalence'!E$28/Minutes_per_Year*GenAssumptions!F30</f>
        <v>3780497.3506432427</v>
      </c>
      <c r="K531" s="258">
        <f>$G531*K264*'Acute Prevalence'!F$28/Minutes_per_Year*GenAssumptions!G30</f>
        <v>1727384.4027586693</v>
      </c>
      <c r="L531" s="258">
        <f>$G531*L264*'Acute Prevalence'!G$28/Minutes_per_Year*GenAssumptions!H30</f>
        <v>763934.19583026599</v>
      </c>
      <c r="M531" s="258">
        <f>$G531*M264*'Acute Prevalence'!H$28/Minutes_per_Year*GenAssumptions!I30</f>
        <v>3326860.0250654216</v>
      </c>
      <c r="N531" s="283">
        <f t="shared" si="139"/>
        <v>0</v>
      </c>
      <c r="V531" s="258">
        <f t="shared" si="143"/>
        <v>0</v>
      </c>
    </row>
    <row r="536" spans="4:22" x14ac:dyDescent="0.2">
      <c r="D536" s="496" t="s">
        <v>1716</v>
      </c>
    </row>
    <row r="537" spans="4:22" x14ac:dyDescent="0.2">
      <c r="D537" s="5" t="s">
        <v>424</v>
      </c>
      <c r="H537" s="258">
        <f t="shared" ref="H537:H553" si="147">SUMIF($D$361:$D$531,$D537,H$361:H$531)</f>
        <v>62246351.018649943</v>
      </c>
      <c r="I537" s="258">
        <f t="shared" ref="I537:M537" si="148">SUMIF($D$361:$D$531,$D537,I$361:I$531)</f>
        <v>66354610.185880847</v>
      </c>
      <c r="J537" s="258">
        <f t="shared" si="148"/>
        <v>70734014.458148986</v>
      </c>
      <c r="K537" s="258">
        <f t="shared" si="148"/>
        <v>34384255.101956032</v>
      </c>
      <c r="L537" s="258">
        <f t="shared" si="148"/>
        <v>68169407.532773584</v>
      </c>
      <c r="M537" s="258">
        <f t="shared" si="148"/>
        <v>62246351.018649943</v>
      </c>
    </row>
    <row r="538" spans="4:22" x14ac:dyDescent="0.2">
      <c r="D538" s="5" t="s">
        <v>1715</v>
      </c>
      <c r="H538" s="258">
        <f t="shared" si="147"/>
        <v>376802367.14793497</v>
      </c>
      <c r="I538" s="258">
        <f t="shared" ref="I538:M547" si="149">SUMIF($D$361:$D$531,$D538,I$361:I$531)</f>
        <v>401671323.37969875</v>
      </c>
      <c r="J538" s="258">
        <f t="shared" si="149"/>
        <v>428181630.72275883</v>
      </c>
      <c r="K538" s="258">
        <f t="shared" si="149"/>
        <v>74228147.102910429</v>
      </c>
      <c r="L538" s="258">
        <f t="shared" si="149"/>
        <v>398638215.37266308</v>
      </c>
      <c r="M538" s="258">
        <f t="shared" si="149"/>
        <v>376564115.82516313</v>
      </c>
    </row>
    <row r="539" spans="4:22" x14ac:dyDescent="0.2">
      <c r="D539" s="5" t="s">
        <v>815</v>
      </c>
      <c r="H539" s="258">
        <f t="shared" si="147"/>
        <v>220710698.83220106</v>
      </c>
      <c r="I539" s="258">
        <f t="shared" si="149"/>
        <v>235277604.95512632</v>
      </c>
      <c r="J539" s="258">
        <f t="shared" si="149"/>
        <v>250805926.88216466</v>
      </c>
      <c r="K539" s="258">
        <f t="shared" si="149"/>
        <v>114606339.54844007</v>
      </c>
      <c r="L539" s="258">
        <f t="shared" si="149"/>
        <v>157278922.61166662</v>
      </c>
      <c r="M539" s="258">
        <f t="shared" si="149"/>
        <v>220710698.83220106</v>
      </c>
    </row>
    <row r="540" spans="4:22" x14ac:dyDescent="0.2">
      <c r="D540" s="5" t="s">
        <v>419</v>
      </c>
      <c r="H540" s="258">
        <f t="shared" si="147"/>
        <v>2391442.56</v>
      </c>
      <c r="I540" s="258">
        <f t="shared" si="149"/>
        <v>2549277.76896</v>
      </c>
      <c r="J540" s="258">
        <f t="shared" si="149"/>
        <v>2717530.1017113603</v>
      </c>
      <c r="K540" s="258">
        <f t="shared" si="149"/>
        <v>2391442.56</v>
      </c>
      <c r="L540" s="258">
        <f t="shared" si="149"/>
        <v>2391442.56</v>
      </c>
      <c r="M540" s="258">
        <f t="shared" si="149"/>
        <v>2391442.56</v>
      </c>
    </row>
    <row r="541" spans="4:22" x14ac:dyDescent="0.2">
      <c r="D541" s="5" t="s">
        <v>48</v>
      </c>
      <c r="H541" s="258">
        <f t="shared" si="147"/>
        <v>2770485.12</v>
      </c>
      <c r="I541" s="258">
        <f t="shared" si="149"/>
        <v>2953337.1379200006</v>
      </c>
      <c r="J541" s="258">
        <f t="shared" si="149"/>
        <v>3148257.38902272</v>
      </c>
      <c r="K541" s="258">
        <f t="shared" si="149"/>
        <v>2770485.12</v>
      </c>
      <c r="L541" s="258">
        <f t="shared" si="149"/>
        <v>2770485.12</v>
      </c>
      <c r="M541" s="258">
        <f t="shared" si="149"/>
        <v>2770485.12</v>
      </c>
    </row>
    <row r="542" spans="4:22" x14ac:dyDescent="0.2">
      <c r="D542" s="5" t="s">
        <v>1130</v>
      </c>
      <c r="H542" s="258">
        <f t="shared" si="147"/>
        <v>270848150.04543614</v>
      </c>
      <c r="I542" s="258">
        <f t="shared" si="149"/>
        <v>288724127.94843495</v>
      </c>
      <c r="J542" s="258">
        <f t="shared" si="149"/>
        <v>307779920.39303172</v>
      </c>
      <c r="K542" s="258">
        <f t="shared" si="149"/>
        <v>140630764.85922366</v>
      </c>
      <c r="L542" s="258">
        <f t="shared" si="149"/>
        <v>167464943.71929365</v>
      </c>
      <c r="M542" s="258">
        <f t="shared" si="149"/>
        <v>270848150.04543614</v>
      </c>
    </row>
    <row r="543" spans="4:22" x14ac:dyDescent="0.2">
      <c r="D543" s="5" t="s">
        <v>1186</v>
      </c>
      <c r="H543" s="258">
        <f t="shared" si="147"/>
        <v>22462148.600148968</v>
      </c>
      <c r="I543" s="258">
        <f t="shared" si="149"/>
        <v>23944650.407758802</v>
      </c>
      <c r="J543" s="258">
        <f t="shared" si="149"/>
        <v>25524997.334670883</v>
      </c>
      <c r="K543" s="258">
        <f t="shared" si="149"/>
        <v>11662878.766166849</v>
      </c>
      <c r="L543" s="258">
        <f t="shared" si="149"/>
        <v>5157897.6266479082</v>
      </c>
      <c r="M543" s="258">
        <f t="shared" si="149"/>
        <v>22462148.600148968</v>
      </c>
    </row>
    <row r="544" spans="4:22" x14ac:dyDescent="0.2">
      <c r="D544" s="5" t="s">
        <v>418</v>
      </c>
      <c r="H544" s="258">
        <f t="shared" si="147"/>
        <v>0</v>
      </c>
      <c r="I544" s="258">
        <f t="shared" si="149"/>
        <v>0</v>
      </c>
      <c r="J544" s="258">
        <f t="shared" si="149"/>
        <v>0</v>
      </c>
      <c r="K544" s="258">
        <f t="shared" si="149"/>
        <v>0</v>
      </c>
      <c r="L544" s="258">
        <f t="shared" si="149"/>
        <v>0</v>
      </c>
      <c r="M544" s="258">
        <f t="shared" si="149"/>
        <v>0</v>
      </c>
    </row>
    <row r="545" spans="4:13" x14ac:dyDescent="0.2">
      <c r="D545" s="5" t="s">
        <v>1151</v>
      </c>
      <c r="H545" s="258">
        <f t="shared" si="147"/>
        <v>1156765556.2860999</v>
      </c>
      <c r="I545" s="258">
        <f t="shared" si="149"/>
        <v>1233112083.0009828</v>
      </c>
      <c r="J545" s="258">
        <f t="shared" si="149"/>
        <v>1314497480.4790473</v>
      </c>
      <c r="K545" s="258">
        <f t="shared" si="149"/>
        <v>312425967.57798713</v>
      </c>
      <c r="L545" s="258">
        <f t="shared" si="149"/>
        <v>866104541.12045097</v>
      </c>
      <c r="M545" s="258">
        <f t="shared" si="149"/>
        <v>601706975.28609979</v>
      </c>
    </row>
    <row r="546" spans="4:13" x14ac:dyDescent="0.2">
      <c r="D546" s="5" t="s">
        <v>421</v>
      </c>
      <c r="H546" s="258">
        <f t="shared" si="147"/>
        <v>21584854.224275727</v>
      </c>
      <c r="I546" s="258">
        <f t="shared" si="149"/>
        <v>23009454.603077926</v>
      </c>
      <c r="J546" s="258">
        <f t="shared" si="149"/>
        <v>24528078.606881071</v>
      </c>
      <c r="K546" s="258">
        <f t="shared" si="149"/>
        <v>12357115.805884231</v>
      </c>
      <c r="L546" s="258">
        <f t="shared" si="149"/>
        <v>6798752.5744029637</v>
      </c>
      <c r="M546" s="258">
        <f t="shared" si="149"/>
        <v>21584854.224275727</v>
      </c>
    </row>
    <row r="547" spans="4:13" x14ac:dyDescent="0.2">
      <c r="D547" s="5" t="s">
        <v>423</v>
      </c>
      <c r="H547" s="258">
        <f t="shared" si="147"/>
        <v>62879261.95624873</v>
      </c>
      <c r="I547" s="258">
        <f t="shared" si="149"/>
        <v>67029293.245361164</v>
      </c>
      <c r="J547" s="258">
        <f t="shared" si="149"/>
        <v>71453226.599554986</v>
      </c>
      <c r="K547" s="258">
        <f t="shared" si="149"/>
        <v>32633493.372363012</v>
      </c>
      <c r="L547" s="258">
        <f t="shared" si="149"/>
        <v>28982876.370456934</v>
      </c>
      <c r="M547" s="258">
        <f t="shared" si="149"/>
        <v>62879261.95624873</v>
      </c>
    </row>
    <row r="548" spans="4:13" x14ac:dyDescent="0.2">
      <c r="D548" s="5" t="s">
        <v>1148</v>
      </c>
      <c r="H548" s="258">
        <f t="shared" si="147"/>
        <v>53237616.032747015</v>
      </c>
      <c r="I548" s="258">
        <f t="shared" ref="I548:M553" si="150">SUMIF($D$361:$D$531,$D548,I$361:I$531)</f>
        <v>56751298.690908328</v>
      </c>
      <c r="J548" s="258">
        <f t="shared" si="150"/>
        <v>60496884.404508278</v>
      </c>
      <c r="K548" s="258">
        <f t="shared" si="150"/>
        <v>27642229.27389729</v>
      </c>
      <c r="L548" s="258">
        <f t="shared" si="150"/>
        <v>12224750.992070159</v>
      </c>
      <c r="M548" s="258">
        <f t="shared" si="150"/>
        <v>53237616.032747015</v>
      </c>
    </row>
    <row r="549" spans="4:13" x14ac:dyDescent="0.2">
      <c r="D549" s="5" t="s">
        <v>420</v>
      </c>
      <c r="H549" s="258">
        <f t="shared" si="147"/>
        <v>1063479.456</v>
      </c>
      <c r="I549" s="258">
        <f t="shared" si="150"/>
        <v>1133669.1000960001</v>
      </c>
      <c r="J549" s="258">
        <f t="shared" si="150"/>
        <v>1208491.2607023362</v>
      </c>
      <c r="K549" s="258">
        <f t="shared" si="150"/>
        <v>1063479.456</v>
      </c>
      <c r="L549" s="258">
        <f t="shared" si="150"/>
        <v>1063479.456</v>
      </c>
      <c r="M549" s="258">
        <f t="shared" si="150"/>
        <v>1063479.456</v>
      </c>
    </row>
    <row r="550" spans="4:13" x14ac:dyDescent="0.2">
      <c r="D550" s="5" t="s">
        <v>1128</v>
      </c>
      <c r="H550" s="258">
        <f t="shared" si="147"/>
        <v>500556066.24960732</v>
      </c>
      <c r="I550" s="258">
        <f t="shared" si="150"/>
        <v>607561006.16163349</v>
      </c>
      <c r="J550" s="258">
        <f t="shared" si="150"/>
        <v>647660032.5683012</v>
      </c>
      <c r="K550" s="258">
        <f t="shared" si="150"/>
        <v>296505099.32011372</v>
      </c>
      <c r="L550" s="258">
        <f t="shared" si="150"/>
        <v>443178218.04393786</v>
      </c>
      <c r="M550" s="258">
        <f t="shared" si="150"/>
        <v>500556066.24960732</v>
      </c>
    </row>
    <row r="551" spans="4:13" x14ac:dyDescent="0.2">
      <c r="D551" s="5" t="s">
        <v>1150</v>
      </c>
      <c r="H551" s="258">
        <f t="shared" si="147"/>
        <v>121161105.56335436</v>
      </c>
      <c r="I551" s="258">
        <f t="shared" si="150"/>
        <v>129157738.53053576</v>
      </c>
      <c r="J551" s="258">
        <f t="shared" si="150"/>
        <v>137682149.27355111</v>
      </c>
      <c r="K551" s="258">
        <f t="shared" si="150"/>
        <v>62909711.37777862</v>
      </c>
      <c r="L551" s="258">
        <f t="shared" si="150"/>
        <v>32510824.388028804</v>
      </c>
      <c r="M551" s="258">
        <f t="shared" si="150"/>
        <v>121161105.56335436</v>
      </c>
    </row>
    <row r="552" spans="4:13" x14ac:dyDescent="0.2">
      <c r="D552" s="5" t="s">
        <v>422</v>
      </c>
      <c r="H552" s="961">
        <f t="shared" si="147"/>
        <v>352025591.86098313</v>
      </c>
      <c r="I552" s="961">
        <f t="shared" si="150"/>
        <v>442068021.60664219</v>
      </c>
      <c r="J552" s="961">
        <f t="shared" si="150"/>
        <v>471244511.03268057</v>
      </c>
      <c r="K552" s="961">
        <f t="shared" si="150"/>
        <v>216281894.53000674</v>
      </c>
      <c r="L552" s="961">
        <f t="shared" si="150"/>
        <v>201450274.28254995</v>
      </c>
      <c r="M552" s="961">
        <f t="shared" si="150"/>
        <v>352025591.86098313</v>
      </c>
    </row>
    <row r="553" spans="4:13" x14ac:dyDescent="0.2">
      <c r="D553" s="79" t="s">
        <v>1719</v>
      </c>
      <c r="H553" s="961">
        <f t="shared" si="147"/>
        <v>35575750.255499996</v>
      </c>
      <c r="I553" s="961">
        <f t="shared" si="150"/>
        <v>37923749.772363</v>
      </c>
      <c r="J553" s="961">
        <f t="shared" si="150"/>
        <v>40426717.257338956</v>
      </c>
      <c r="K553" s="961">
        <f t="shared" si="150"/>
        <v>2615863.9893749999</v>
      </c>
      <c r="L553" s="961">
        <f t="shared" si="150"/>
        <v>37668441.446999997</v>
      </c>
      <c r="M553" s="961">
        <f t="shared" si="150"/>
        <v>35575750.255499996</v>
      </c>
    </row>
    <row r="554" spans="4:13" x14ac:dyDescent="0.2">
      <c r="D554" s="179"/>
      <c r="E554" s="179"/>
      <c r="F554" s="179"/>
      <c r="G554" s="179"/>
      <c r="H554" s="179"/>
      <c r="I554" s="179"/>
      <c r="J554" s="179"/>
      <c r="K554" s="179"/>
      <c r="L554" s="179"/>
      <c r="M554" s="179"/>
    </row>
    <row r="555" spans="4:13" x14ac:dyDescent="0.2">
      <c r="D555" s="5" t="s">
        <v>424</v>
      </c>
      <c r="H555" s="882">
        <f>H537/GenAssumptions!D24</f>
        <v>633.18330351500856</v>
      </c>
      <c r="I555" s="882">
        <f>I537/GenAssumptions!E24</f>
        <v>633.18330351500856</v>
      </c>
      <c r="J555" s="882">
        <f>J537/GenAssumptions!F24</f>
        <v>633.18330351500856</v>
      </c>
      <c r="K555" s="882">
        <f>K537/GenAssumptions!G24</f>
        <v>349.76405649603822</v>
      </c>
      <c r="L555" s="882">
        <f>L537/GenAssumptions!H24</f>
        <v>693.43391144855991</v>
      </c>
      <c r="M555" s="882">
        <f>M537/GenAssumptions!I24</f>
        <v>633.18330351500856</v>
      </c>
    </row>
    <row r="556" spans="4:13" x14ac:dyDescent="0.2">
      <c r="D556" s="5" t="s">
        <v>1715</v>
      </c>
      <c r="H556" s="882">
        <f>H538/GenAssumptions!D24</f>
        <v>3832.914921093462</v>
      </c>
      <c r="I556" s="882">
        <f>I538/GenAssumptions!E24</f>
        <v>3832.9149210934625</v>
      </c>
      <c r="J556" s="882">
        <f>J538/GenAssumptions!F24</f>
        <v>3832.914921093462</v>
      </c>
      <c r="K556" s="882">
        <f>K538/GenAssumptions!G24</f>
        <v>755.06471668253971</v>
      </c>
      <c r="L556" s="882">
        <f>L538/GenAssumptions!H24</f>
        <v>4055.0338772687915</v>
      </c>
      <c r="M556" s="882">
        <f>M538/GenAssumptions!I24</f>
        <v>3830.4913772687919</v>
      </c>
    </row>
    <row r="557" spans="4:13" x14ac:dyDescent="0.2">
      <c r="D557" s="79" t="s">
        <v>1719</v>
      </c>
      <c r="H557" s="882">
        <f>H553/GenAssumptions!D24</f>
        <v>361.8842020964936</v>
      </c>
      <c r="I557" s="882">
        <f>I553/GenAssumptions!E24</f>
        <v>361.88420209649365</v>
      </c>
      <c r="J557" s="882">
        <f>J553/GenAssumptions!F24</f>
        <v>361.8842020964936</v>
      </c>
      <c r="K557" s="882">
        <f>K553/GenAssumptions!G24</f>
        <v>26.609132507095119</v>
      </c>
      <c r="L557" s="882">
        <f>L553/GenAssumptions!H24</f>
        <v>383.1715081021697</v>
      </c>
      <c r="M557" s="882">
        <f>M553/GenAssumptions!I24</f>
        <v>361.8842020964936</v>
      </c>
    </row>
    <row r="558" spans="4:13" x14ac:dyDescent="0.2">
      <c r="D558" s="5" t="s">
        <v>815</v>
      </c>
      <c r="H558" s="882">
        <f>H539/GenAssumptions!D29</f>
        <v>575.90125046237142</v>
      </c>
      <c r="I558" s="882">
        <f>I539/GenAssumptions!E29</f>
        <v>575.90125046237131</v>
      </c>
      <c r="J558" s="882">
        <f>J539/GenAssumptions!F29</f>
        <v>575.90125046237131</v>
      </c>
      <c r="K558" s="882">
        <f>K539/GenAssumptions!G29</f>
        <v>299.04274965411088</v>
      </c>
      <c r="L558" s="882">
        <f>L539/GenAssumptions!H29</f>
        <v>410.38847995445883</v>
      </c>
      <c r="M558" s="882">
        <f>M539/GenAssumptions!I29</f>
        <v>575.90125046237142</v>
      </c>
    </row>
    <row r="559" spans="4:13" x14ac:dyDescent="0.2">
      <c r="D559" s="5" t="s">
        <v>419</v>
      </c>
      <c r="H559" s="882">
        <f>H540/GenAssumptions!D29+H541/GenAssumptions!D39</f>
        <v>8.32</v>
      </c>
      <c r="I559" s="882">
        <f>I540/GenAssumptions!E29+I541/GenAssumptions!E39</f>
        <v>8.32</v>
      </c>
      <c r="J559" s="882">
        <f>J540/GenAssumptions!F29+J541/GenAssumptions!F39</f>
        <v>8.32</v>
      </c>
      <c r="K559" s="882">
        <f>K540/GenAssumptions!G29+K541/GenAssumptions!G39</f>
        <v>8.32</v>
      </c>
      <c r="L559" s="882">
        <f>L540/GenAssumptions!H29+L541/GenAssumptions!H39</f>
        <v>8.32</v>
      </c>
      <c r="M559" s="882">
        <f>M540/GenAssumptions!I29+M541/GenAssumptions!I39</f>
        <v>8.32</v>
      </c>
    </row>
    <row r="560" spans="4:13" x14ac:dyDescent="0.2">
      <c r="D560" s="5" t="s">
        <v>1130</v>
      </c>
      <c r="H560" s="882">
        <f>H542/GenAssumptions!D37</f>
        <v>466.65934418353635</v>
      </c>
      <c r="I560" s="882">
        <f>I542/GenAssumptions!E37</f>
        <v>466.65934418353635</v>
      </c>
      <c r="J560" s="882">
        <f>J542/GenAssumptions!F37</f>
        <v>466.65934418353646</v>
      </c>
      <c r="K560" s="882">
        <f>K542/GenAssumptions!G37</f>
        <v>242.30056764362328</v>
      </c>
      <c r="L560" s="882">
        <f>L542/GenAssumptions!H37</f>
        <v>288.53466710652629</v>
      </c>
      <c r="M560" s="882">
        <f>M542/GenAssumptions!I37</f>
        <v>466.65934418353635</v>
      </c>
    </row>
    <row r="561" spans="4:13" x14ac:dyDescent="0.2">
      <c r="D561" s="5" t="s">
        <v>1186</v>
      </c>
      <c r="H561" s="882">
        <f>H543/GenAssumptions!D35</f>
        <v>78.699406833331466</v>
      </c>
      <c r="I561" s="882">
        <f>I543/GenAssumptions!E35</f>
        <v>78.69940683333148</v>
      </c>
      <c r="J561" s="882">
        <f>J543/GenAssumptions!F35</f>
        <v>78.699406833331466</v>
      </c>
      <c r="K561" s="882">
        <f>K543/GenAssumptions!G35</f>
        <v>40.86259320981879</v>
      </c>
      <c r="L561" s="882">
        <f>L543/GenAssumptions!H35</f>
        <v>18.071445031823291</v>
      </c>
      <c r="M561" s="882">
        <f>M543/GenAssumptions!I35</f>
        <v>78.699406833331466</v>
      </c>
    </row>
    <row r="562" spans="4:13" x14ac:dyDescent="0.2">
      <c r="D562" s="5" t="s">
        <v>1151</v>
      </c>
      <c r="H562" s="882">
        <f>H545/GenAssumptions!D30</f>
        <v>7462.9554408429622</v>
      </c>
      <c r="I562" s="882">
        <f>I545/GenAssumptions!E30</f>
        <v>7462.9554408429622</v>
      </c>
      <c r="J562" s="882">
        <f>J545/GenAssumptions!F30</f>
        <v>7462.9554408429603</v>
      </c>
      <c r="K562" s="882">
        <f>K545/GenAssumptions!G30</f>
        <v>2015.638399610242</v>
      </c>
      <c r="L562" s="882">
        <f>L545/GenAssumptions!H30</f>
        <v>5587.7351831307606</v>
      </c>
      <c r="M562" s="882">
        <f>M545/GenAssumptions!I30</f>
        <v>3881.9554408429608</v>
      </c>
    </row>
    <row r="563" spans="4:13" x14ac:dyDescent="0.2">
      <c r="D563" s="5" t="s">
        <v>421</v>
      </c>
      <c r="H563" s="882">
        <f>H546/GenAssumptions!D32</f>
        <v>56.321440712120022</v>
      </c>
      <c r="I563" s="882">
        <f>I546/GenAssumptions!E32</f>
        <v>56.321440712120022</v>
      </c>
      <c r="J563" s="882">
        <f>J546/GenAssumptions!F32</f>
        <v>56.321440712120022</v>
      </c>
      <c r="K563" s="882">
        <f>K546/GenAssumptions!G32</f>
        <v>32.243468406248319</v>
      </c>
      <c r="L563" s="882">
        <f>L546/GenAssumptions!H32</f>
        <v>17.740010474796641</v>
      </c>
      <c r="M563" s="882">
        <f>M546/GenAssumptions!I32</f>
        <v>56.321440712120022</v>
      </c>
    </row>
    <row r="564" spans="4:13" ht="15" customHeight="1" x14ac:dyDescent="0.2">
      <c r="D564" s="5" t="s">
        <v>423</v>
      </c>
      <c r="H564" s="882">
        <f>H547/GenAssumptions!D33</f>
        <v>150.84385739774194</v>
      </c>
      <c r="I564" s="882">
        <f>I547/GenAssumptions!E33</f>
        <v>150.84385739774197</v>
      </c>
      <c r="J564" s="882">
        <f>J547/GenAssumptions!F33</f>
        <v>150.84385739774194</v>
      </c>
      <c r="K564" s="882">
        <f>K547/GenAssumptions!G33</f>
        <v>78.285938280827665</v>
      </c>
      <c r="L564" s="882">
        <f>L547/GenAssumptions!H33</f>
        <v>69.528310832330419</v>
      </c>
      <c r="M564" s="882">
        <f>M547/GenAssumptions!I33</f>
        <v>150.84385739774194</v>
      </c>
    </row>
    <row r="565" spans="4:13" x14ac:dyDescent="0.2">
      <c r="D565" s="5" t="s">
        <v>1148</v>
      </c>
      <c r="H565" s="882">
        <f>H548/GenAssumptions!D40</f>
        <v>42.926949181817164</v>
      </c>
      <c r="I565" s="882">
        <f>I548/GenAssumptions!E40</f>
        <v>42.926949181817172</v>
      </c>
      <c r="J565" s="882">
        <f>J548/GenAssumptions!F40</f>
        <v>42.926949181817172</v>
      </c>
      <c r="K565" s="882">
        <f>K548/GenAssumptions!G40</f>
        <v>22.2886872053557</v>
      </c>
      <c r="L565" s="882">
        <f>L548/GenAssumptions!H40</f>
        <v>9.8571518355399768</v>
      </c>
      <c r="M565" s="882">
        <f>M548/GenAssumptions!I40</f>
        <v>42.926949181817164</v>
      </c>
    </row>
    <row r="566" spans="4:13" x14ac:dyDescent="0.2">
      <c r="D566" s="5" t="s">
        <v>420</v>
      </c>
      <c r="H566" s="882">
        <f>H549/GenAssumptions!D36</f>
        <v>1.248</v>
      </c>
      <c r="I566" s="882">
        <f>I549/GenAssumptions!E36</f>
        <v>1.248</v>
      </c>
      <c r="J566" s="882">
        <f>J549/GenAssumptions!F36</f>
        <v>1.248</v>
      </c>
      <c r="K566" s="882">
        <f>K549/GenAssumptions!G36</f>
        <v>1.248</v>
      </c>
      <c r="L566" s="882">
        <f>L549/GenAssumptions!H36</f>
        <v>1.248</v>
      </c>
      <c r="M566" s="882">
        <f>M549/GenAssumptions!I36</f>
        <v>1.248</v>
      </c>
    </row>
    <row r="567" spans="4:13" x14ac:dyDescent="0.2">
      <c r="D567" s="5" t="s">
        <v>1128</v>
      </c>
      <c r="H567" s="882">
        <f>H550/GenAssumptions!D25</f>
        <v>3580.5923320930156</v>
      </c>
      <c r="I567" s="882">
        <f>I550/GenAssumptions!E25</f>
        <v>4076.9448463716067</v>
      </c>
      <c r="J567" s="882">
        <f>J550/GenAssumptions!F25</f>
        <v>4076.9448463716053</v>
      </c>
      <c r="K567" s="882">
        <f>K550/GenAssumptions!G25</f>
        <v>2120.9689715810332</v>
      </c>
      <c r="L567" s="882">
        <f>L550/GenAssumptions!H25</f>
        <v>3170.1554256810796</v>
      </c>
      <c r="M567" s="882">
        <f>M550/GenAssumptions!I25</f>
        <v>3580.5923320930156</v>
      </c>
    </row>
    <row r="568" spans="4:13" x14ac:dyDescent="0.2">
      <c r="D568" s="5" t="s">
        <v>1150</v>
      </c>
      <c r="H568" s="882">
        <f>H551/GenAssumptions!D39</f>
        <v>90.964249456707805</v>
      </c>
      <c r="I568" s="882">
        <f>I551/GenAssumptions!E39</f>
        <v>90.964249456707805</v>
      </c>
      <c r="J568" s="882">
        <f>J551/GenAssumptions!F39</f>
        <v>90.964249456707805</v>
      </c>
      <c r="K568" s="882">
        <f>K551/GenAssumptions!G39</f>
        <v>47.230789554206133</v>
      </c>
      <c r="L568" s="882">
        <f>L551/GenAssumptions!H39</f>
        <v>24.408185497527565</v>
      </c>
      <c r="M568" s="882">
        <f>M551/GenAssumptions!I39</f>
        <v>90.964249456707805</v>
      </c>
    </row>
    <row r="569" spans="4:13" x14ac:dyDescent="0.2">
      <c r="D569" s="5" t="s">
        <v>422</v>
      </c>
      <c r="H569" s="882">
        <f>H552/GenAssumptions!D28</f>
        <v>1099.0564782202298</v>
      </c>
      <c r="I569" s="882">
        <f>I552/GenAssumptions!E28</f>
        <v>1294.7254009673068</v>
      </c>
      <c r="J569" s="882">
        <f>J552/GenAssumptions!F28</f>
        <v>1294.7254009673068</v>
      </c>
      <c r="K569" s="882">
        <f>K552/GenAssumptions!G28</f>
        <v>675.25209189569318</v>
      </c>
      <c r="L569" s="882">
        <f>L552/GenAssumptions!H28</f>
        <v>628.94640079722615</v>
      </c>
      <c r="M569" s="882">
        <f>M552/GenAssumptions!I28</f>
        <v>1099.0564782202298</v>
      </c>
    </row>
    <row r="573" spans="4:13" ht="15" x14ac:dyDescent="0.25">
      <c r="D573"/>
    </row>
    <row r="574" spans="4:13" ht="15" x14ac:dyDescent="0.25">
      <c r="D574"/>
    </row>
    <row r="575" spans="4:13" ht="15" x14ac:dyDescent="0.25">
      <c r="D575"/>
    </row>
    <row r="576" spans="4:13" ht="15" x14ac:dyDescent="0.25">
      <c r="D576"/>
    </row>
    <row r="577" spans="4:4" ht="15" x14ac:dyDescent="0.25">
      <c r="D577"/>
    </row>
    <row r="578" spans="4:4" ht="15" x14ac:dyDescent="0.25">
      <c r="D578"/>
    </row>
    <row r="579" spans="4:4" ht="15" x14ac:dyDescent="0.25">
      <c r="D579"/>
    </row>
    <row r="580" spans="4:4" ht="15" x14ac:dyDescent="0.25">
      <c r="D580"/>
    </row>
    <row r="581" spans="4:4" ht="15" x14ac:dyDescent="0.25">
      <c r="D581"/>
    </row>
    <row r="582" spans="4:4" ht="15" customHeight="1" x14ac:dyDescent="0.25">
      <c r="D582"/>
    </row>
    <row r="583" spans="4:4" ht="15" x14ac:dyDescent="0.25">
      <c r="D583"/>
    </row>
    <row r="584" spans="4:4" ht="15" x14ac:dyDescent="0.25">
      <c r="D584"/>
    </row>
    <row r="585" spans="4:4" ht="15" x14ac:dyDescent="0.25">
      <c r="D585"/>
    </row>
    <row r="586" spans="4:4" ht="15" x14ac:dyDescent="0.25">
      <c r="D586"/>
    </row>
    <row r="587" spans="4:4" ht="15" x14ac:dyDescent="0.25">
      <c r="D587"/>
    </row>
    <row r="588" spans="4:4" ht="15" x14ac:dyDescent="0.25">
      <c r="D588"/>
    </row>
    <row r="589" spans="4:4" ht="15" x14ac:dyDescent="0.25">
      <c r="D589"/>
    </row>
    <row r="590" spans="4:4" ht="15" x14ac:dyDescent="0.25">
      <c r="D590"/>
    </row>
    <row r="591" spans="4:4" ht="15" x14ac:dyDescent="0.25">
      <c r="D591"/>
    </row>
    <row r="592" spans="4:4" ht="15" x14ac:dyDescent="0.25">
      <c r="D592"/>
    </row>
    <row r="593" spans="4:4" ht="15" x14ac:dyDescent="0.25">
      <c r="D593"/>
    </row>
    <row r="594" spans="4:4" ht="15" x14ac:dyDescent="0.25">
      <c r="D594"/>
    </row>
    <row r="595" spans="4:4" ht="15" x14ac:dyDescent="0.25">
      <c r="D595"/>
    </row>
    <row r="596" spans="4:4" ht="15" x14ac:dyDescent="0.25">
      <c r="D596"/>
    </row>
    <row r="597" spans="4:4" ht="15" x14ac:dyDescent="0.25">
      <c r="D597"/>
    </row>
    <row r="598" spans="4:4" ht="15" x14ac:dyDescent="0.25">
      <c r="D598"/>
    </row>
    <row r="599" spans="4:4" ht="15" x14ac:dyDescent="0.25">
      <c r="D599"/>
    </row>
    <row r="600" spans="4:4" ht="15" x14ac:dyDescent="0.25">
      <c r="D600"/>
    </row>
    <row r="601" spans="4:4" ht="15" x14ac:dyDescent="0.25">
      <c r="D601"/>
    </row>
    <row r="602" spans="4:4" ht="12.75" customHeight="1" x14ac:dyDescent="0.25">
      <c r="D602"/>
    </row>
    <row r="603" spans="4:4" ht="15" x14ac:dyDescent="0.25">
      <c r="D603"/>
    </row>
    <row r="604" spans="4:4" ht="15" x14ac:dyDescent="0.25">
      <c r="D604"/>
    </row>
    <row r="605" spans="4:4" ht="15" x14ac:dyDescent="0.25">
      <c r="D605"/>
    </row>
    <row r="606" spans="4:4" ht="12.75" customHeight="1" x14ac:dyDescent="0.25">
      <c r="D606"/>
    </row>
    <row r="607" spans="4:4" ht="15" x14ac:dyDescent="0.25">
      <c r="D607"/>
    </row>
    <row r="608" spans="4:4" ht="15" x14ac:dyDescent="0.25">
      <c r="D608"/>
    </row>
    <row r="609" spans="4:4" ht="15" x14ac:dyDescent="0.25">
      <c r="D609"/>
    </row>
    <row r="610" spans="4:4" ht="15" x14ac:dyDescent="0.25">
      <c r="D610"/>
    </row>
  </sheetData>
  <sortState ref="D554:D573">
    <sortCondition ref="D554"/>
  </sortState>
  <mergeCells count="1">
    <mergeCell ref="H2:J2"/>
  </mergeCells>
  <conditionalFormatting sqref="L121">
    <cfRule type="expression" dxfId="36" priority="4">
      <formula>L121&gt;H121</formula>
    </cfRule>
  </conditionalFormatting>
  <conditionalFormatting sqref="L122">
    <cfRule type="expression" dxfId="35" priority="1">
      <formula>L122&gt;H122</formula>
    </cfRule>
  </conditionalFormatting>
  <dataValidations count="2">
    <dataValidation type="list" allowBlank="1" showInputMessage="1" showErrorMessage="1" sqref="G178 G180 H185:M194 H203:M204 H196:M201 H176:M176 H206:M206">
      <formula1>List_YesNO</formula1>
    </dataValidation>
    <dataValidation type="list" allowBlank="1" showInputMessage="1" showErrorMessage="1" sqref="R418 R408 R403 R400 R381 R368 R430:R431 R436:R438 R441 R450:R451 R461 R467:R468 R471:R474 R385 R388 R178:R181 R269:R272 R274:R277 R279:R294">
      <formula1>Policy_categories</formula1>
    </dataValidation>
  </dataValidations>
  <pageMargins left="0.7" right="0.7" top="0.75" bottom="0.75" header="0.3" footer="0.3"/>
  <pageSetup paperSize="9" scale="70" orientation="portrait" horizontalDpi="4294967292" verticalDpi="4294967292" r:id="rId1"/>
  <rowBreaks count="1" manualBreakCount="1">
    <brk id="118" max="6" man="1"/>
  </rowBreaks>
  <drawing r:id="rId2"/>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B1:Q32"/>
  <sheetViews>
    <sheetView showGridLines="0" zoomScale="90" zoomScaleNormal="90" zoomScalePageLayoutView="90" workbookViewId="0">
      <pane xSplit="4" ySplit="3" topLeftCell="E4" activePane="bottomRight" state="frozen"/>
      <selection activeCell="H37" sqref="H37"/>
      <selection pane="topRight" activeCell="H37" sqref="H37"/>
      <selection pane="bottomLeft" activeCell="H37" sqref="H37"/>
      <selection pane="bottomRight" activeCell="H37" sqref="H37"/>
    </sheetView>
  </sheetViews>
  <sheetFormatPr defaultColWidth="8.85546875" defaultRowHeight="15" x14ac:dyDescent="0.25"/>
  <cols>
    <col min="1" max="1" width="2.28515625" style="74" customWidth="1"/>
    <col min="2" max="2" width="2.140625" style="74" customWidth="1"/>
    <col min="3" max="3" width="4.28515625" style="354" customWidth="1"/>
    <col min="4" max="4" width="45.85546875" style="74" customWidth="1"/>
    <col min="5" max="5" width="49.85546875" style="74" bestFit="1" customWidth="1"/>
    <col min="6" max="7" width="15.28515625" style="74" customWidth="1"/>
    <col min="8" max="8" width="12.42578125" style="74" customWidth="1"/>
    <col min="9" max="9" width="1.140625" style="74" customWidth="1"/>
    <col min="10" max="14" width="13.28515625" style="74" customWidth="1"/>
    <col min="15" max="15" width="13.28515625" style="74" hidden="1" customWidth="1"/>
    <col min="16" max="16384" width="8.85546875" style="74"/>
  </cols>
  <sheetData>
    <row r="1" spans="2:15" s="3" customFormat="1" ht="15.75" x14ac:dyDescent="0.25">
      <c r="B1" s="306" t="s">
        <v>1156</v>
      </c>
    </row>
    <row r="2" spans="2:15" x14ac:dyDescent="0.25">
      <c r="I2" s="5"/>
      <c r="J2" s="1130" t="s">
        <v>381</v>
      </c>
      <c r="K2" s="1130"/>
      <c r="L2" s="1130"/>
      <c r="M2" s="28" t="s">
        <v>382</v>
      </c>
      <c r="N2" s="29" t="s">
        <v>383</v>
      </c>
      <c r="O2" s="607" t="s">
        <v>1796</v>
      </c>
    </row>
    <row r="3" spans="2:15" x14ac:dyDescent="0.25">
      <c r="D3" s="354"/>
      <c r="I3" s="5"/>
      <c r="J3" s="404" t="s">
        <v>385</v>
      </c>
      <c r="K3" s="404" t="s">
        <v>386</v>
      </c>
      <c r="L3" s="404" t="s">
        <v>1033</v>
      </c>
      <c r="M3" s="28" t="s">
        <v>385</v>
      </c>
      <c r="N3" s="29" t="s">
        <v>385</v>
      </c>
      <c r="O3" s="29" t="s">
        <v>385</v>
      </c>
    </row>
    <row r="4" spans="2:15" x14ac:dyDescent="0.25">
      <c r="B4" s="25"/>
    </row>
    <row r="5" spans="2:15" s="3" customFormat="1" ht="15.75" x14ac:dyDescent="0.25">
      <c r="B5" s="306"/>
      <c r="D5" s="441" t="s">
        <v>1079</v>
      </c>
    </row>
    <row r="7" spans="2:15" ht="24" x14ac:dyDescent="0.25">
      <c r="D7" s="73" t="s">
        <v>978</v>
      </c>
      <c r="G7" s="347" t="s">
        <v>979</v>
      </c>
      <c r="I7" s="369"/>
    </row>
    <row r="8" spans="2:15" x14ac:dyDescent="0.25">
      <c r="D8" s="27" t="s">
        <v>980</v>
      </c>
      <c r="F8" s="120">
        <v>3</v>
      </c>
      <c r="G8" s="353">
        <f>F8*90*F9</f>
        <v>540</v>
      </c>
      <c r="J8" s="223">
        <f>G8/'Med-Prices'!F13/'Med-Prices'!H13</f>
        <v>15.066964285714285</v>
      </c>
      <c r="K8" s="223">
        <f>J8*(1+GenAssumptions!E$7)</f>
        <v>16.422991071428573</v>
      </c>
      <c r="L8" s="223">
        <f>K8*(1+GenAssumptions!F$7)</f>
        <v>17.901060267857147</v>
      </c>
      <c r="M8" s="223">
        <f>J8*(1+GenAssumptions!G$7)</f>
        <v>15.066964285714285</v>
      </c>
      <c r="N8" s="223">
        <f>J8*(1+GenAssumptions!H$7)</f>
        <v>15.066964285714285</v>
      </c>
      <c r="O8" s="223">
        <f>J8*(1+GenAssumptions!I$7)</f>
        <v>15.066964285714285</v>
      </c>
    </row>
    <row r="9" spans="2:15" x14ac:dyDescent="0.25">
      <c r="D9" s="27" t="s">
        <v>981</v>
      </c>
      <c r="F9" s="120">
        <v>2</v>
      </c>
    </row>
    <row r="11" spans="2:15" x14ac:dyDescent="0.25">
      <c r="B11" s="25"/>
      <c r="D11" s="73" t="s">
        <v>1360</v>
      </c>
      <c r="F11" s="74" t="s">
        <v>1081</v>
      </c>
    </row>
    <row r="12" spans="2:15" x14ac:dyDescent="0.25">
      <c r="B12" s="25"/>
      <c r="D12" s="74" t="s">
        <v>802</v>
      </c>
      <c r="F12" s="120">
        <v>2</v>
      </c>
      <c r="J12" s="223">
        <f>F12/'Med-Prices'!F39*'Med-Prices'!H39</f>
        <v>2.86</v>
      </c>
      <c r="K12" s="223">
        <f>J12*(1+GenAssumptions!E$7)</f>
        <v>3.1173999999999999</v>
      </c>
      <c r="L12" s="223">
        <f>K12*(1+GenAssumptions!F$7)</f>
        <v>3.3979660000000003</v>
      </c>
      <c r="M12" s="223">
        <f>J12*(1+GenAssumptions!G$7)</f>
        <v>2.86</v>
      </c>
      <c r="N12" s="223">
        <f>J12*(1+GenAssumptions!H$7)</f>
        <v>2.86</v>
      </c>
      <c r="O12" s="223">
        <f>J12*(1+GenAssumptions!I$7)</f>
        <v>2.86</v>
      </c>
    </row>
    <row r="13" spans="2:15" x14ac:dyDescent="0.25">
      <c r="B13" s="25"/>
    </row>
    <row r="14" spans="2:15" ht="42" customHeight="1" x14ac:dyDescent="0.25">
      <c r="B14" s="25"/>
      <c r="D14" s="220" t="s">
        <v>810</v>
      </c>
      <c r="F14" s="442" t="s">
        <v>1080</v>
      </c>
    </row>
    <row r="15" spans="2:15" x14ac:dyDescent="0.25">
      <c r="B15" s="25"/>
      <c r="D15" s="72" t="s">
        <v>41</v>
      </c>
      <c r="E15" s="27" t="s">
        <v>788</v>
      </c>
      <c r="F15" s="120">
        <v>1</v>
      </c>
      <c r="J15" s="223">
        <f>F15/'Med-Prices'!$F$9*'Med-Prices'!$H$9</f>
        <v>0.6581999999999999</v>
      </c>
      <c r="K15" s="223">
        <f>J15*(1+GenAssumptions!E$7)</f>
        <v>0.71743799999999991</v>
      </c>
      <c r="L15" s="223">
        <f>K15*(1+GenAssumptions!F$7)</f>
        <v>0.78200742000000001</v>
      </c>
      <c r="M15" s="223">
        <f>J15*(1+GenAssumptions!G$7)</f>
        <v>0.6581999999999999</v>
      </c>
      <c r="N15" s="223">
        <f>J15*(1+GenAssumptions!H$7)</f>
        <v>0.6581999999999999</v>
      </c>
      <c r="O15" s="223">
        <f>J15*(1+GenAssumptions!I$7)</f>
        <v>0.6581999999999999</v>
      </c>
    </row>
    <row r="16" spans="2:15" x14ac:dyDescent="0.25">
      <c r="B16" s="25"/>
      <c r="D16" s="72" t="s">
        <v>42</v>
      </c>
      <c r="E16" s="27" t="s">
        <v>788</v>
      </c>
      <c r="F16" s="120">
        <v>1</v>
      </c>
      <c r="J16" s="223">
        <f>F16/'Med-Prices'!$F$9*'Med-Prices'!$H$9</f>
        <v>0.6581999999999999</v>
      </c>
      <c r="K16" s="223">
        <f>J16*(1+GenAssumptions!E$7)</f>
        <v>0.71743799999999991</v>
      </c>
      <c r="L16" s="223">
        <f>K16*(1+GenAssumptions!F$7)</f>
        <v>0.78200742000000001</v>
      </c>
      <c r="M16" s="223">
        <f>J16*(1+GenAssumptions!G$7)</f>
        <v>0.6581999999999999</v>
      </c>
      <c r="N16" s="223">
        <f>J16*(1+GenAssumptions!H$7)</f>
        <v>0.6581999999999999</v>
      </c>
      <c r="O16" s="223">
        <f>J16*(1+GenAssumptions!I$7)</f>
        <v>0.6581999999999999</v>
      </c>
    </row>
    <row r="17" spans="4:17" x14ac:dyDescent="0.25">
      <c r="D17" s="72" t="s">
        <v>43</v>
      </c>
      <c r="E17" s="27" t="s">
        <v>788</v>
      </c>
      <c r="F17" s="120">
        <v>1</v>
      </c>
      <c r="J17" s="223">
        <f>F17/'Med-Prices'!$F$9*'Med-Prices'!$H$9</f>
        <v>0.6581999999999999</v>
      </c>
      <c r="K17" s="223">
        <f>J17*(1+GenAssumptions!E$7)</f>
        <v>0.71743799999999991</v>
      </c>
      <c r="L17" s="223">
        <f>K17*(1+GenAssumptions!F$7)</f>
        <v>0.78200742000000001</v>
      </c>
      <c r="M17" s="223">
        <f>J17*(1+GenAssumptions!G$7)</f>
        <v>0.6581999999999999</v>
      </c>
      <c r="N17" s="223">
        <f>J17*(1+GenAssumptions!H$7)</f>
        <v>0.6581999999999999</v>
      </c>
      <c r="O17" s="223">
        <f>J17*(1+GenAssumptions!I$7)</f>
        <v>0.6581999999999999</v>
      </c>
    </row>
    <row r="18" spans="4:17" x14ac:dyDescent="0.25">
      <c r="D18" s="72" t="s">
        <v>44</v>
      </c>
      <c r="E18" s="27" t="s">
        <v>788</v>
      </c>
      <c r="F18" s="120">
        <v>1</v>
      </c>
      <c r="J18" s="223">
        <f>F18/'Med-Prices'!$F$9*'Med-Prices'!$H$9</f>
        <v>0.6581999999999999</v>
      </c>
      <c r="K18" s="223">
        <f>J18*(1+GenAssumptions!E$7)</f>
        <v>0.71743799999999991</v>
      </c>
      <c r="L18" s="223">
        <f>K18*(1+GenAssumptions!F$7)</f>
        <v>0.78200742000000001</v>
      </c>
      <c r="M18" s="223">
        <f>J18*(1+GenAssumptions!G$7)</f>
        <v>0.6581999999999999</v>
      </c>
      <c r="N18" s="223">
        <f>J18*(1+GenAssumptions!H$7)</f>
        <v>0.6581999999999999</v>
      </c>
      <c r="O18" s="223">
        <f>J18*(1+GenAssumptions!I$7)</f>
        <v>0.6581999999999999</v>
      </c>
    </row>
    <row r="19" spans="4:17" x14ac:dyDescent="0.25">
      <c r="D19" s="72" t="s">
        <v>45</v>
      </c>
      <c r="E19" s="27" t="s">
        <v>788</v>
      </c>
      <c r="F19" s="120">
        <v>1</v>
      </c>
      <c r="J19" s="223">
        <f>F19/'Med-Prices'!$F$9*'Med-Prices'!$H$9</f>
        <v>0.6581999999999999</v>
      </c>
      <c r="K19" s="223">
        <f>J19*(1+GenAssumptions!E$7)</f>
        <v>0.71743799999999991</v>
      </c>
      <c r="L19" s="223">
        <f>K19*(1+GenAssumptions!F$7)</f>
        <v>0.78200742000000001</v>
      </c>
      <c r="M19" s="223">
        <f>J19*(1+GenAssumptions!G$7)</f>
        <v>0.6581999999999999</v>
      </c>
      <c r="N19" s="223">
        <f>J19*(1+GenAssumptions!H$7)</f>
        <v>0.6581999999999999</v>
      </c>
      <c r="O19" s="223">
        <f>J19*(1+GenAssumptions!I$7)</f>
        <v>0.6581999999999999</v>
      </c>
    </row>
    <row r="20" spans="4:17" x14ac:dyDescent="0.25">
      <c r="D20" s="221" t="s">
        <v>811</v>
      </c>
      <c r="E20" s="27" t="s">
        <v>790</v>
      </c>
      <c r="F20" s="120">
        <v>2</v>
      </c>
      <c r="J20" s="223">
        <f>F20/'Med-Prices'!$F$10*'Med-Prices'!$H$10</f>
        <v>1.7268000000000001</v>
      </c>
      <c r="K20" s="223">
        <f>J20*(1+GenAssumptions!E$7)</f>
        <v>1.8822120000000002</v>
      </c>
      <c r="L20" s="223">
        <f>K20*(1+GenAssumptions!F$7)</f>
        <v>2.0516110800000003</v>
      </c>
      <c r="M20" s="223">
        <f>J20*(1+GenAssumptions!G$7)</f>
        <v>1.7268000000000001</v>
      </c>
      <c r="N20" s="223">
        <f>J20*(1+GenAssumptions!H$7)</f>
        <v>1.7268000000000001</v>
      </c>
      <c r="O20" s="223">
        <f>J20*(1+GenAssumptions!I$7)</f>
        <v>1.7268000000000001</v>
      </c>
    </row>
    <row r="21" spans="4:17" x14ac:dyDescent="0.25">
      <c r="D21" s="221" t="s">
        <v>812</v>
      </c>
      <c r="E21" s="27" t="s">
        <v>790</v>
      </c>
      <c r="F21" s="120">
        <v>2</v>
      </c>
      <c r="J21" s="223">
        <f>F21/'Med-Prices'!$F$10*'Med-Prices'!$H$10</f>
        <v>1.7268000000000001</v>
      </c>
      <c r="K21" s="223">
        <f>J21*(1+GenAssumptions!E$7)</f>
        <v>1.8822120000000002</v>
      </c>
      <c r="L21" s="223">
        <f>K21*(1+GenAssumptions!F$7)</f>
        <v>2.0516110800000003</v>
      </c>
      <c r="M21" s="223">
        <f>J21*(1+GenAssumptions!G$7)</f>
        <v>1.7268000000000001</v>
      </c>
      <c r="N21" s="223">
        <f>J21*(1+GenAssumptions!H$7)</f>
        <v>1.7268000000000001</v>
      </c>
      <c r="O21" s="223">
        <f>J21*(1+GenAssumptions!I$7)</f>
        <v>1.7268000000000001</v>
      </c>
    </row>
    <row r="22" spans="4:17" x14ac:dyDescent="0.25">
      <c r="D22" s="221" t="s">
        <v>813</v>
      </c>
      <c r="E22" s="27" t="s">
        <v>790</v>
      </c>
      <c r="F22" s="120">
        <v>2</v>
      </c>
      <c r="J22" s="223">
        <f>F22/'Med-Prices'!$F$10*'Med-Prices'!$H$10</f>
        <v>1.7268000000000001</v>
      </c>
      <c r="K22" s="223">
        <f>J22*(1+GenAssumptions!E$7)</f>
        <v>1.8822120000000002</v>
      </c>
      <c r="L22" s="223">
        <f>K22*(1+GenAssumptions!F$7)</f>
        <v>2.0516110800000003</v>
      </c>
      <c r="M22" s="223">
        <f>J22*(1+GenAssumptions!G$7)</f>
        <v>1.7268000000000001</v>
      </c>
      <c r="N22" s="223">
        <f>J22*(1+GenAssumptions!H$7)</f>
        <v>1.7268000000000001</v>
      </c>
      <c r="O22" s="223">
        <f>J22*(1+GenAssumptions!I$7)</f>
        <v>1.7268000000000001</v>
      </c>
    </row>
    <row r="23" spans="4:17" x14ac:dyDescent="0.25">
      <c r="D23" s="221" t="s">
        <v>814</v>
      </c>
      <c r="E23" s="27" t="s">
        <v>790</v>
      </c>
      <c r="F23" s="120">
        <v>2</v>
      </c>
      <c r="J23" s="223">
        <f>F23/'Med-Prices'!$F$10*'Med-Prices'!$H$10</f>
        <v>1.7268000000000001</v>
      </c>
      <c r="K23" s="223">
        <f>J23*(1+GenAssumptions!E$7)</f>
        <v>1.8822120000000002</v>
      </c>
      <c r="L23" s="223">
        <f>K23*(1+GenAssumptions!F$7)</f>
        <v>2.0516110800000003</v>
      </c>
      <c r="M23" s="223">
        <f>J23*(1+GenAssumptions!G$7)</f>
        <v>1.7268000000000001</v>
      </c>
      <c r="N23" s="223">
        <f>J23*(1+GenAssumptions!H$7)</f>
        <v>1.7268000000000001</v>
      </c>
      <c r="O23" s="223">
        <f>J23*(1+GenAssumptions!I$7)</f>
        <v>1.7268000000000001</v>
      </c>
    </row>
    <row r="24" spans="4:17" x14ac:dyDescent="0.25">
      <c r="D24" s="221" t="s">
        <v>1018</v>
      </c>
      <c r="E24" s="27" t="s">
        <v>790</v>
      </c>
      <c r="F24" s="120">
        <v>2</v>
      </c>
      <c r="J24" s="223">
        <f>F24/'Med-Prices'!$F$10*'Med-Prices'!$H$10</f>
        <v>1.7268000000000001</v>
      </c>
      <c r="K24" s="223">
        <f>J24*(1+GenAssumptions!E$7)</f>
        <v>1.8822120000000002</v>
      </c>
      <c r="L24" s="223">
        <f>K24*(1+GenAssumptions!F$7)</f>
        <v>2.0516110800000003</v>
      </c>
      <c r="M24" s="223">
        <f>J24*(1+GenAssumptions!G$7)</f>
        <v>1.7268000000000001</v>
      </c>
      <c r="N24" s="223">
        <f>J24*(1+GenAssumptions!H$7)</f>
        <v>1.7268000000000001</v>
      </c>
      <c r="O24" s="223">
        <f>J24*(1+GenAssumptions!I$7)</f>
        <v>1.7268000000000001</v>
      </c>
    </row>
    <row r="26" spans="4:17" x14ac:dyDescent="0.25">
      <c r="D26" s="73" t="s">
        <v>1082</v>
      </c>
    </row>
    <row r="27" spans="4:17" ht="36" x14ac:dyDescent="0.25">
      <c r="F27" s="375" t="s">
        <v>1003</v>
      </c>
      <c r="G27" s="375" t="s">
        <v>1001</v>
      </c>
      <c r="H27" s="375" t="s">
        <v>1002</v>
      </c>
      <c r="J27" s="348" t="s">
        <v>966</v>
      </c>
    </row>
    <row r="28" spans="4:17" x14ac:dyDescent="0.25">
      <c r="D28" s="27" t="s">
        <v>999</v>
      </c>
      <c r="E28" s="369" t="s">
        <v>1051</v>
      </c>
      <c r="F28" s="373">
        <v>120</v>
      </c>
      <c r="G28" s="374">
        <v>90</v>
      </c>
      <c r="H28" s="353">
        <f>G28*F28</f>
        <v>10800</v>
      </c>
      <c r="J28" s="223">
        <f>H28/'Med-Prices'!$F$16*'Med-Prices'!$H$16</f>
        <v>992.52</v>
      </c>
      <c r="K28" s="223">
        <f>J28*(1+GenAssumptions!E$7)</f>
        <v>1081.8468</v>
      </c>
      <c r="L28" s="223">
        <f>K28*(1+GenAssumptions!F$7)</f>
        <v>1179.2130120000002</v>
      </c>
      <c r="M28" s="223">
        <f>J28*(1+GenAssumptions!G$7)</f>
        <v>992.52</v>
      </c>
      <c r="N28" s="223">
        <f>J28*(1+GenAssumptions!H$7)</f>
        <v>992.52</v>
      </c>
      <c r="O28" s="223">
        <f>J28*(1+GenAssumptions!I$7)</f>
        <v>992.52</v>
      </c>
    </row>
    <row r="29" spans="4:17" x14ac:dyDescent="0.25">
      <c r="D29" s="27" t="s">
        <v>1000</v>
      </c>
      <c r="E29" s="369" t="s">
        <v>1051</v>
      </c>
      <c r="F29" s="120">
        <v>100</v>
      </c>
      <c r="G29" s="372">
        <v>90</v>
      </c>
      <c r="H29" s="353">
        <f t="shared" ref="H29" si="0">G29*F29</f>
        <v>9000</v>
      </c>
      <c r="J29" s="223">
        <f>H29/'Med-Prices'!$F$16*'Med-Prices'!$H$16</f>
        <v>827.09999999999991</v>
      </c>
      <c r="K29" s="223">
        <f>J29*(1+GenAssumptions!E$7)</f>
        <v>901.53899999999999</v>
      </c>
      <c r="L29" s="223">
        <f>K29*(1+GenAssumptions!F$7)</f>
        <v>982.6775100000001</v>
      </c>
      <c r="M29" s="223">
        <f>J29*(1+GenAssumptions!G$7)</f>
        <v>827.09999999999991</v>
      </c>
      <c r="N29" s="223">
        <f>J29*(1+GenAssumptions!H$7)</f>
        <v>827.09999999999991</v>
      </c>
      <c r="O29" s="223">
        <f>J29*(1+GenAssumptions!I$7)</f>
        <v>827.09999999999991</v>
      </c>
      <c r="P29" s="27"/>
      <c r="Q29" s="27"/>
    </row>
    <row r="30" spans="4:17" x14ac:dyDescent="0.25">
      <c r="D30" s="27"/>
      <c r="E30" s="27"/>
      <c r="F30" s="27"/>
      <c r="G30" s="27"/>
      <c r="H30" s="27"/>
      <c r="I30" s="27"/>
      <c r="J30" s="377">
        <f t="shared" ref="J30:O30" si="1">SUM(J28:J29)</f>
        <v>1819.62</v>
      </c>
      <c r="K30" s="377">
        <f t="shared" si="1"/>
        <v>1983.3858</v>
      </c>
      <c r="L30" s="377">
        <f t="shared" si="1"/>
        <v>2161.8905220000001</v>
      </c>
      <c r="M30" s="377">
        <f t="shared" si="1"/>
        <v>1819.62</v>
      </c>
      <c r="N30" s="377">
        <f t="shared" si="1"/>
        <v>1819.62</v>
      </c>
      <c r="O30" s="377">
        <f t="shared" si="1"/>
        <v>1819.62</v>
      </c>
      <c r="P30" s="27"/>
      <c r="Q30" s="27"/>
    </row>
    <row r="31" spans="4:17" ht="36" x14ac:dyDescent="0.25">
      <c r="F31" s="375" t="s">
        <v>1208</v>
      </c>
      <c r="G31" s="375" t="s">
        <v>1209</v>
      </c>
    </row>
    <row r="32" spans="4:17" x14ac:dyDescent="0.25">
      <c r="D32" s="458" t="s">
        <v>1207</v>
      </c>
      <c r="F32" s="373">
        <v>5</v>
      </c>
      <c r="G32" s="374">
        <v>1</v>
      </c>
      <c r="J32" s="223">
        <f>F32/'Med-Prices'!F19*'Med-Prices'!H19</f>
        <v>0.1905</v>
      </c>
      <c r="K32" s="223">
        <f>J32*(1+GenAssumptions!E$7)</f>
        <v>0.20764500000000002</v>
      </c>
      <c r="L32" s="223">
        <f>K32*(1+GenAssumptions!F$7)</f>
        <v>0.22633305000000004</v>
      </c>
      <c r="M32" s="223">
        <f>J32*(1+GenAssumptions!G$7)</f>
        <v>0.1905</v>
      </c>
      <c r="N32" s="223">
        <f>J32*(1+GenAssumptions!H$7)</f>
        <v>0.1905</v>
      </c>
      <c r="O32" s="223">
        <f>J32*(1+GenAssumptions!I$7)</f>
        <v>0.1905</v>
      </c>
    </row>
  </sheetData>
  <mergeCells count="1">
    <mergeCell ref="J2:L2"/>
  </mergeCells>
  <pageMargins left="0.7" right="0.7" top="0.75" bottom="0.75" header="0.3" footer="0.3"/>
  <pageSetup paperSize="9" orientation="portrait" horizontalDpi="0" verticalDpi="0"/>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K46"/>
  <sheetViews>
    <sheetView showGridLines="0" workbookViewId="0">
      <pane xSplit="2" ySplit="2" topLeftCell="C3" activePane="bottomRight" state="frozen"/>
      <selection activeCell="H37" sqref="H37"/>
      <selection pane="topRight" activeCell="H37" sqref="H37"/>
      <selection pane="bottomLeft" activeCell="H37" sqref="H37"/>
      <selection pane="bottomRight" activeCell="C1" sqref="C1:G1"/>
    </sheetView>
  </sheetViews>
  <sheetFormatPr defaultColWidth="8.85546875" defaultRowHeight="15" x14ac:dyDescent="0.25"/>
  <cols>
    <col min="2" max="2" width="58.28515625" customWidth="1"/>
    <col min="3" max="7" width="18.85546875" customWidth="1"/>
    <col min="8" max="8" width="18.85546875" hidden="1" customWidth="1"/>
    <col min="10" max="11" width="12.42578125" bestFit="1" customWidth="1"/>
  </cols>
  <sheetData>
    <row r="1" spans="1:11" ht="25.5" x14ac:dyDescent="0.25">
      <c r="C1" s="1136" t="s">
        <v>1816</v>
      </c>
      <c r="D1" s="1136"/>
      <c r="E1" s="1136"/>
      <c r="F1" s="1089" t="s">
        <v>1814</v>
      </c>
      <c r="G1" s="1088" t="s">
        <v>1759</v>
      </c>
      <c r="H1" s="607" t="s">
        <v>1796</v>
      </c>
    </row>
    <row r="2" spans="1:11" ht="13.5" customHeight="1" x14ac:dyDescent="0.25">
      <c r="C2" s="456" t="s">
        <v>385</v>
      </c>
      <c r="D2" s="456" t="s">
        <v>386</v>
      </c>
      <c r="E2" s="456" t="s">
        <v>1033</v>
      </c>
      <c r="F2" s="28" t="s">
        <v>385</v>
      </c>
      <c r="G2" s="29" t="s">
        <v>385</v>
      </c>
      <c r="H2" s="29" t="s">
        <v>385</v>
      </c>
    </row>
    <row r="3" spans="1:11" s="493" customFormat="1" ht="14.25" customHeight="1" x14ac:dyDescent="0.25">
      <c r="A3" s="493" t="s">
        <v>1219</v>
      </c>
    </row>
    <row r="4" spans="1:11" s="463" customFormat="1" ht="12.75" customHeight="1" x14ac:dyDescent="0.2">
      <c r="B4" s="464" t="s">
        <v>1109</v>
      </c>
    </row>
    <row r="5" spans="1:11" s="91" customFormat="1" ht="14.25" x14ac:dyDescent="0.2">
      <c r="B5" s="459" t="s">
        <v>1221</v>
      </c>
      <c r="C5" s="534">
        <v>0.1</v>
      </c>
      <c r="D5" s="534">
        <v>0.1</v>
      </c>
      <c r="E5" s="534">
        <v>0.1</v>
      </c>
      <c r="F5" s="534">
        <v>0.1</v>
      </c>
      <c r="G5" s="534">
        <v>0.06</v>
      </c>
      <c r="H5" s="534">
        <v>0.1</v>
      </c>
      <c r="J5" s="425"/>
    </row>
    <row r="6" spans="1:11" s="91" customFormat="1" ht="14.25" x14ac:dyDescent="0.2">
      <c r="B6" s="557" t="s">
        <v>1222</v>
      </c>
      <c r="C6" s="71">
        <f t="shared" ref="C6:H6" si="0">SUM(C7:C8)</f>
        <v>0.05</v>
      </c>
      <c r="D6" s="71">
        <f t="shared" si="0"/>
        <v>0.05</v>
      </c>
      <c r="E6" s="71">
        <f t="shared" si="0"/>
        <v>0.05</v>
      </c>
      <c r="F6" s="71">
        <f t="shared" ref="F6" si="1">SUM(F7:F8)</f>
        <v>0.05</v>
      </c>
      <c r="G6" s="71">
        <f t="shared" ref="G6" si="2">SUM(G7:G8)</f>
        <v>2.5000000000000001E-2</v>
      </c>
      <c r="H6" s="71">
        <f t="shared" si="0"/>
        <v>0.05</v>
      </c>
      <c r="J6" s="556"/>
    </row>
    <row r="7" spans="1:11" s="91" customFormat="1" ht="14.25" x14ac:dyDescent="0.2">
      <c r="B7" s="460" t="s">
        <v>1223</v>
      </c>
      <c r="C7" s="534">
        <v>0.04</v>
      </c>
      <c r="D7" s="534">
        <v>0.04</v>
      </c>
      <c r="E7" s="534">
        <v>0.04</v>
      </c>
      <c r="F7" s="534">
        <v>0.04</v>
      </c>
      <c r="G7" s="534">
        <v>0.02</v>
      </c>
      <c r="H7" s="534">
        <v>0.04</v>
      </c>
      <c r="J7" s="556"/>
    </row>
    <row r="8" spans="1:11" s="91" customFormat="1" ht="14.25" x14ac:dyDescent="0.2">
      <c r="B8" s="1007" t="s">
        <v>1229</v>
      </c>
      <c r="C8" s="534">
        <v>0.01</v>
      </c>
      <c r="D8" s="534">
        <v>0.01</v>
      </c>
      <c r="E8" s="534">
        <v>0.01</v>
      </c>
      <c r="F8" s="534">
        <v>0.01</v>
      </c>
      <c r="G8" s="534">
        <v>5.0000000000000001E-3</v>
      </c>
      <c r="H8" s="534">
        <v>0.01</v>
      </c>
      <c r="J8" s="556"/>
    </row>
    <row r="9" spans="1:11" s="91" customFormat="1" ht="6" customHeight="1" x14ac:dyDescent="0.2">
      <c r="B9" s="556"/>
      <c r="C9" s="556"/>
      <c r="D9" s="556"/>
      <c r="E9" s="556"/>
      <c r="F9" s="556"/>
      <c r="G9" s="556"/>
      <c r="H9" s="556"/>
      <c r="I9" s="556"/>
      <c r="J9" s="556"/>
    </row>
    <row r="10" spans="1:11" s="91" customFormat="1" ht="15.75" customHeight="1" x14ac:dyDescent="0.2">
      <c r="B10" s="460" t="s">
        <v>1530</v>
      </c>
      <c r="C10" s="460"/>
      <c r="D10" s="460"/>
      <c r="E10" s="460"/>
      <c r="F10" s="460"/>
      <c r="G10" s="460"/>
      <c r="H10" s="556"/>
      <c r="I10" s="556"/>
      <c r="J10" s="556"/>
    </row>
    <row r="11" spans="1:11" s="91" customFormat="1" ht="15.75" customHeight="1" x14ac:dyDescent="0.2">
      <c r="B11" s="556"/>
      <c r="C11" s="534">
        <v>0.5</v>
      </c>
      <c r="D11" s="534">
        <v>0.5</v>
      </c>
      <c r="E11" s="534">
        <v>0.5</v>
      </c>
      <c r="F11" s="534">
        <v>0.5</v>
      </c>
      <c r="G11" s="534">
        <v>0.25</v>
      </c>
      <c r="H11" s="911">
        <f>C11</f>
        <v>0.5</v>
      </c>
      <c r="I11" s="556"/>
      <c r="J11" s="556"/>
    </row>
    <row r="12" spans="1:11" s="91" customFormat="1" ht="14.25" x14ac:dyDescent="0.2">
      <c r="B12" s="683" t="s">
        <v>1205</v>
      </c>
      <c r="C12" s="461"/>
      <c r="D12" s="461"/>
      <c r="E12" s="461"/>
      <c r="F12" s="461"/>
      <c r="G12" s="461"/>
      <c r="H12" s="461"/>
      <c r="J12" s="425"/>
      <c r="K12" s="535"/>
    </row>
    <row r="13" spans="1:11" s="91" customFormat="1" ht="14.25" x14ac:dyDescent="0.2">
      <c r="C13" s="534">
        <v>0.8</v>
      </c>
      <c r="D13" s="534">
        <v>0.8</v>
      </c>
      <c r="E13" s="534">
        <v>0.8</v>
      </c>
      <c r="F13" s="534">
        <v>0.8</v>
      </c>
      <c r="G13" s="534">
        <v>0.9</v>
      </c>
      <c r="H13" s="534">
        <v>0.8</v>
      </c>
      <c r="J13" s="425"/>
    </row>
    <row r="14" spans="1:11" s="91" customFormat="1" ht="14.25" x14ac:dyDescent="0.2">
      <c r="B14" s="682" t="s">
        <v>1206</v>
      </c>
      <c r="C14" s="462"/>
      <c r="D14" s="462"/>
      <c r="E14" s="462"/>
      <c r="F14" s="462"/>
      <c r="G14" s="462"/>
      <c r="H14" s="462"/>
      <c r="J14" s="425"/>
    </row>
    <row r="15" spans="1:11" s="91" customFormat="1" ht="14.25" x14ac:dyDescent="0.2">
      <c r="C15" s="1010">
        <f>1-C13</f>
        <v>0.19999999999999996</v>
      </c>
      <c r="D15" s="1010">
        <f t="shared" ref="D15:H15" si="3">1-D13</f>
        <v>0.19999999999999996</v>
      </c>
      <c r="E15" s="1010">
        <f t="shared" si="3"/>
        <v>0.19999999999999996</v>
      </c>
      <c r="F15" s="1010">
        <f t="shared" ref="F15" si="4">1-F13</f>
        <v>0.19999999999999996</v>
      </c>
      <c r="G15" s="1010">
        <f t="shared" si="3"/>
        <v>9.9999999999999978E-2</v>
      </c>
      <c r="H15" s="1010">
        <f t="shared" si="3"/>
        <v>0.19999999999999996</v>
      </c>
      <c r="J15" s="425"/>
    </row>
    <row r="16" spans="1:11" ht="21" customHeight="1" x14ac:dyDescent="0.25">
      <c r="J16" s="425"/>
    </row>
    <row r="17" spans="1:10" x14ac:dyDescent="0.25">
      <c r="B17" s="492" t="s">
        <v>1220</v>
      </c>
      <c r="C17" s="191">
        <f>PDOH!H359</f>
        <v>4746494.0952466419</v>
      </c>
      <c r="D17" s="191">
        <f>PDOH!I359</f>
        <v>4746494.0952466419</v>
      </c>
      <c r="E17" s="191">
        <f>PDOH!J359</f>
        <v>4746494.0952466419</v>
      </c>
      <c r="F17" s="191">
        <f>PDOH!K359</f>
        <v>2464491.9852779023</v>
      </c>
      <c r="G17" s="191">
        <f>PDOH!L359</f>
        <v>4359677.440404539</v>
      </c>
      <c r="H17" s="191">
        <f>PDOH!M359</f>
        <v>4746494.0952466419</v>
      </c>
      <c r="J17" s="425"/>
    </row>
    <row r="18" spans="1:10" x14ac:dyDescent="0.25">
      <c r="B18" s="459" t="s">
        <v>1111</v>
      </c>
      <c r="C18" s="184">
        <f t="shared" ref="C18:H18" si="5">C5*C17</f>
        <v>474649.40952466422</v>
      </c>
      <c r="D18" s="184">
        <f t="shared" si="5"/>
        <v>474649.40952466422</v>
      </c>
      <c r="E18" s="184">
        <f t="shared" si="5"/>
        <v>474649.40952466422</v>
      </c>
      <c r="F18" s="184">
        <f t="shared" si="5"/>
        <v>246449.19852779026</v>
      </c>
      <c r="G18" s="184">
        <f t="shared" si="5"/>
        <v>261580.64642427233</v>
      </c>
      <c r="H18" s="184">
        <f t="shared" si="5"/>
        <v>474649.40952466422</v>
      </c>
      <c r="J18" s="425"/>
    </row>
    <row r="19" spans="1:10" x14ac:dyDescent="0.25">
      <c r="B19" s="557" t="s">
        <v>1224</v>
      </c>
      <c r="C19" s="559">
        <f>C26+C27+C28</f>
        <v>237324.70476233211</v>
      </c>
      <c r="D19" s="559">
        <f t="shared" ref="D19:H19" si="6">D26+D27+D28</f>
        <v>237324.70476233211</v>
      </c>
      <c r="E19" s="559">
        <f t="shared" si="6"/>
        <v>237324.70476233211</v>
      </c>
      <c r="F19" s="559">
        <f t="shared" si="6"/>
        <v>123224.59926389511</v>
      </c>
      <c r="G19" s="559">
        <f t="shared" si="6"/>
        <v>108991.93601011348</v>
      </c>
      <c r="H19" s="559">
        <f t="shared" si="6"/>
        <v>237324.70476233211</v>
      </c>
      <c r="J19" s="425"/>
    </row>
    <row r="20" spans="1:10" x14ac:dyDescent="0.25">
      <c r="B20" s="460" t="s">
        <v>1112</v>
      </c>
      <c r="C20" s="558">
        <f t="shared" ref="C20:H20" si="7">C17*C7</f>
        <v>189859.76380986569</v>
      </c>
      <c r="D20" s="558">
        <f t="shared" si="7"/>
        <v>189859.76380986569</v>
      </c>
      <c r="E20" s="558">
        <f t="shared" si="7"/>
        <v>189859.76380986569</v>
      </c>
      <c r="F20" s="558">
        <f t="shared" si="7"/>
        <v>98579.6794111161</v>
      </c>
      <c r="G20" s="558">
        <f t="shared" si="7"/>
        <v>87193.548808090782</v>
      </c>
      <c r="H20" s="558">
        <f t="shared" si="7"/>
        <v>189859.76380986569</v>
      </c>
      <c r="J20" s="425"/>
    </row>
    <row r="21" spans="1:10" x14ac:dyDescent="0.25">
      <c r="B21" s="683" t="s">
        <v>1113</v>
      </c>
      <c r="C21" s="191">
        <f t="shared" ref="C21:H21" si="8">C13*C17*C8</f>
        <v>37971.952761973138</v>
      </c>
      <c r="D21" s="191">
        <f t="shared" si="8"/>
        <v>37971.952761973138</v>
      </c>
      <c r="E21" s="191">
        <f t="shared" si="8"/>
        <v>37971.952761973138</v>
      </c>
      <c r="F21" s="191">
        <f t="shared" si="8"/>
        <v>19715.935882223221</v>
      </c>
      <c r="G21" s="191">
        <f t="shared" si="8"/>
        <v>19618.548481820428</v>
      </c>
      <c r="H21" s="191">
        <f t="shared" si="8"/>
        <v>37971.952761973138</v>
      </c>
      <c r="J21" s="425"/>
    </row>
    <row r="22" spans="1:10" x14ac:dyDescent="0.25">
      <c r="B22" s="682" t="s">
        <v>1114</v>
      </c>
      <c r="C22" s="191">
        <f t="shared" ref="C22:H22" si="9">C15*C8*C17</f>
        <v>9492.9881904932827</v>
      </c>
      <c r="D22" s="191">
        <f t="shared" si="9"/>
        <v>9492.9881904932827</v>
      </c>
      <c r="E22" s="191">
        <f t="shared" si="9"/>
        <v>9492.9881904932827</v>
      </c>
      <c r="F22" s="191">
        <f t="shared" si="9"/>
        <v>4928.9839705558034</v>
      </c>
      <c r="G22" s="191">
        <f t="shared" si="9"/>
        <v>2179.8387202022691</v>
      </c>
      <c r="H22" s="191">
        <f t="shared" si="9"/>
        <v>9492.9881904932827</v>
      </c>
      <c r="J22" s="425"/>
    </row>
    <row r="23" spans="1:10" hidden="1" x14ac:dyDescent="0.25">
      <c r="A23" s="782" t="s">
        <v>1393</v>
      </c>
      <c r="B23" s="492" t="s">
        <v>1220</v>
      </c>
      <c r="C23" s="191">
        <f>C17*C$29</f>
        <v>4746494.0952466419</v>
      </c>
      <c r="D23" s="191">
        <f t="shared" ref="D23:G23" si="10">D17*D$29</f>
        <v>4746494.0952466419</v>
      </c>
      <c r="E23" s="191">
        <f t="shared" si="10"/>
        <v>4746494.0952466419</v>
      </c>
      <c r="F23" s="191">
        <f t="shared" si="10"/>
        <v>2464491.9852779023</v>
      </c>
      <c r="G23" s="191">
        <f t="shared" si="10"/>
        <v>4359677.440404539</v>
      </c>
      <c r="H23" s="191">
        <f>PDOH!M359</f>
        <v>4746494.0952466419</v>
      </c>
      <c r="J23" s="425"/>
    </row>
    <row r="24" spans="1:10" hidden="1" x14ac:dyDescent="0.25">
      <c r="A24" s="782" t="s">
        <v>1393</v>
      </c>
      <c r="B24" s="459" t="s">
        <v>1111</v>
      </c>
      <c r="C24" s="184">
        <f t="shared" ref="C24:G28" si="11">C18*C$29</f>
        <v>474649.40952466422</v>
      </c>
      <c r="D24" s="184">
        <f t="shared" si="11"/>
        <v>474649.40952466422</v>
      </c>
      <c r="E24" s="184">
        <f t="shared" si="11"/>
        <v>474649.40952466422</v>
      </c>
      <c r="F24" s="184">
        <f t="shared" si="11"/>
        <v>246449.19852779026</v>
      </c>
      <c r="G24" s="184">
        <f t="shared" si="11"/>
        <v>261580.64642427233</v>
      </c>
      <c r="H24" s="588">
        <f>H5*H23*'Budget Choices Workings'!D34</f>
        <v>474649.40952466422</v>
      </c>
      <c r="J24" s="425"/>
    </row>
    <row r="25" spans="1:10" hidden="1" x14ac:dyDescent="0.25">
      <c r="A25" s="782" t="s">
        <v>1393</v>
      </c>
      <c r="B25" s="557" t="s">
        <v>1224</v>
      </c>
      <c r="C25" s="559">
        <f t="shared" si="11"/>
        <v>237324.70476233211</v>
      </c>
      <c r="D25" s="559">
        <f t="shared" si="11"/>
        <v>237324.70476233211</v>
      </c>
      <c r="E25" s="559">
        <f t="shared" si="11"/>
        <v>237324.70476233211</v>
      </c>
      <c r="F25" s="559">
        <f t="shared" si="11"/>
        <v>123224.59926389511</v>
      </c>
      <c r="G25" s="559">
        <f t="shared" si="11"/>
        <v>108991.93601011348</v>
      </c>
      <c r="H25" s="560">
        <f t="shared" ref="H25" si="12">H26+H27+H28</f>
        <v>237324.70476233211</v>
      </c>
      <c r="J25" s="425"/>
    </row>
    <row r="26" spans="1:10" hidden="1" x14ac:dyDescent="0.25">
      <c r="A26" s="782" t="s">
        <v>1393</v>
      </c>
      <c r="B26" s="460" t="s">
        <v>1112</v>
      </c>
      <c r="C26" s="558">
        <f t="shared" si="11"/>
        <v>189859.76380986569</v>
      </c>
      <c r="D26" s="558">
        <f t="shared" si="11"/>
        <v>189859.76380986569</v>
      </c>
      <c r="E26" s="558">
        <f t="shared" si="11"/>
        <v>189859.76380986569</v>
      </c>
      <c r="F26" s="558">
        <f t="shared" si="11"/>
        <v>98579.6794111161</v>
      </c>
      <c r="G26" s="558">
        <f>G20*G$29</f>
        <v>87193.548808090782</v>
      </c>
      <c r="H26" s="783">
        <f>H20*'Budget Choices Workings'!D35</f>
        <v>189859.76380986569</v>
      </c>
    </row>
    <row r="27" spans="1:10" hidden="1" x14ac:dyDescent="0.25">
      <c r="A27" s="782" t="s">
        <v>1393</v>
      </c>
      <c r="B27" s="683" t="s">
        <v>1113</v>
      </c>
      <c r="C27" s="191">
        <f>C21*C$29</f>
        <v>37971.952761973138</v>
      </c>
      <c r="D27" s="191">
        <f t="shared" si="11"/>
        <v>37971.952761973138</v>
      </c>
      <c r="E27" s="191">
        <f t="shared" si="11"/>
        <v>37971.952761973138</v>
      </c>
      <c r="F27" s="191">
        <f t="shared" si="11"/>
        <v>19715.935882223221</v>
      </c>
      <c r="G27" s="191">
        <f t="shared" si="11"/>
        <v>19618.548481820428</v>
      </c>
      <c r="H27" s="784">
        <f>H21*'Budget Choices Workings'!D36</f>
        <v>37971.952761973138</v>
      </c>
    </row>
    <row r="28" spans="1:10" hidden="1" x14ac:dyDescent="0.25">
      <c r="A28" s="782" t="s">
        <v>1393</v>
      </c>
      <c r="B28" s="682" t="s">
        <v>1114</v>
      </c>
      <c r="C28" s="191">
        <f>C22*C$29</f>
        <v>9492.9881904932827</v>
      </c>
      <c r="D28" s="191">
        <f t="shared" si="11"/>
        <v>9492.9881904932827</v>
      </c>
      <c r="E28" s="191">
        <f t="shared" si="11"/>
        <v>9492.9881904932827</v>
      </c>
      <c r="F28" s="191">
        <f t="shared" si="11"/>
        <v>4928.9839705558034</v>
      </c>
      <c r="G28" s="191">
        <f t="shared" si="11"/>
        <v>2179.8387202022691</v>
      </c>
      <c r="H28" s="784">
        <f>H22*'Budget Choices Workings'!D36</f>
        <v>9492.9881904932827</v>
      </c>
    </row>
    <row r="29" spans="1:10" x14ac:dyDescent="0.25">
      <c r="B29" s="714" t="s">
        <v>1359</v>
      </c>
      <c r="C29" s="534">
        <v>1</v>
      </c>
      <c r="D29" s="534">
        <v>1</v>
      </c>
      <c r="E29" s="534">
        <v>1</v>
      </c>
      <c r="F29" s="534">
        <v>1</v>
      </c>
      <c r="G29" s="69">
        <v>1</v>
      </c>
    </row>
    <row r="30" spans="1:10" x14ac:dyDescent="0.25">
      <c r="C30" s="568" t="s">
        <v>1132</v>
      </c>
      <c r="D30" s="569"/>
      <c r="F30" s="570" t="s">
        <v>1136</v>
      </c>
      <c r="G30" s="571"/>
    </row>
    <row r="31" spans="1:10" ht="30" x14ac:dyDescent="0.25">
      <c r="B31" s="494" t="s">
        <v>1133</v>
      </c>
      <c r="C31" s="505" t="s">
        <v>1077</v>
      </c>
      <c r="D31" s="510" t="s">
        <v>1131</v>
      </c>
      <c r="F31" s="505" t="s">
        <v>1077</v>
      </c>
      <c r="G31" s="536" t="s">
        <v>1131</v>
      </c>
    </row>
    <row r="32" spans="1:10" x14ac:dyDescent="0.25">
      <c r="B32" s="395" t="s">
        <v>1058</v>
      </c>
      <c r="C32" s="506">
        <v>0.1</v>
      </c>
      <c r="D32" s="507">
        <v>4</v>
      </c>
      <c r="F32" s="506">
        <v>0.1</v>
      </c>
      <c r="G32" s="507">
        <v>4</v>
      </c>
    </row>
    <row r="33" spans="2:7" x14ac:dyDescent="0.25">
      <c r="B33" s="395" t="s">
        <v>1059</v>
      </c>
      <c r="C33" s="70">
        <v>0.5</v>
      </c>
      <c r="D33" s="507">
        <v>6</v>
      </c>
      <c r="F33" s="70">
        <v>0.5</v>
      </c>
      <c r="G33" s="507">
        <v>6</v>
      </c>
    </row>
    <row r="34" spans="2:7" x14ac:dyDescent="0.25">
      <c r="B34" s="395" t="s">
        <v>1060</v>
      </c>
      <c r="C34" s="70">
        <v>0.32</v>
      </c>
      <c r="D34" s="507">
        <v>9</v>
      </c>
      <c r="F34" s="70">
        <v>0.32</v>
      </c>
      <c r="G34" s="507">
        <v>9</v>
      </c>
    </row>
    <row r="35" spans="2:7" x14ac:dyDescent="0.25">
      <c r="B35" s="395" t="s">
        <v>1061</v>
      </c>
      <c r="C35" s="70">
        <v>0.05</v>
      </c>
      <c r="D35" s="507">
        <v>12</v>
      </c>
      <c r="F35" s="70">
        <v>0.05</v>
      </c>
      <c r="G35" s="507">
        <v>12</v>
      </c>
    </row>
    <row r="36" spans="2:7" x14ac:dyDescent="0.25">
      <c r="B36" s="395" t="s">
        <v>1062</v>
      </c>
      <c r="C36" s="508">
        <v>0.03</v>
      </c>
      <c r="D36" s="509">
        <v>14</v>
      </c>
      <c r="F36" s="508">
        <v>0.03</v>
      </c>
      <c r="G36" s="509">
        <v>14</v>
      </c>
    </row>
    <row r="37" spans="2:7" x14ac:dyDescent="0.25">
      <c r="B37" s="354"/>
      <c r="C37" s="504">
        <f>SUM(C32:C36)</f>
        <v>1</v>
      </c>
      <c r="D37" s="438"/>
      <c r="F37" s="504">
        <f>SUM(F32:F36)</f>
        <v>1</v>
      </c>
    </row>
    <row r="39" spans="2:7" x14ac:dyDescent="0.25">
      <c r="C39" s="544" t="s">
        <v>1137</v>
      </c>
      <c r="D39" s="511"/>
      <c r="F39" s="545" t="s">
        <v>1138</v>
      </c>
      <c r="G39" s="609"/>
    </row>
    <row r="40" spans="2:7" ht="25.5" x14ac:dyDescent="0.25">
      <c r="C40" s="505" t="s">
        <v>1077</v>
      </c>
      <c r="D40" s="536" t="s">
        <v>1131</v>
      </c>
      <c r="F40" s="505" t="s">
        <v>1077</v>
      </c>
      <c r="G40" s="536" t="s">
        <v>1131</v>
      </c>
    </row>
    <row r="41" spans="2:7" x14ac:dyDescent="0.25">
      <c r="B41" s="395" t="s">
        <v>1058</v>
      </c>
      <c r="C41" s="506">
        <v>0.1</v>
      </c>
      <c r="D41" s="507">
        <v>4</v>
      </c>
      <c r="F41" s="506">
        <v>0.1</v>
      </c>
      <c r="G41" s="507">
        <v>4</v>
      </c>
    </row>
    <row r="42" spans="2:7" x14ac:dyDescent="0.25">
      <c r="B42" s="395" t="s">
        <v>1059</v>
      </c>
      <c r="C42" s="70">
        <v>0.5</v>
      </c>
      <c r="D42" s="507">
        <v>6</v>
      </c>
      <c r="F42" s="70">
        <v>0.5</v>
      </c>
      <c r="G42" s="507">
        <v>6</v>
      </c>
    </row>
    <row r="43" spans="2:7" x14ac:dyDescent="0.25">
      <c r="B43" s="395" t="s">
        <v>1060</v>
      </c>
      <c r="C43" s="70">
        <v>0.32</v>
      </c>
      <c r="D43" s="507">
        <v>9</v>
      </c>
      <c r="F43" s="70">
        <v>0.32</v>
      </c>
      <c r="G43" s="507">
        <v>9</v>
      </c>
    </row>
    <row r="44" spans="2:7" x14ac:dyDescent="0.25">
      <c r="B44" s="395" t="s">
        <v>1061</v>
      </c>
      <c r="C44" s="70">
        <v>0.05</v>
      </c>
      <c r="D44" s="507">
        <v>12</v>
      </c>
      <c r="F44" s="70">
        <v>0.05</v>
      </c>
      <c r="G44" s="507">
        <v>12</v>
      </c>
    </row>
    <row r="45" spans="2:7" x14ac:dyDescent="0.25">
      <c r="B45" s="395" t="s">
        <v>1062</v>
      </c>
      <c r="C45" s="508">
        <v>0.03</v>
      </c>
      <c r="D45" s="509">
        <v>14</v>
      </c>
      <c r="F45" s="508">
        <v>0.03</v>
      </c>
      <c r="G45" s="509">
        <v>14</v>
      </c>
    </row>
    <row r="46" spans="2:7" x14ac:dyDescent="0.25">
      <c r="C46" s="504">
        <f>SUM(C41:C45)</f>
        <v>1</v>
      </c>
      <c r="F46" s="504">
        <f>SUM(F41:F45)</f>
        <v>1</v>
      </c>
      <c r="G46" s="608"/>
    </row>
  </sheetData>
  <mergeCells count="1">
    <mergeCell ref="C1:E1"/>
  </mergeCells>
  <conditionalFormatting sqref="G29">
    <cfRule type="expression" dxfId="34" priority="1">
      <formula>G29&gt;C29</formula>
    </cfRule>
  </conditionalFormatting>
  <pageMargins left="0.7" right="0.7" top="0.75" bottom="0.75" header="0.3" footer="0.3"/>
  <pageSetup paperSize="9" orientation="portrait" horizontalDpi="0" verticalDpi="0"/>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A3:IA98"/>
  <sheetViews>
    <sheetView showGridLines="0" tabSelected="1" workbookViewId="0">
      <pane xSplit="2" ySplit="3" topLeftCell="C4" activePane="bottomRight" state="frozen"/>
      <selection activeCell="H37" sqref="H37"/>
      <selection pane="topRight" activeCell="H37" sqref="H37"/>
      <selection pane="bottomLeft" activeCell="H37" sqref="H37"/>
      <selection pane="bottomRight" activeCell="H37" sqref="H37"/>
    </sheetView>
  </sheetViews>
  <sheetFormatPr defaultColWidth="8.85546875" defaultRowHeight="15" outlineLevelRow="1" x14ac:dyDescent="0.25"/>
  <cols>
    <col min="1" max="1" width="2.85546875" style="106" customWidth="1"/>
    <col min="2" max="2" width="45.85546875" style="478" customWidth="1"/>
    <col min="3" max="3" width="12.42578125" style="478" customWidth="1"/>
    <col min="4" max="6" width="10.140625" style="106" customWidth="1"/>
    <col min="7" max="7" width="12.28515625" style="106" customWidth="1"/>
    <col min="8" max="9" width="10.140625" style="106" customWidth="1"/>
    <col min="10" max="14" width="11.28515625" style="106" customWidth="1"/>
    <col min="15" max="15" width="8.85546875" style="106"/>
    <col min="16" max="20" width="4" style="551" hidden="1" customWidth="1"/>
    <col min="21" max="21" width="0" style="551" hidden="1" customWidth="1"/>
    <col min="22" max="16384" width="8.85546875" style="106"/>
  </cols>
  <sheetData>
    <row r="3" spans="1:235" ht="51" x14ac:dyDescent="0.25">
      <c r="C3" s="479"/>
      <c r="D3" s="440" t="s">
        <v>1123</v>
      </c>
      <c r="E3" s="440" t="s">
        <v>783</v>
      </c>
      <c r="F3" s="440" t="s">
        <v>1118</v>
      </c>
      <c r="G3" s="440" t="s">
        <v>1116</v>
      </c>
      <c r="H3" s="440" t="s">
        <v>1070</v>
      </c>
      <c r="I3" s="440" t="s">
        <v>1126</v>
      </c>
      <c r="J3" s="498" t="s">
        <v>1341</v>
      </c>
      <c r="K3" s="498"/>
      <c r="L3" s="498"/>
      <c r="M3" s="498"/>
      <c r="N3" s="498"/>
      <c r="P3" s="551" t="s">
        <v>1218</v>
      </c>
    </row>
    <row r="4" spans="1:235" x14ac:dyDescent="0.25">
      <c r="B4" s="95" t="s">
        <v>1198</v>
      </c>
      <c r="C4"/>
      <c r="D4" s="483"/>
      <c r="E4" s="572" t="s">
        <v>1239</v>
      </c>
      <c r="F4" s="572"/>
      <c r="G4" s="483"/>
      <c r="H4" s="483"/>
      <c r="I4" s="483"/>
      <c r="J4" s="484"/>
    </row>
    <row r="5" spans="1:235" ht="38.25" outlineLevel="1" x14ac:dyDescent="0.25">
      <c r="B5" s="483"/>
      <c r="C5" s="483"/>
      <c r="D5" s="483" t="s">
        <v>1238</v>
      </c>
      <c r="E5" s="543" t="s">
        <v>1199</v>
      </c>
      <c r="F5" s="543" t="s">
        <v>1200</v>
      </c>
      <c r="G5" s="701" t="s">
        <v>1348</v>
      </c>
      <c r="H5" s="483"/>
      <c r="I5" s="483"/>
      <c r="J5" s="484"/>
    </row>
    <row r="6" spans="1:235" outlineLevel="1" x14ac:dyDescent="0.25">
      <c r="B6" s="684" t="s">
        <v>1112</v>
      </c>
      <c r="C6" s="485"/>
      <c r="D6" s="120">
        <v>0</v>
      </c>
      <c r="E6" s="120">
        <v>7</v>
      </c>
      <c r="F6" s="231"/>
      <c r="G6" s="702">
        <v>0.5</v>
      </c>
      <c r="H6" s="483"/>
      <c r="I6" s="483"/>
      <c r="J6" s="484"/>
    </row>
    <row r="7" spans="1:235" outlineLevel="1" x14ac:dyDescent="0.25">
      <c r="B7" s="685" t="s">
        <v>1113</v>
      </c>
      <c r="C7" s="486"/>
      <c r="D7" s="120"/>
      <c r="E7" s="120">
        <v>14</v>
      </c>
      <c r="F7" s="231"/>
      <c r="G7" s="702">
        <v>0.2</v>
      </c>
      <c r="H7" s="483"/>
      <c r="I7" s="483"/>
      <c r="J7" s="484"/>
    </row>
    <row r="8" spans="1:235" outlineLevel="1" x14ac:dyDescent="0.25">
      <c r="B8" s="686" t="s">
        <v>1201</v>
      </c>
      <c r="C8" s="487"/>
      <c r="D8" s="120"/>
      <c r="E8" s="120"/>
      <c r="F8" s="231">
        <v>7</v>
      </c>
      <c r="G8" s="702">
        <v>1</v>
      </c>
      <c r="H8" s="483"/>
      <c r="I8" s="483"/>
      <c r="J8" s="484"/>
    </row>
    <row r="9" spans="1:235" outlineLevel="1" x14ac:dyDescent="0.25">
      <c r="B9" s="686" t="s">
        <v>1202</v>
      </c>
      <c r="C9" s="488"/>
      <c r="D9" s="120"/>
      <c r="E9" s="120"/>
      <c r="F9" s="231">
        <v>23</v>
      </c>
      <c r="G9" s="703">
        <v>1</v>
      </c>
      <c r="H9" s="483"/>
      <c r="I9" s="483"/>
      <c r="J9" s="549">
        <v>1</v>
      </c>
      <c r="K9" s="550">
        <v>2</v>
      </c>
      <c r="L9" s="550">
        <v>3</v>
      </c>
      <c r="M9" s="550">
        <v>4</v>
      </c>
      <c r="N9" s="550">
        <v>5</v>
      </c>
    </row>
    <row r="10" spans="1:235" x14ac:dyDescent="0.25">
      <c r="C10" s="479"/>
      <c r="D10" s="483"/>
      <c r="E10" s="483"/>
      <c r="F10" s="483"/>
      <c r="G10" s="483"/>
      <c r="H10" s="483"/>
      <c r="I10" s="483"/>
      <c r="J10" s="549">
        <f>INDEX('Acute Prevalence'!$D$32:$D$36,'Acute Treat'!J9)</f>
        <v>4</v>
      </c>
      <c r="K10" s="549">
        <f>INDEX('Acute Prevalence'!$D$32:$D$36,'Acute Treat'!K9)</f>
        <v>6</v>
      </c>
      <c r="L10" s="549">
        <f>INDEX('Acute Prevalence'!$D$32:$D$36,'Acute Treat'!L9)</f>
        <v>9</v>
      </c>
      <c r="M10" s="549">
        <f>INDEX('Acute Prevalence'!$D$32:$D$36,'Acute Treat'!M9)</f>
        <v>12</v>
      </c>
      <c r="N10" s="549">
        <f>INDEX('Acute Prevalence'!$D$32:$D$36,'Acute Treat'!N9)</f>
        <v>14</v>
      </c>
    </row>
    <row r="11" spans="1:235" s="474" customFormat="1" x14ac:dyDescent="0.25">
      <c r="B11" s="480" t="s">
        <v>1217</v>
      </c>
      <c r="C11" s="480"/>
      <c r="J11" s="474" t="s">
        <v>1058</v>
      </c>
      <c r="K11" s="474" t="s">
        <v>1059</v>
      </c>
      <c r="L11" s="474" t="s">
        <v>1060</v>
      </c>
      <c r="M11" s="474" t="s">
        <v>1061</v>
      </c>
      <c r="N11" s="474" t="s">
        <v>1062</v>
      </c>
      <c r="O11" s="468"/>
      <c r="P11" s="552"/>
      <c r="Q11" s="552"/>
      <c r="R11" s="552"/>
      <c r="S11" s="552"/>
      <c r="T11" s="552"/>
      <c r="U11" s="552"/>
      <c r="V11" s="468"/>
      <c r="W11" s="468"/>
      <c r="X11" s="468"/>
      <c r="Y11" s="468"/>
      <c r="Z11" s="468"/>
      <c r="AA11" s="468"/>
      <c r="AB11" s="468"/>
      <c r="AC11" s="468"/>
      <c r="AD11" s="468"/>
      <c r="AE11" s="468"/>
      <c r="AF11" s="468"/>
      <c r="AG11" s="468"/>
      <c r="AH11" s="468"/>
      <c r="AI11" s="468"/>
      <c r="AJ11" s="468"/>
      <c r="AK11" s="468"/>
      <c r="AL11" s="468"/>
      <c r="AM11" s="468"/>
      <c r="AN11" s="468"/>
      <c r="AO11" s="468"/>
      <c r="AP11" s="468"/>
      <c r="AQ11" s="468"/>
      <c r="AR11" s="468"/>
      <c r="AS11" s="468"/>
      <c r="AT11" s="468"/>
      <c r="AU11" s="468"/>
      <c r="AV11" s="468"/>
      <c r="AW11" s="468"/>
      <c r="AX11" s="468"/>
      <c r="AY11" s="468"/>
      <c r="AZ11" s="468"/>
      <c r="BA11" s="468"/>
      <c r="BB11" s="468"/>
      <c r="BC11" s="468"/>
      <c r="BD11" s="468"/>
      <c r="BE11" s="468"/>
      <c r="BF11" s="468"/>
      <c r="BG11" s="468"/>
      <c r="BH11" s="468"/>
      <c r="BI11" s="468"/>
      <c r="BJ11" s="468"/>
      <c r="BK11" s="468"/>
      <c r="BL11" s="468"/>
      <c r="BM11" s="468"/>
      <c r="BN11" s="468"/>
      <c r="BO11" s="468"/>
      <c r="BP11" s="468"/>
      <c r="BQ11" s="468"/>
      <c r="BR11" s="468"/>
      <c r="BS11" s="468"/>
      <c r="BT11" s="468"/>
      <c r="BU11" s="468"/>
      <c r="BV11" s="468"/>
      <c r="BW11" s="468"/>
      <c r="BX11" s="468"/>
      <c r="BY11" s="468"/>
      <c r="BZ11" s="468"/>
      <c r="CA11" s="468"/>
      <c r="CB11" s="468"/>
      <c r="CC11" s="468"/>
      <c r="CD11" s="468"/>
      <c r="CE11" s="468"/>
      <c r="CF11" s="468"/>
      <c r="CG11" s="468"/>
      <c r="CH11" s="468"/>
      <c r="CI11" s="468"/>
      <c r="CJ11" s="468"/>
      <c r="CK11" s="468"/>
      <c r="CL11" s="468"/>
      <c r="CM11" s="468"/>
      <c r="CN11" s="468"/>
      <c r="CO11" s="468"/>
      <c r="CP11" s="468"/>
      <c r="CQ11" s="468"/>
      <c r="CR11" s="468"/>
      <c r="CS11" s="468"/>
      <c r="CT11" s="468"/>
      <c r="CU11" s="468"/>
      <c r="CV11" s="468"/>
      <c r="CW11" s="468"/>
      <c r="CX11" s="468"/>
      <c r="CY11" s="468"/>
      <c r="CZ11" s="468"/>
      <c r="DA11" s="468"/>
      <c r="DB11" s="468"/>
      <c r="DC11" s="468"/>
      <c r="DD11" s="468"/>
      <c r="DE11" s="468"/>
      <c r="DF11" s="468"/>
      <c r="DG11" s="468"/>
      <c r="DH11" s="468"/>
      <c r="DI11" s="468"/>
      <c r="DJ11" s="468"/>
      <c r="DK11" s="468"/>
      <c r="DL11" s="468"/>
      <c r="DM11" s="468"/>
      <c r="DN11" s="468"/>
      <c r="DO11" s="468"/>
      <c r="DP11" s="468"/>
      <c r="DQ11" s="468"/>
      <c r="DR11" s="468"/>
      <c r="DS11" s="468"/>
      <c r="DT11" s="468"/>
      <c r="DU11" s="468"/>
      <c r="DV11" s="468"/>
      <c r="DW11" s="468"/>
      <c r="DX11" s="468"/>
      <c r="DY11" s="468"/>
      <c r="DZ11" s="468"/>
      <c r="EA11" s="468"/>
      <c r="EB11" s="468"/>
      <c r="EC11" s="468"/>
      <c r="ED11" s="468"/>
      <c r="EE11" s="468"/>
      <c r="EF11" s="468"/>
      <c r="EG11" s="468"/>
      <c r="EH11" s="468"/>
      <c r="EI11" s="468"/>
      <c r="EJ11" s="468"/>
      <c r="EK11" s="468"/>
      <c r="EL11" s="468"/>
      <c r="EM11" s="468"/>
      <c r="EN11" s="468"/>
      <c r="EO11" s="468"/>
      <c r="EP11" s="468"/>
      <c r="EQ11" s="468"/>
      <c r="ER11" s="468"/>
      <c r="ES11" s="468"/>
      <c r="ET11" s="468"/>
      <c r="EU11" s="468"/>
      <c r="EV11" s="468"/>
      <c r="EW11" s="468"/>
      <c r="EX11" s="468"/>
      <c r="EY11" s="468"/>
      <c r="EZ11" s="468"/>
      <c r="FA11" s="468"/>
      <c r="FB11" s="468"/>
      <c r="FC11" s="468"/>
      <c r="FD11" s="468"/>
      <c r="FE11" s="468"/>
      <c r="FF11" s="468"/>
      <c r="FG11" s="468"/>
      <c r="FH11" s="468"/>
      <c r="FI11" s="468"/>
      <c r="FJ11" s="468"/>
      <c r="FK11" s="468"/>
      <c r="FL11" s="468"/>
      <c r="FM11" s="468"/>
      <c r="FN11" s="468"/>
      <c r="FO11" s="468"/>
      <c r="FP11" s="468"/>
      <c r="FQ11" s="468"/>
      <c r="FR11" s="468"/>
      <c r="FS11" s="468"/>
      <c r="FT11" s="468"/>
      <c r="FU11" s="468"/>
      <c r="FV11" s="468"/>
      <c r="FW11" s="468"/>
      <c r="FX11" s="468"/>
      <c r="FY11" s="468"/>
      <c r="FZ11" s="468"/>
      <c r="GA11" s="468"/>
      <c r="GB11" s="468"/>
      <c r="GC11" s="468"/>
      <c r="GD11" s="468"/>
      <c r="GE11" s="468"/>
      <c r="GF11" s="468"/>
      <c r="GG11" s="468"/>
      <c r="GH11" s="468"/>
      <c r="GI11" s="468"/>
      <c r="GJ11" s="468"/>
      <c r="GK11" s="468"/>
      <c r="GL11" s="468"/>
      <c r="GM11" s="468"/>
      <c r="GN11" s="468"/>
      <c r="GO11" s="468"/>
      <c r="GP11" s="468"/>
      <c r="GQ11" s="468"/>
      <c r="GR11" s="468"/>
      <c r="GS11" s="468"/>
      <c r="GT11" s="468"/>
      <c r="GU11" s="468"/>
      <c r="GV11" s="468"/>
      <c r="GW11" s="468"/>
      <c r="GX11" s="468"/>
      <c r="GY11" s="468"/>
      <c r="GZ11" s="468"/>
      <c r="HA11" s="468"/>
      <c r="HB11" s="468"/>
      <c r="HC11" s="468"/>
      <c r="HD11" s="468"/>
      <c r="HE11" s="468"/>
      <c r="HF11" s="468"/>
      <c r="HG11" s="468"/>
      <c r="HH11" s="468"/>
      <c r="HI11" s="468"/>
      <c r="HJ11" s="468"/>
      <c r="HK11" s="468"/>
      <c r="HL11" s="468"/>
      <c r="HM11" s="468"/>
      <c r="HN11" s="468"/>
      <c r="HO11" s="468"/>
      <c r="HP11" s="468"/>
      <c r="HQ11" s="468"/>
      <c r="HR11" s="468"/>
      <c r="HS11" s="468"/>
      <c r="HT11" s="468"/>
      <c r="HU11" s="468"/>
      <c r="HV11" s="468"/>
      <c r="HW11" s="468"/>
      <c r="HX11" s="468"/>
      <c r="HY11" s="468"/>
      <c r="HZ11" s="468"/>
      <c r="IA11" s="468"/>
    </row>
    <row r="12" spans="1:235" hidden="1" outlineLevel="1" x14ac:dyDescent="0.25">
      <c r="A12" s="474"/>
      <c r="B12" s="369" t="s">
        <v>1232</v>
      </c>
      <c r="C12" s="106"/>
      <c r="D12" s="470">
        <v>1</v>
      </c>
      <c r="E12" s="471" t="s">
        <v>1121</v>
      </c>
      <c r="F12" s="561">
        <v>6.9</v>
      </c>
      <c r="G12" s="364" t="s">
        <v>1072</v>
      </c>
      <c r="H12" s="353" t="s">
        <v>1073</v>
      </c>
      <c r="I12" s="364">
        <v>30</v>
      </c>
      <c r="J12" s="223">
        <f>$F$12/'Med-Prices'!$F$31*'Med-Prices'!$H$31*P12*$I$12*$D$12</f>
        <v>40.572000000000003</v>
      </c>
      <c r="K12" s="223">
        <f>$F$12/'Med-Prices'!$F$31*'Med-Prices'!$H$31*Q12*$I$12*$D$12</f>
        <v>60.857999999999997</v>
      </c>
      <c r="L12" s="223">
        <f>$F$12/'Med-Prices'!$F$31*'Med-Prices'!$H$31*R12*$I$12*$D$12</f>
        <v>91.286999999999992</v>
      </c>
      <c r="M12" s="223">
        <f>$F$12/'Med-Prices'!$F$31*'Med-Prices'!$H$31*S12*$I$12*$D$12</f>
        <v>121.71599999999999</v>
      </c>
      <c r="N12" s="223">
        <f>$F$12/'Med-Prices'!$F$31*'Med-Prices'!$H$31*T12*$I$12*$D$12</f>
        <v>142.00200000000001</v>
      </c>
      <c r="P12" s="551">
        <f>IF($G12="Per kg",J$10,1)</f>
        <v>4</v>
      </c>
      <c r="Q12" s="551">
        <f t="shared" ref="Q12:T12" si="0">IF($G12="Per kg",K10,1)</f>
        <v>6</v>
      </c>
      <c r="R12" s="551">
        <f t="shared" si="0"/>
        <v>9</v>
      </c>
      <c r="S12" s="551">
        <f t="shared" si="0"/>
        <v>12</v>
      </c>
      <c r="T12" s="551">
        <f t="shared" si="0"/>
        <v>14</v>
      </c>
    </row>
    <row r="13" spans="1:235" hidden="1" outlineLevel="1" x14ac:dyDescent="0.25">
      <c r="A13" s="474"/>
      <c r="B13" s="369" t="s">
        <v>1230</v>
      </c>
      <c r="C13" s="106"/>
      <c r="D13" s="470">
        <v>1</v>
      </c>
      <c r="E13" s="471" t="s">
        <v>1121</v>
      </c>
      <c r="F13" s="561">
        <v>6.8</v>
      </c>
      <c r="G13" s="364" t="s">
        <v>1072</v>
      </c>
      <c r="H13" s="353" t="s">
        <v>1073</v>
      </c>
      <c r="I13" s="364">
        <v>30</v>
      </c>
      <c r="J13" s="499">
        <f>$F$13/'Med-Prices'!$F$34*'Med-Prices'!$H$34*P13*$I$13*$D$13</f>
        <v>22.415519999999997</v>
      </c>
      <c r="K13" s="499">
        <f>$F$13/'Med-Prices'!$F$34*'Med-Prices'!$H$34*Q13*$I$13*$D$13</f>
        <v>33.623280000000001</v>
      </c>
      <c r="L13" s="499">
        <f>$F$13/'Med-Prices'!$F$34*'Med-Prices'!$H$34*R13*$I$13*$D$13</f>
        <v>50.434919999999998</v>
      </c>
      <c r="M13" s="499">
        <f>$F$13/'Med-Prices'!$F$34*'Med-Prices'!$H$34*S13*$I$13*$D$13</f>
        <v>67.246560000000002</v>
      </c>
      <c r="N13" s="499">
        <f>$F$13/'Med-Prices'!$F$34*'Med-Prices'!$H$34*T13*$I$13*$D$13</f>
        <v>78.454319999999996</v>
      </c>
      <c r="P13" s="551">
        <f>IF($G13="Per kg",J$10,1)</f>
        <v>4</v>
      </c>
      <c r="Q13" s="551">
        <f t="shared" ref="Q13:T13" si="1">IF($G13="Per kg",K$10,1)</f>
        <v>6</v>
      </c>
      <c r="R13" s="551">
        <f t="shared" si="1"/>
        <v>9</v>
      </c>
      <c r="S13" s="551">
        <f t="shared" si="1"/>
        <v>12</v>
      </c>
      <c r="T13" s="551">
        <f t="shared" si="1"/>
        <v>14</v>
      </c>
    </row>
    <row r="14" spans="1:235" hidden="1" outlineLevel="1" x14ac:dyDescent="0.25">
      <c r="A14" s="474"/>
      <c r="B14" s="369" t="s">
        <v>1350</v>
      </c>
      <c r="C14" s="106"/>
      <c r="D14" s="470">
        <v>0.25</v>
      </c>
      <c r="E14" s="471" t="s">
        <v>1228</v>
      </c>
      <c r="I14" s="364">
        <v>30</v>
      </c>
      <c r="J14" s="499">
        <f>$D$14*$I$14*'Med-Prices'!$H$29*$C$97</f>
        <v>28.75</v>
      </c>
      <c r="K14" s="499">
        <f>$D$14*$I$14*'Med-Prices'!$H$29*$C$97</f>
        <v>28.75</v>
      </c>
      <c r="L14" s="499">
        <f>$D$14*$I$14*'Med-Prices'!$H$29*$C$97</f>
        <v>28.75</v>
      </c>
      <c r="M14" s="499">
        <f>$D$14*$I$14*'Med-Prices'!$H$29*$C$97</f>
        <v>28.75</v>
      </c>
      <c r="N14" s="499">
        <f>$D$14*$I$14*'Med-Prices'!$H$29*$C$97</f>
        <v>28.75</v>
      </c>
    </row>
    <row r="15" spans="1:235" ht="15.75" collapsed="1" thickBot="1" x14ac:dyDescent="0.3">
      <c r="A15" s="474"/>
      <c r="B15" s="106"/>
      <c r="C15" s="106"/>
      <c r="J15" s="500">
        <f>SUM(J12:J14)</f>
        <v>91.737520000000004</v>
      </c>
      <c r="K15" s="500">
        <f t="shared" ref="K15:N15" si="2">SUM(K12:K14)</f>
        <v>123.23128</v>
      </c>
      <c r="L15" s="500">
        <f t="shared" si="2"/>
        <v>170.47191999999998</v>
      </c>
      <c r="M15" s="500">
        <f t="shared" si="2"/>
        <v>217.71256</v>
      </c>
      <c r="N15" s="500">
        <f t="shared" si="2"/>
        <v>249.20632000000001</v>
      </c>
    </row>
    <row r="16" spans="1:235" ht="15.75" thickTop="1" x14ac:dyDescent="0.25">
      <c r="A16" s="474"/>
      <c r="B16" s="369"/>
      <c r="C16" s="106"/>
      <c r="J16" s="532">
        <f>INDEX('Acute Prevalence'!$G$32:$G$36,'Acute Treat'!J9)</f>
        <v>4</v>
      </c>
      <c r="K16" s="532">
        <f>INDEX('Acute Prevalence'!$G$32:$G$36,'Acute Treat'!K9)</f>
        <v>6</v>
      </c>
      <c r="L16" s="532">
        <f>INDEX('Acute Prevalence'!$G$32:$G$36,'Acute Treat'!L9)</f>
        <v>9</v>
      </c>
      <c r="M16" s="532">
        <f>INDEX('Acute Prevalence'!$G$32:$G$36,'Acute Treat'!M9)</f>
        <v>12</v>
      </c>
      <c r="N16" s="532">
        <f>INDEX('Acute Prevalence'!$G$32:$G$36,'Acute Treat'!N9)</f>
        <v>14</v>
      </c>
    </row>
    <row r="17" spans="1:235" s="367" customFormat="1" x14ac:dyDescent="0.25">
      <c r="B17" s="481" t="s">
        <v>1104</v>
      </c>
      <c r="C17" s="460"/>
      <c r="J17" s="495" t="s">
        <v>1058</v>
      </c>
      <c r="K17" s="495" t="s">
        <v>1059</v>
      </c>
      <c r="L17" s="495" t="s">
        <v>1060</v>
      </c>
      <c r="M17" s="495" t="s">
        <v>1061</v>
      </c>
      <c r="N17" s="495" t="s">
        <v>1062</v>
      </c>
      <c r="O17" s="106"/>
      <c r="P17" s="551"/>
      <c r="Q17" s="551"/>
      <c r="R17" s="551"/>
      <c r="S17" s="551"/>
      <c r="T17" s="551"/>
      <c r="U17" s="551"/>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row>
    <row r="18" spans="1:235" hidden="1" outlineLevel="1" x14ac:dyDescent="0.25">
      <c r="A18" s="367"/>
      <c r="B18" s="476" t="s">
        <v>1105</v>
      </c>
    </row>
    <row r="19" spans="1:235" hidden="1" outlineLevel="1" x14ac:dyDescent="0.25">
      <c r="A19" s="367"/>
      <c r="B19" s="221" t="s">
        <v>1101</v>
      </c>
      <c r="C19" s="1137" t="s">
        <v>1237</v>
      </c>
      <c r="D19" s="562">
        <v>0.25</v>
      </c>
      <c r="E19" s="563" t="s">
        <v>1121</v>
      </c>
      <c r="F19" s="364">
        <v>15</v>
      </c>
      <c r="G19" s="364" t="s">
        <v>1072</v>
      </c>
      <c r="H19" s="353" t="s">
        <v>1073</v>
      </c>
      <c r="I19" s="364">
        <v>80</v>
      </c>
      <c r="J19" s="499">
        <f>$F$19/'Med-Prices'!$F$36*'Med-Prices'!$H$36*P19*$I$19*$D$19</f>
        <v>85.706666666666663</v>
      </c>
      <c r="K19" s="499">
        <f>$F$19/'Med-Prices'!$F$36*'Med-Prices'!$H$36*Q19*$I$19*$D$19</f>
        <v>128.55999999999997</v>
      </c>
      <c r="L19" s="499">
        <f>$F$19/'Med-Prices'!$F$36*'Med-Prices'!$H$36*R19*$I$19*$D$19</f>
        <v>192.83999999999997</v>
      </c>
      <c r="M19" s="499">
        <f>$F$19/'Med-Prices'!$F$36*'Med-Prices'!$H$36*S19*$I$19*$D$19</f>
        <v>257.11999999999995</v>
      </c>
      <c r="N19" s="499">
        <f>$F$19/'Med-Prices'!$F$36*'Med-Prices'!$H$36*T19*$I$19*$D$19</f>
        <v>299.9733333333333</v>
      </c>
      <c r="P19" s="551">
        <f>IF($G19="Per kg",J$16,1)</f>
        <v>4</v>
      </c>
      <c r="Q19" s="551">
        <f t="shared" ref="Q19:T22" si="3">IF($G19="Per kg",K$16,1)</f>
        <v>6</v>
      </c>
      <c r="R19" s="551">
        <f t="shared" si="3"/>
        <v>9</v>
      </c>
      <c r="S19" s="551">
        <f t="shared" si="3"/>
        <v>12</v>
      </c>
      <c r="T19" s="551">
        <f t="shared" si="3"/>
        <v>14</v>
      </c>
    </row>
    <row r="20" spans="1:235" hidden="1" outlineLevel="1" x14ac:dyDescent="0.25">
      <c r="A20" s="367"/>
      <c r="B20" s="221" t="s">
        <v>1106</v>
      </c>
      <c r="C20" s="1137"/>
      <c r="D20" s="470">
        <v>0.25</v>
      </c>
      <c r="E20" s="471" t="s">
        <v>1121</v>
      </c>
      <c r="F20" s="374">
        <v>15</v>
      </c>
      <c r="G20" s="364" t="s">
        <v>1072</v>
      </c>
      <c r="H20" s="353" t="s">
        <v>1073</v>
      </c>
      <c r="I20" s="364">
        <v>80</v>
      </c>
      <c r="J20" s="499">
        <f>$F$20/'Med-Prices'!$F$37*'Med-Prices'!$H$37*P20*$I$20*$D$20</f>
        <v>85.333333333333329</v>
      </c>
      <c r="K20" s="499">
        <f>$F$20/'Med-Prices'!$F$37*'Med-Prices'!$H$37*Q20*$I$20*$D$20</f>
        <v>128</v>
      </c>
      <c r="L20" s="499">
        <f>$F$20/'Med-Prices'!$F$37*'Med-Prices'!$H$37*R20*$I$20*$D$20</f>
        <v>192</v>
      </c>
      <c r="M20" s="499">
        <f>$F$20/'Med-Prices'!$F$37*'Med-Prices'!$H$37*S20*$I$20*$D$20</f>
        <v>256</v>
      </c>
      <c r="N20" s="499">
        <f>$F$20/'Med-Prices'!$F$37*'Med-Prices'!$H$37*T20*$I$20*$D$20</f>
        <v>298.66666666666669</v>
      </c>
      <c r="P20" s="551">
        <f t="shared" ref="P20:P22" si="4">IF($G20="Per kg",J$16,1)</f>
        <v>4</v>
      </c>
      <c r="Q20" s="551">
        <f t="shared" si="3"/>
        <v>6</v>
      </c>
      <c r="R20" s="551">
        <f t="shared" si="3"/>
        <v>9</v>
      </c>
      <c r="S20" s="551">
        <f t="shared" si="3"/>
        <v>12</v>
      </c>
      <c r="T20" s="551">
        <f t="shared" si="3"/>
        <v>14</v>
      </c>
    </row>
    <row r="21" spans="1:235" hidden="1" outlineLevel="1" x14ac:dyDescent="0.25">
      <c r="A21" s="367"/>
      <c r="B21" s="221" t="s">
        <v>1050</v>
      </c>
      <c r="C21" s="1137"/>
      <c r="D21" s="470">
        <v>0.25</v>
      </c>
      <c r="E21" s="471" t="s">
        <v>1121</v>
      </c>
      <c r="F21" s="561">
        <v>12.4</v>
      </c>
      <c r="G21" s="364" t="s">
        <v>1072</v>
      </c>
      <c r="H21" s="353" t="s">
        <v>1073</v>
      </c>
      <c r="I21" s="364">
        <v>80</v>
      </c>
      <c r="J21" s="499">
        <f>$F$21/'Med-Prices'!$F$31*'Med-Prices'!$H$31*P21*$I$21*$D$21</f>
        <v>48.608000000000004</v>
      </c>
      <c r="K21" s="499">
        <f>$F$21/'Med-Prices'!$F$31*'Med-Prices'!$H$31*Q21*$I$21*$D$21</f>
        <v>72.912000000000006</v>
      </c>
      <c r="L21" s="499">
        <f>$F$21/'Med-Prices'!$F$31*'Med-Prices'!$H$31*R21*$I$21*$D$21</f>
        <v>109.36799999999999</v>
      </c>
      <c r="M21" s="499">
        <f>$F$21/'Med-Prices'!$F$31*'Med-Prices'!$H$31*S21*$I$21*$D$21</f>
        <v>145.82400000000001</v>
      </c>
      <c r="N21" s="499">
        <f>$F$21/'Med-Prices'!$F$31*'Med-Prices'!$H$31*T21*$I$21*$D$21</f>
        <v>170.12800000000001</v>
      </c>
      <c r="P21" s="551">
        <f t="shared" si="4"/>
        <v>4</v>
      </c>
      <c r="Q21" s="551">
        <f t="shared" si="3"/>
        <v>6</v>
      </c>
      <c r="R21" s="551">
        <f t="shared" si="3"/>
        <v>9</v>
      </c>
      <c r="S21" s="551">
        <f t="shared" si="3"/>
        <v>12</v>
      </c>
      <c r="T21" s="551">
        <f t="shared" si="3"/>
        <v>14</v>
      </c>
    </row>
    <row r="22" spans="1:235" hidden="1" outlineLevel="1" x14ac:dyDescent="0.25">
      <c r="A22" s="367"/>
      <c r="B22" s="221" t="s">
        <v>1231</v>
      </c>
      <c r="C22" s="1137"/>
      <c r="D22" s="470">
        <v>0.25</v>
      </c>
      <c r="E22" s="471" t="s">
        <v>1121</v>
      </c>
      <c r="F22" s="561">
        <v>12.7</v>
      </c>
      <c r="G22" s="364" t="s">
        <v>1117</v>
      </c>
      <c r="H22" s="353" t="s">
        <v>1073</v>
      </c>
      <c r="I22" s="364">
        <v>80</v>
      </c>
      <c r="J22" s="223">
        <f>$F$22/'Med-Prices'!$F$34*'Med-Prices'!$H$34*P22*$I$22*$D$22</f>
        <v>6.9773800000000001</v>
      </c>
      <c r="K22" s="223">
        <f>$F$22/'Med-Prices'!$F$34*'Med-Prices'!$H$34*Q22*$I$22*$D$22</f>
        <v>6.9773800000000001</v>
      </c>
      <c r="L22" s="223">
        <f>$F$22/'Med-Prices'!$F$34*'Med-Prices'!$H$34*R22*$I$22*$D$22</f>
        <v>6.9773800000000001</v>
      </c>
      <c r="M22" s="223">
        <f>$F$22/'Med-Prices'!$F$34*'Med-Prices'!$H$34*S22*$I$22*$D$22</f>
        <v>6.9773800000000001</v>
      </c>
      <c r="N22" s="223">
        <f>$F$22/'Med-Prices'!$F$34*'Med-Prices'!$H$34*T22*$I$22*$D$22</f>
        <v>6.9773800000000001</v>
      </c>
      <c r="P22" s="551">
        <f t="shared" si="4"/>
        <v>1</v>
      </c>
      <c r="Q22" s="551">
        <f t="shared" si="3"/>
        <v>1</v>
      </c>
      <c r="R22" s="551">
        <f t="shared" si="3"/>
        <v>1</v>
      </c>
      <c r="S22" s="551">
        <f t="shared" si="3"/>
        <v>1</v>
      </c>
      <c r="T22" s="551">
        <f t="shared" si="3"/>
        <v>1</v>
      </c>
    </row>
    <row r="23" spans="1:235" hidden="1" outlineLevel="1" x14ac:dyDescent="0.25">
      <c r="A23" s="367"/>
      <c r="B23" s="221"/>
      <c r="C23" s="541"/>
      <c r="D23" s="540">
        <f>SUM(D19:D22)</f>
        <v>1</v>
      </c>
    </row>
    <row r="24" spans="1:235" hidden="1" outlineLevel="1" x14ac:dyDescent="0.25">
      <c r="A24" s="367"/>
      <c r="B24" s="476" t="s">
        <v>1107</v>
      </c>
    </row>
    <row r="25" spans="1:235" hidden="1" outlineLevel="1" x14ac:dyDescent="0.25">
      <c r="A25" s="367"/>
      <c r="B25" s="221" t="s">
        <v>1179</v>
      </c>
      <c r="C25" s="106"/>
      <c r="D25" s="562">
        <v>0.25</v>
      </c>
      <c r="E25" s="563" t="s">
        <v>793</v>
      </c>
      <c r="F25" s="564">
        <v>15</v>
      </c>
      <c r="G25" s="364" t="s">
        <v>1072</v>
      </c>
      <c r="H25" s="353" t="s">
        <v>1073</v>
      </c>
      <c r="I25" s="364">
        <v>7</v>
      </c>
      <c r="J25" s="223">
        <f>$F25/'Med-Prices'!$F$22*'Med-Prices'!$H$22*P$25*$I25*$D25</f>
        <v>7.4340000000000002</v>
      </c>
      <c r="K25" s="223">
        <f>$F25/'Med-Prices'!$F$22*'Med-Prices'!$H$22*Q$25*$I25*$D25</f>
        <v>11.151</v>
      </c>
      <c r="L25" s="223">
        <f>$F25/'Med-Prices'!$F$22*'Med-Prices'!$H$22*R$25*$I25*$D25</f>
        <v>16.726500000000001</v>
      </c>
      <c r="M25" s="223">
        <f>$F25/'Med-Prices'!$F$22*'Med-Prices'!$H$22*S$25*$I25*$D25</f>
        <v>22.302</v>
      </c>
      <c r="N25" s="223">
        <f>$F25/'Med-Prices'!$F$22*'Med-Prices'!$H$22*T$25*$I25*$D25</f>
        <v>26.019000000000002</v>
      </c>
      <c r="P25" s="551">
        <f>IF($G25="Per kg",J$16,1)</f>
        <v>4</v>
      </c>
      <c r="Q25" s="551">
        <f t="shared" ref="Q25:T27" si="5">IF($G25="Per kg",K$16,1)</f>
        <v>6</v>
      </c>
      <c r="R25" s="551">
        <f t="shared" si="5"/>
        <v>9</v>
      </c>
      <c r="S25" s="551">
        <f t="shared" si="5"/>
        <v>12</v>
      </c>
      <c r="T25" s="551">
        <f t="shared" si="5"/>
        <v>14</v>
      </c>
    </row>
    <row r="26" spans="1:235" hidden="1" outlineLevel="1" x14ac:dyDescent="0.25">
      <c r="A26" s="367"/>
      <c r="B26" s="221" t="s">
        <v>1180</v>
      </c>
      <c r="C26" s="106"/>
      <c r="D26" s="470">
        <v>0.25</v>
      </c>
      <c r="E26" s="471" t="s">
        <v>870</v>
      </c>
      <c r="F26" s="472">
        <v>1</v>
      </c>
      <c r="G26" s="353" t="s">
        <v>1117</v>
      </c>
      <c r="H26" s="353" t="s">
        <v>1073</v>
      </c>
      <c r="I26" s="364">
        <v>14</v>
      </c>
      <c r="J26" s="223">
        <f>$F$26*'Med-Prices'!$H$6*'Acute Treat'!$I$26*'Acute Treat'!$D$26</f>
        <v>10.955</v>
      </c>
      <c r="K26" s="223">
        <f>$F$26*'Med-Prices'!$H$6*'Acute Treat'!$I$26*'Acute Treat'!$D$26</f>
        <v>10.955</v>
      </c>
      <c r="L26" s="223">
        <f>$F$26*'Med-Prices'!$H$6*'Acute Treat'!$I$26*'Acute Treat'!$D$26</f>
        <v>10.955</v>
      </c>
      <c r="M26" s="223">
        <f>$F$26*'Med-Prices'!$H$6*'Acute Treat'!$I$26*'Acute Treat'!$D$26</f>
        <v>10.955</v>
      </c>
      <c r="N26" s="223">
        <f>$F$26*'Med-Prices'!$H$6*'Acute Treat'!$I$26*'Acute Treat'!$D$26</f>
        <v>10.955</v>
      </c>
      <c r="P26" s="551">
        <f>IF($G26="Per kg",J$16,1)</f>
        <v>1</v>
      </c>
      <c r="Q26" s="551">
        <f t="shared" si="5"/>
        <v>1</v>
      </c>
      <c r="R26" s="551">
        <f t="shared" si="5"/>
        <v>1</v>
      </c>
      <c r="S26" s="551">
        <f t="shared" si="5"/>
        <v>1</v>
      </c>
      <c r="T26" s="551">
        <f t="shared" si="5"/>
        <v>1</v>
      </c>
    </row>
    <row r="27" spans="1:235" hidden="1" outlineLevel="1" x14ac:dyDescent="0.25">
      <c r="A27" s="367"/>
      <c r="B27" s="369" t="s">
        <v>1350</v>
      </c>
      <c r="C27" s="106"/>
      <c r="D27" s="470">
        <v>0.3</v>
      </c>
      <c r="E27" s="471" t="s">
        <v>1228</v>
      </c>
      <c r="I27" s="364">
        <v>80</v>
      </c>
      <c r="J27" s="223">
        <f>$I$27*$D$27*'Med-Prices'!$H$29*$C$97</f>
        <v>92</v>
      </c>
      <c r="K27" s="223">
        <f>$I$27*$D$27*'Med-Prices'!$H$29*$C$97</f>
        <v>92</v>
      </c>
      <c r="L27" s="223">
        <f>$I$27*$D$27*'Med-Prices'!$H$29*$C$97</f>
        <v>92</v>
      </c>
      <c r="M27" s="223">
        <f>$I$27*$D$27*'Med-Prices'!$H$29*$C$97</f>
        <v>92</v>
      </c>
      <c r="N27" s="223">
        <f>$I$27*$D$27*'Med-Prices'!$H$29*$C$97</f>
        <v>92</v>
      </c>
      <c r="P27" s="551">
        <f>IF($G27="Per kg",J$16,1)</f>
        <v>1</v>
      </c>
      <c r="Q27" s="551">
        <f t="shared" si="5"/>
        <v>1</v>
      </c>
      <c r="R27" s="551">
        <f t="shared" si="5"/>
        <v>1</v>
      </c>
      <c r="S27" s="551">
        <f t="shared" si="5"/>
        <v>1</v>
      </c>
      <c r="T27" s="551">
        <f t="shared" si="5"/>
        <v>1</v>
      </c>
    </row>
    <row r="28" spans="1:235" ht="15.75" collapsed="1" thickBot="1" x14ac:dyDescent="0.3">
      <c r="A28" s="367"/>
      <c r="B28" s="106"/>
      <c r="C28" s="106"/>
      <c r="J28" s="500">
        <f>SUM(J19:J27)</f>
        <v>337.01438000000002</v>
      </c>
      <c r="K28" s="500">
        <f>SUM(K19:K27)</f>
        <v>450.55537999999996</v>
      </c>
      <c r="L28" s="500">
        <f>SUM(L19:L27)</f>
        <v>620.86688000000004</v>
      </c>
      <c r="M28" s="500">
        <f>SUM(M19:M27)</f>
        <v>791.17838000000006</v>
      </c>
      <c r="N28" s="500">
        <f>SUM(N19:N27)</f>
        <v>904.71938000000011</v>
      </c>
    </row>
    <row r="29" spans="1:235" ht="15.75" thickTop="1" x14ac:dyDescent="0.25">
      <c r="A29" s="367"/>
      <c r="B29" s="221"/>
      <c r="C29" s="106"/>
    </row>
    <row r="30" spans="1:235" s="477" customFormat="1" x14ac:dyDescent="0.25">
      <c r="B30" s="687" t="s">
        <v>1225</v>
      </c>
      <c r="J30" s="496" t="s">
        <v>1058</v>
      </c>
      <c r="K30" s="496" t="s">
        <v>1059</v>
      </c>
      <c r="L30" s="496" t="s">
        <v>1060</v>
      </c>
      <c r="M30" s="496" t="s">
        <v>1061</v>
      </c>
      <c r="N30" s="496" t="s">
        <v>1062</v>
      </c>
      <c r="O30" s="475"/>
      <c r="P30" s="551"/>
      <c r="Q30" s="553"/>
      <c r="R30" s="553"/>
      <c r="S30" s="553"/>
      <c r="T30" s="553"/>
      <c r="U30" s="553"/>
      <c r="V30" s="475"/>
      <c r="W30" s="475"/>
      <c r="X30" s="475"/>
      <c r="Y30" s="475"/>
      <c r="Z30" s="475"/>
      <c r="AA30" s="475"/>
      <c r="AB30" s="475"/>
      <c r="AC30" s="475"/>
      <c r="AD30" s="475"/>
      <c r="AE30" s="475"/>
      <c r="AF30" s="475"/>
      <c r="AG30" s="475"/>
      <c r="AH30" s="475"/>
      <c r="AI30" s="475"/>
      <c r="AJ30" s="475"/>
      <c r="AK30" s="475"/>
      <c r="AL30" s="475"/>
      <c r="AM30" s="475"/>
      <c r="AN30" s="475"/>
      <c r="AO30" s="475"/>
      <c r="AP30" s="475"/>
      <c r="AQ30" s="475"/>
      <c r="AR30" s="475"/>
      <c r="AS30" s="475"/>
      <c r="AT30" s="475"/>
      <c r="AU30" s="475"/>
      <c r="AV30" s="475"/>
      <c r="AW30" s="475"/>
      <c r="AX30" s="475"/>
      <c r="AY30" s="475"/>
      <c r="AZ30" s="475"/>
      <c r="BA30" s="475"/>
      <c r="BB30" s="475"/>
      <c r="BC30" s="475"/>
      <c r="BD30" s="475"/>
      <c r="BE30" s="475"/>
      <c r="BF30" s="475"/>
      <c r="BG30" s="475"/>
      <c r="BH30" s="475"/>
      <c r="BI30" s="475"/>
      <c r="BJ30" s="475"/>
      <c r="BK30" s="475"/>
      <c r="BL30" s="475"/>
      <c r="BM30" s="475"/>
      <c r="BN30" s="475"/>
      <c r="BO30" s="475"/>
      <c r="BP30" s="475"/>
      <c r="BQ30" s="475"/>
      <c r="BR30" s="475"/>
      <c r="BS30" s="475"/>
      <c r="BT30" s="475"/>
      <c r="BU30" s="475"/>
      <c r="BV30" s="475"/>
      <c r="BW30" s="475"/>
      <c r="BX30" s="475"/>
      <c r="BY30" s="475"/>
      <c r="BZ30" s="475"/>
      <c r="CA30" s="475"/>
      <c r="CB30" s="475"/>
      <c r="CC30" s="475"/>
      <c r="CD30" s="475"/>
      <c r="CE30" s="475"/>
      <c r="CF30" s="475"/>
      <c r="CG30" s="475"/>
      <c r="CH30" s="475"/>
      <c r="CI30" s="475"/>
      <c r="CJ30" s="475"/>
      <c r="CK30" s="475"/>
      <c r="CL30" s="475"/>
      <c r="CM30" s="475"/>
      <c r="CN30" s="475"/>
      <c r="CO30" s="475"/>
      <c r="CP30" s="475"/>
      <c r="CQ30" s="475"/>
      <c r="CR30" s="475"/>
      <c r="CS30" s="475"/>
      <c r="CT30" s="475"/>
      <c r="CU30" s="475"/>
      <c r="CV30" s="475"/>
      <c r="CW30" s="475"/>
      <c r="CX30" s="475"/>
      <c r="CY30" s="475"/>
      <c r="CZ30" s="475"/>
      <c r="DA30" s="475"/>
      <c r="DB30" s="475"/>
      <c r="DC30" s="475"/>
      <c r="DD30" s="475"/>
      <c r="DE30" s="475"/>
      <c r="DF30" s="475"/>
      <c r="DG30" s="475"/>
      <c r="DH30" s="475"/>
      <c r="DI30" s="475"/>
      <c r="DJ30" s="475"/>
      <c r="DK30" s="475"/>
      <c r="DL30" s="475"/>
      <c r="DM30" s="475"/>
      <c r="DN30" s="475"/>
      <c r="DO30" s="475"/>
      <c r="DP30" s="475"/>
      <c r="DQ30" s="475"/>
      <c r="DR30" s="475"/>
      <c r="DS30" s="475"/>
      <c r="DT30" s="475"/>
      <c r="DU30" s="475"/>
      <c r="DV30" s="475"/>
      <c r="DW30" s="475"/>
      <c r="DX30" s="475"/>
      <c r="DY30" s="475"/>
      <c r="DZ30" s="475"/>
      <c r="EA30" s="475"/>
      <c r="EB30" s="475"/>
      <c r="EC30" s="475"/>
      <c r="ED30" s="475"/>
      <c r="EE30" s="475"/>
      <c r="EF30" s="475"/>
      <c r="EG30" s="475"/>
      <c r="EH30" s="475"/>
      <c r="EI30" s="475"/>
      <c r="EJ30" s="475"/>
      <c r="EK30" s="475"/>
      <c r="EL30" s="475"/>
      <c r="EM30" s="475"/>
      <c r="EN30" s="475"/>
      <c r="EO30" s="475"/>
      <c r="EP30" s="475"/>
      <c r="EQ30" s="475"/>
      <c r="ER30" s="475"/>
      <c r="ES30" s="475"/>
      <c r="ET30" s="475"/>
      <c r="EU30" s="475"/>
      <c r="EV30" s="475"/>
      <c r="EW30" s="475"/>
      <c r="EX30" s="475"/>
      <c r="EY30" s="475"/>
      <c r="EZ30" s="475"/>
      <c r="FA30" s="475"/>
      <c r="FB30" s="475"/>
      <c r="FC30" s="475"/>
      <c r="FD30" s="475"/>
      <c r="FE30" s="475"/>
      <c r="FF30" s="475"/>
      <c r="FG30" s="475"/>
      <c r="FH30" s="475"/>
      <c r="FI30" s="475"/>
      <c r="FJ30" s="475"/>
      <c r="FK30" s="475"/>
      <c r="FL30" s="475"/>
      <c r="FM30" s="475"/>
      <c r="FN30" s="475"/>
      <c r="FO30" s="475"/>
      <c r="FP30" s="475"/>
      <c r="FQ30" s="475"/>
      <c r="FR30" s="475"/>
      <c r="FS30" s="475"/>
      <c r="FT30" s="475"/>
      <c r="FU30" s="475"/>
      <c r="FV30" s="475"/>
      <c r="FW30" s="475"/>
      <c r="FX30" s="475"/>
      <c r="FY30" s="475"/>
      <c r="FZ30" s="475"/>
      <c r="GA30" s="475"/>
      <c r="GB30" s="475"/>
      <c r="GC30" s="475"/>
      <c r="GD30" s="475"/>
      <c r="GE30" s="475"/>
      <c r="GF30" s="475"/>
      <c r="GG30" s="475"/>
      <c r="GH30" s="475"/>
      <c r="GI30" s="475"/>
      <c r="GJ30" s="475"/>
      <c r="GK30" s="475"/>
      <c r="GL30" s="475"/>
      <c r="GM30" s="475"/>
      <c r="GN30" s="475"/>
      <c r="GO30" s="475"/>
      <c r="GP30" s="475"/>
      <c r="GQ30" s="475"/>
      <c r="GR30" s="475"/>
      <c r="GS30" s="475"/>
      <c r="GT30" s="475"/>
      <c r="GU30" s="475"/>
      <c r="GV30" s="475"/>
      <c r="GW30" s="475"/>
      <c r="GX30" s="475"/>
      <c r="GY30" s="475"/>
      <c r="GZ30" s="475"/>
      <c r="HA30" s="475"/>
      <c r="HB30" s="475"/>
      <c r="HC30" s="475"/>
      <c r="HD30" s="475"/>
      <c r="HE30" s="475"/>
      <c r="HF30" s="475"/>
      <c r="HG30" s="475"/>
      <c r="HH30" s="475"/>
      <c r="HI30" s="475"/>
      <c r="HJ30" s="475"/>
      <c r="HK30" s="475"/>
      <c r="HL30" s="475"/>
      <c r="HM30" s="475"/>
      <c r="HN30" s="475"/>
      <c r="HO30" s="475"/>
      <c r="HP30" s="475"/>
      <c r="HQ30" s="475"/>
      <c r="HR30" s="475"/>
      <c r="HS30" s="475"/>
      <c r="HT30" s="475"/>
      <c r="HU30" s="475"/>
      <c r="HV30" s="475"/>
      <c r="HW30" s="475"/>
      <c r="HX30" s="475"/>
      <c r="HY30" s="475"/>
      <c r="HZ30" s="475"/>
      <c r="IA30" s="475"/>
    </row>
    <row r="31" spans="1:235" hidden="1" outlineLevel="1" x14ac:dyDescent="0.25">
      <c r="A31" s="477"/>
      <c r="B31" s="458" t="s">
        <v>1102</v>
      </c>
      <c r="C31" s="479"/>
      <c r="J31" s="550">
        <f>INDEX('Acute Prevalence'!$D$41:$D$45,'Acute Treat'!J9)</f>
        <v>4</v>
      </c>
      <c r="K31" s="550">
        <f>INDEX('Acute Prevalence'!$D$41:$D$45,'Acute Treat'!K9)</f>
        <v>6</v>
      </c>
      <c r="L31" s="550">
        <f>INDEX('Acute Prevalence'!$D$41:$D$45,'Acute Treat'!L9)</f>
        <v>9</v>
      </c>
      <c r="M31" s="550">
        <f>INDEX('Acute Prevalence'!$D$41:$D$45,'Acute Treat'!M9)</f>
        <v>12</v>
      </c>
      <c r="N31" s="550">
        <f>INDEX('Acute Prevalence'!$D$41:$D$45,'Acute Treat'!N9)</f>
        <v>14</v>
      </c>
    </row>
    <row r="32" spans="1:235" hidden="1" outlineLevel="1" x14ac:dyDescent="0.25">
      <c r="A32" s="477"/>
      <c r="B32" s="369" t="s">
        <v>1101</v>
      </c>
      <c r="C32" s="458"/>
      <c r="D32" s="470">
        <v>1</v>
      </c>
      <c r="E32" s="471" t="s">
        <v>1121</v>
      </c>
      <c r="F32" s="472">
        <v>120</v>
      </c>
      <c r="G32" s="364" t="s">
        <v>1117</v>
      </c>
      <c r="H32" s="353" t="s">
        <v>1073</v>
      </c>
      <c r="I32" s="364">
        <v>38</v>
      </c>
      <c r="J32" s="223">
        <f>$F$32/'Med-Prices'!$F$36*'Med-Prices'!$H$36*P32*$I$32*$D$32</f>
        <v>325.68533333333329</v>
      </c>
      <c r="K32" s="223">
        <f>$F$32/'Med-Prices'!$F$36*'Med-Prices'!$H$36*Q32*$I$32*$D$32</f>
        <v>325.68533333333329</v>
      </c>
      <c r="L32" s="223">
        <f>$F$32/'Med-Prices'!$F$36*'Med-Prices'!$H$36*R32*$I$32*$D$32</f>
        <v>325.68533333333329</v>
      </c>
      <c r="M32" s="223">
        <f>$F$32/'Med-Prices'!$F$36*'Med-Prices'!$H$36*S32*$I$32*$D$32</f>
        <v>325.68533333333329</v>
      </c>
      <c r="N32" s="223">
        <f>$F$32/'Med-Prices'!$F$36*'Med-Prices'!$H$36*T32*$I$32*$D$32</f>
        <v>325.68533333333329</v>
      </c>
      <c r="P32" s="551">
        <f>IF($G32="Per kg",J$31,1)</f>
        <v>1</v>
      </c>
      <c r="Q32" s="551">
        <f t="shared" ref="Q32:T34" si="6">IF($G32="Per kg",K$31,1)</f>
        <v>1</v>
      </c>
      <c r="R32" s="551">
        <f t="shared" si="6"/>
        <v>1</v>
      </c>
      <c r="S32" s="551">
        <f t="shared" si="6"/>
        <v>1</v>
      </c>
      <c r="T32" s="551">
        <f t="shared" si="6"/>
        <v>1</v>
      </c>
    </row>
    <row r="33" spans="1:235" hidden="1" outlineLevel="1" x14ac:dyDescent="0.25">
      <c r="A33" s="477"/>
      <c r="B33" s="369" t="s">
        <v>1063</v>
      </c>
      <c r="C33" s="106"/>
      <c r="D33" s="470">
        <v>0.6</v>
      </c>
      <c r="E33" s="471" t="s">
        <v>1122</v>
      </c>
      <c r="F33" s="472">
        <v>1</v>
      </c>
      <c r="G33" s="353" t="s">
        <v>1117</v>
      </c>
      <c r="H33" s="353" t="s">
        <v>1076</v>
      </c>
      <c r="I33" s="364"/>
      <c r="J33" s="223">
        <f>$D$33*$F$33*'Med-Prices'!$F$9/'Med-Prices'!$H$9</f>
        <v>0.91157702825888798</v>
      </c>
      <c r="K33" s="223">
        <f>$D$33*$F$33*'Med-Prices'!$F$9/'Med-Prices'!$H$9</f>
        <v>0.91157702825888798</v>
      </c>
      <c r="L33" s="223">
        <f>$D$33*$F$33*'Med-Prices'!$F$9/'Med-Prices'!$H$9</f>
        <v>0.91157702825888798</v>
      </c>
      <c r="M33" s="223">
        <f>$D$33*$F$33*'Med-Prices'!$F$9/'Med-Prices'!$H$9</f>
        <v>0.91157702825888798</v>
      </c>
      <c r="N33" s="223">
        <f>$D$33*$F$33*'Med-Prices'!$F$9/'Med-Prices'!$H$9</f>
        <v>0.91157702825888798</v>
      </c>
      <c r="P33" s="551">
        <f t="shared" ref="P33:P34" si="7">IF($G33="Per kg",J$31,1)</f>
        <v>1</v>
      </c>
      <c r="Q33" s="551">
        <f t="shared" si="6"/>
        <v>1</v>
      </c>
      <c r="R33" s="551">
        <f t="shared" si="6"/>
        <v>1</v>
      </c>
      <c r="S33" s="551">
        <f t="shared" si="6"/>
        <v>1</v>
      </c>
      <c r="T33" s="551">
        <f t="shared" si="6"/>
        <v>1</v>
      </c>
    </row>
    <row r="34" spans="1:235" hidden="1" outlineLevel="1" x14ac:dyDescent="0.25">
      <c r="A34" s="477"/>
      <c r="B34" s="369" t="s">
        <v>1064</v>
      </c>
      <c r="C34" s="106"/>
      <c r="D34" s="470">
        <v>0.4</v>
      </c>
      <c r="E34" s="471" t="s">
        <v>1122</v>
      </c>
      <c r="F34" s="472">
        <v>1</v>
      </c>
      <c r="G34" s="353" t="s">
        <v>1117</v>
      </c>
      <c r="H34" s="353" t="s">
        <v>1076</v>
      </c>
      <c r="I34" s="364"/>
      <c r="J34" s="223">
        <f>$D$34*$F$34*'Med-Prices'!$F$10/'Med-Prices'!$H$10</f>
        <v>0.46328468844104703</v>
      </c>
      <c r="K34" s="223">
        <f>$D$34*$F$34*'Med-Prices'!$F$10/'Med-Prices'!$H$10</f>
        <v>0.46328468844104703</v>
      </c>
      <c r="L34" s="223">
        <f>$D$34*$F$34*'Med-Prices'!$F$10/'Med-Prices'!$H$10</f>
        <v>0.46328468844104703</v>
      </c>
      <c r="M34" s="223">
        <f>$D$34*$F$34*'Med-Prices'!$F$10/'Med-Prices'!$H$10</f>
        <v>0.46328468844104703</v>
      </c>
      <c r="N34" s="223">
        <f>$D$34*$F$34*'Med-Prices'!$F$10/'Med-Prices'!$H$10</f>
        <v>0.46328468844104703</v>
      </c>
      <c r="P34" s="551">
        <f t="shared" si="7"/>
        <v>1</v>
      </c>
      <c r="Q34" s="551">
        <f t="shared" si="6"/>
        <v>1</v>
      </c>
      <c r="R34" s="551">
        <f t="shared" si="6"/>
        <v>1</v>
      </c>
      <c r="S34" s="551">
        <f t="shared" si="6"/>
        <v>1</v>
      </c>
      <c r="T34" s="551">
        <f t="shared" si="6"/>
        <v>1</v>
      </c>
    </row>
    <row r="35" spans="1:235" hidden="1" outlineLevel="1" x14ac:dyDescent="0.25">
      <c r="A35" s="477"/>
      <c r="B35" s="482" t="s">
        <v>1103</v>
      </c>
      <c r="C35" s="458"/>
      <c r="F35" s="473"/>
    </row>
    <row r="36" spans="1:235" hidden="1" outlineLevel="1" x14ac:dyDescent="0.25">
      <c r="A36" s="477"/>
      <c r="B36" s="369" t="s">
        <v>1066</v>
      </c>
      <c r="C36" s="106"/>
      <c r="D36" s="470">
        <v>1</v>
      </c>
      <c r="E36" s="471" t="s">
        <v>793</v>
      </c>
      <c r="F36" s="472">
        <v>21</v>
      </c>
      <c r="G36" s="364" t="s">
        <v>1072</v>
      </c>
      <c r="H36" s="353" t="s">
        <v>1073</v>
      </c>
      <c r="I36" s="364">
        <v>7</v>
      </c>
      <c r="J36" s="223">
        <f>$D$36*$F$36/'Med-Prices'!$F$8*'Med-Prices'!$H$8*P36*$I$36</f>
        <v>69.148799999999994</v>
      </c>
      <c r="K36" s="223">
        <f>$D$36*$F$36/'Med-Prices'!$F$8*'Med-Prices'!$H$8*Q36*$I$36</f>
        <v>103.72319999999999</v>
      </c>
      <c r="L36" s="223">
        <f>$D$36*$F$36/'Med-Prices'!$F$8*'Med-Prices'!$H$8*R36*$I$36</f>
        <v>155.58479999999997</v>
      </c>
      <c r="M36" s="223">
        <f>$D$36*$F$36/'Med-Prices'!$F$8*'Med-Prices'!$H$8*S36*$I$36</f>
        <v>207.44639999999998</v>
      </c>
      <c r="N36" s="223">
        <f>$D$36*$F$36/'Med-Prices'!$F$8*'Med-Prices'!$H$8*T36*$I$36</f>
        <v>242.02079999999998</v>
      </c>
      <c r="P36" s="551">
        <f>IF($G36="Per kg",J$31,1)</f>
        <v>4</v>
      </c>
      <c r="Q36" s="551">
        <f t="shared" ref="Q36:T37" si="8">IF($G36="Per kg",K$31,1)</f>
        <v>6</v>
      </c>
      <c r="R36" s="551">
        <f t="shared" si="8"/>
        <v>9</v>
      </c>
      <c r="S36" s="551">
        <f t="shared" si="8"/>
        <v>12</v>
      </c>
      <c r="T36" s="551">
        <f t="shared" si="8"/>
        <v>14</v>
      </c>
    </row>
    <row r="37" spans="1:235" hidden="1" outlineLevel="1" x14ac:dyDescent="0.25">
      <c r="A37" s="477"/>
      <c r="B37" s="369" t="s">
        <v>1068</v>
      </c>
      <c r="C37" s="106"/>
      <c r="D37" s="470">
        <v>1</v>
      </c>
      <c r="E37" s="471" t="s">
        <v>793</v>
      </c>
      <c r="F37" s="472">
        <v>15</v>
      </c>
      <c r="G37" s="364" t="s">
        <v>1072</v>
      </c>
      <c r="H37" s="353" t="s">
        <v>1073</v>
      </c>
      <c r="I37" s="364">
        <v>7</v>
      </c>
      <c r="J37" s="223">
        <f>$F37/'Med-Prices'!$F$20*'Med-Prices'!$H$20*P$37*$I37*$D37</f>
        <v>3.0827999999999998</v>
      </c>
      <c r="K37" s="223">
        <f>$F37/'Med-Prices'!$F$20*'Med-Prices'!$H$20*Q$37*$I37*$D37</f>
        <v>4.6242000000000001</v>
      </c>
      <c r="L37" s="223">
        <f>$F37/'Med-Prices'!$F$20*'Med-Prices'!$H$20*R$37*$I37*$D37</f>
        <v>6.9362999999999992</v>
      </c>
      <c r="M37" s="223">
        <f>$F37/'Med-Prices'!$F$20*'Med-Prices'!$H$20*S$37*$I37*$D37</f>
        <v>9.2484000000000002</v>
      </c>
      <c r="N37" s="223">
        <f>$F37/'Med-Prices'!$F$20*'Med-Prices'!$H$20*T$37*$I37*$D37</f>
        <v>10.7898</v>
      </c>
      <c r="P37" s="551">
        <f t="shared" ref="P37:P39" si="9">IF($G37="Per kg",J$31,1)</f>
        <v>4</v>
      </c>
      <c r="Q37" s="551">
        <f t="shared" si="8"/>
        <v>6</v>
      </c>
      <c r="R37" s="551">
        <f t="shared" si="8"/>
        <v>9</v>
      </c>
      <c r="S37" s="551">
        <f t="shared" si="8"/>
        <v>12</v>
      </c>
      <c r="T37" s="551">
        <f t="shared" si="8"/>
        <v>14</v>
      </c>
    </row>
    <row r="38" spans="1:235" hidden="1" outlineLevel="1" x14ac:dyDescent="0.25">
      <c r="A38" s="477"/>
      <c r="B38" s="369" t="s">
        <v>1125</v>
      </c>
      <c r="C38" s="106"/>
      <c r="D38" s="470">
        <v>1</v>
      </c>
      <c r="E38" s="471" t="s">
        <v>803</v>
      </c>
      <c r="F38" s="472">
        <v>1</v>
      </c>
      <c r="G38" s="353" t="s">
        <v>1117</v>
      </c>
      <c r="H38" s="353" t="s">
        <v>1076</v>
      </c>
      <c r="I38" s="364"/>
      <c r="J38" s="223">
        <f>$D$38*$F$38*'Med-Prices'!$H$39</f>
        <v>1.43</v>
      </c>
      <c r="K38" s="223">
        <f>$D$38*$F$38*'Med-Prices'!$H$39</f>
        <v>1.43</v>
      </c>
      <c r="L38" s="223">
        <f>$D$38*$F$38*'Med-Prices'!$H$39</f>
        <v>1.43</v>
      </c>
      <c r="M38" s="223">
        <f>$D$38*$F$38*'Med-Prices'!$H$39</f>
        <v>1.43</v>
      </c>
      <c r="N38" s="223">
        <f>$D$38*$F$38*'Med-Prices'!$H$39</f>
        <v>1.43</v>
      </c>
      <c r="P38" s="551">
        <f t="shared" si="9"/>
        <v>1</v>
      </c>
      <c r="Q38" s="551">
        <f t="shared" ref="Q38:T39" si="10">IF($G38="Per kg",K$31,1)</f>
        <v>1</v>
      </c>
      <c r="R38" s="551">
        <f t="shared" si="10"/>
        <v>1</v>
      </c>
      <c r="S38" s="551">
        <f t="shared" si="10"/>
        <v>1</v>
      </c>
      <c r="T38" s="551">
        <f t="shared" si="10"/>
        <v>1</v>
      </c>
    </row>
    <row r="39" spans="1:235" hidden="1" outlineLevel="1" x14ac:dyDescent="0.25">
      <c r="A39" s="477"/>
      <c r="B39" s="369" t="s">
        <v>1350</v>
      </c>
      <c r="C39" s="106"/>
      <c r="D39" s="470">
        <v>0.3</v>
      </c>
      <c r="E39" s="471" t="s">
        <v>1228</v>
      </c>
      <c r="I39" s="364">
        <v>7</v>
      </c>
      <c r="J39" s="538">
        <f>$I$39*$D$39*'Med-Prices'!$H$29*$C$97</f>
        <v>8.0500000000000007</v>
      </c>
      <c r="K39" s="538">
        <f>$I$39*$D$39*'Med-Prices'!$H$29*$C$97</f>
        <v>8.0500000000000007</v>
      </c>
      <c r="L39" s="538">
        <f>$I$39*$D$39*'Med-Prices'!$H$29*$C$97</f>
        <v>8.0500000000000007</v>
      </c>
      <c r="M39" s="538">
        <f>$I$39*$D$39*'Med-Prices'!$H$29*$C$97</f>
        <v>8.0500000000000007</v>
      </c>
      <c r="N39" s="538">
        <f>$I$39*$D$39*'Med-Prices'!$H$29*$C$97</f>
        <v>8.0500000000000007</v>
      </c>
      <c r="P39" s="551">
        <f t="shared" si="9"/>
        <v>1</v>
      </c>
      <c r="Q39" s="551">
        <f t="shared" si="10"/>
        <v>1</v>
      </c>
      <c r="R39" s="551">
        <f t="shared" si="10"/>
        <v>1</v>
      </c>
      <c r="S39" s="551">
        <f t="shared" si="10"/>
        <v>1</v>
      </c>
      <c r="T39" s="551">
        <f t="shared" si="10"/>
        <v>1</v>
      </c>
    </row>
    <row r="40" spans="1:235" ht="15.75" collapsed="1" thickBot="1" x14ac:dyDescent="0.3">
      <c r="A40" s="477"/>
      <c r="B40" s="700"/>
      <c r="C40" s="369"/>
      <c r="D40" s="369"/>
      <c r="E40" s="369"/>
      <c r="F40" s="369"/>
      <c r="G40" s="369"/>
      <c r="H40" s="369"/>
      <c r="I40" s="369"/>
      <c r="J40" s="500">
        <f>SUM(J32:J39)</f>
        <v>408.77179505003323</v>
      </c>
      <c r="K40" s="500">
        <f t="shared" ref="K40:N40" si="11">SUM(K32:K39)</f>
        <v>444.88759505003316</v>
      </c>
      <c r="L40" s="500">
        <f t="shared" si="11"/>
        <v>499.06129505003321</v>
      </c>
      <c r="M40" s="500">
        <f t="shared" si="11"/>
        <v>553.23499505003304</v>
      </c>
      <c r="N40" s="500">
        <f t="shared" si="11"/>
        <v>589.35079505003307</v>
      </c>
    </row>
    <row r="41" spans="1:235" ht="15.75" thickTop="1" x14ac:dyDescent="0.25">
      <c r="A41" s="477"/>
      <c r="B41" s="369"/>
      <c r="C41" s="369"/>
      <c r="D41" s="369"/>
      <c r="E41" s="369"/>
      <c r="F41" s="369"/>
      <c r="G41" s="369"/>
      <c r="H41" s="369"/>
      <c r="I41" s="369"/>
      <c r="J41" s="369"/>
      <c r="K41" s="369"/>
      <c r="L41" s="369"/>
      <c r="M41" s="369"/>
    </row>
    <row r="42" spans="1:235" s="462" customFormat="1" x14ac:dyDescent="0.25">
      <c r="B42" s="682" t="s">
        <v>1197</v>
      </c>
      <c r="J42" s="497" t="s">
        <v>1058</v>
      </c>
      <c r="K42" s="497" t="s">
        <v>1059</v>
      </c>
      <c r="L42" s="497" t="s">
        <v>1060</v>
      </c>
      <c r="M42" s="497" t="s">
        <v>1061</v>
      </c>
      <c r="N42" s="497" t="s">
        <v>1062</v>
      </c>
      <c r="O42" s="478"/>
      <c r="P42" s="551"/>
      <c r="Q42" s="554"/>
      <c r="R42" s="554"/>
      <c r="S42" s="554"/>
      <c r="T42" s="554"/>
      <c r="U42" s="554"/>
      <c r="V42" s="478"/>
      <c r="W42" s="478"/>
      <c r="X42" s="478"/>
      <c r="Y42" s="478"/>
      <c r="Z42" s="478"/>
      <c r="AA42" s="478"/>
      <c r="AB42" s="478"/>
      <c r="AC42" s="478"/>
      <c r="AD42" s="478"/>
      <c r="AE42" s="478"/>
      <c r="AF42" s="478"/>
      <c r="AG42" s="478"/>
      <c r="AH42" s="478"/>
      <c r="AI42" s="478"/>
      <c r="AJ42" s="478"/>
      <c r="AK42" s="478"/>
      <c r="AL42" s="478"/>
      <c r="AM42" s="478"/>
      <c r="AN42" s="478"/>
      <c r="AO42" s="478"/>
      <c r="AP42" s="478"/>
      <c r="AQ42" s="478"/>
      <c r="AR42" s="478"/>
      <c r="AS42" s="478"/>
      <c r="AT42" s="478"/>
      <c r="AU42" s="478"/>
      <c r="AV42" s="478"/>
      <c r="AW42" s="478"/>
      <c r="AX42" s="478"/>
      <c r="AY42" s="478"/>
      <c r="AZ42" s="478"/>
      <c r="BA42" s="478"/>
      <c r="BB42" s="478"/>
      <c r="BC42" s="478"/>
      <c r="BD42" s="478"/>
      <c r="BE42" s="478"/>
      <c r="BF42" s="478"/>
      <c r="BG42" s="478"/>
      <c r="BH42" s="478"/>
      <c r="BI42" s="478"/>
      <c r="BJ42" s="478"/>
      <c r="BK42" s="478"/>
      <c r="BL42" s="478"/>
      <c r="BM42" s="478"/>
      <c r="BN42" s="478"/>
      <c r="BO42" s="478"/>
      <c r="BP42" s="478"/>
      <c r="BQ42" s="478"/>
      <c r="BR42" s="478"/>
      <c r="BS42" s="478"/>
      <c r="BT42" s="478"/>
      <c r="BU42" s="478"/>
      <c r="BV42" s="478"/>
      <c r="BW42" s="478"/>
      <c r="BX42" s="478"/>
      <c r="BY42" s="478"/>
      <c r="BZ42" s="478"/>
      <c r="CA42" s="478"/>
      <c r="CB42" s="478"/>
      <c r="CC42" s="478"/>
      <c r="CD42" s="478"/>
      <c r="CE42" s="478"/>
      <c r="CF42" s="478"/>
      <c r="CG42" s="478"/>
      <c r="CH42" s="478"/>
      <c r="CI42" s="478"/>
      <c r="CJ42" s="478"/>
      <c r="CK42" s="478"/>
      <c r="CL42" s="478"/>
      <c r="CM42" s="478"/>
      <c r="CN42" s="478"/>
      <c r="CO42" s="478"/>
      <c r="CP42" s="478"/>
      <c r="CQ42" s="478"/>
      <c r="CR42" s="478"/>
      <c r="CS42" s="478"/>
      <c r="CT42" s="478"/>
      <c r="CU42" s="478"/>
      <c r="CV42" s="478"/>
      <c r="CW42" s="478"/>
      <c r="CX42" s="478"/>
      <c r="CY42" s="478"/>
      <c r="CZ42" s="478"/>
      <c r="DA42" s="478"/>
      <c r="DB42" s="478"/>
      <c r="DC42" s="478"/>
      <c r="DD42" s="478"/>
      <c r="DE42" s="478"/>
      <c r="DF42" s="478"/>
      <c r="DG42" s="478"/>
      <c r="DH42" s="478"/>
      <c r="DI42" s="478"/>
      <c r="DJ42" s="478"/>
      <c r="DK42" s="478"/>
      <c r="DL42" s="478"/>
      <c r="DM42" s="478"/>
      <c r="DN42" s="478"/>
      <c r="DO42" s="478"/>
      <c r="DP42" s="478"/>
      <c r="DQ42" s="478"/>
      <c r="DR42" s="478"/>
      <c r="DS42" s="478"/>
      <c r="DT42" s="478"/>
      <c r="DU42" s="478"/>
      <c r="DV42" s="478"/>
      <c r="DW42" s="478"/>
      <c r="DX42" s="478"/>
      <c r="DY42" s="478"/>
      <c r="DZ42" s="478"/>
      <c r="EA42" s="478"/>
      <c r="EB42" s="478"/>
      <c r="EC42" s="478"/>
      <c r="ED42" s="478"/>
      <c r="EE42" s="478"/>
      <c r="EF42" s="478"/>
      <c r="EG42" s="478"/>
      <c r="EH42" s="478"/>
      <c r="EI42" s="478"/>
      <c r="EJ42" s="478"/>
      <c r="EK42" s="478"/>
      <c r="EL42" s="478"/>
      <c r="EM42" s="478"/>
      <c r="EN42" s="478"/>
      <c r="EO42" s="478"/>
      <c r="EP42" s="478"/>
      <c r="EQ42" s="478"/>
      <c r="ER42" s="478"/>
      <c r="ES42" s="478"/>
      <c r="ET42" s="478"/>
      <c r="EU42" s="478"/>
      <c r="EV42" s="478"/>
      <c r="EW42" s="478"/>
      <c r="EX42" s="478"/>
      <c r="EY42" s="478"/>
      <c r="EZ42" s="478"/>
      <c r="FA42" s="478"/>
      <c r="FB42" s="478"/>
      <c r="FC42" s="478"/>
      <c r="FD42" s="478"/>
      <c r="FE42" s="478"/>
      <c r="FF42" s="478"/>
      <c r="FG42" s="478"/>
      <c r="FH42" s="478"/>
      <c r="FI42" s="478"/>
      <c r="FJ42" s="478"/>
      <c r="FK42" s="478"/>
      <c r="FL42" s="478"/>
      <c r="FM42" s="478"/>
      <c r="FN42" s="478"/>
      <c r="FO42" s="478"/>
      <c r="FP42" s="478"/>
      <c r="FQ42" s="478"/>
      <c r="FR42" s="478"/>
      <c r="FS42" s="478"/>
      <c r="FT42" s="478"/>
      <c r="FU42" s="478"/>
      <c r="FV42" s="478"/>
      <c r="FW42" s="478"/>
      <c r="FX42" s="478"/>
      <c r="FY42" s="478"/>
      <c r="FZ42" s="478"/>
      <c r="GA42" s="478"/>
      <c r="GB42" s="478"/>
      <c r="GC42" s="478"/>
      <c r="GD42" s="478"/>
      <c r="GE42" s="478"/>
      <c r="GF42" s="478"/>
      <c r="GG42" s="478"/>
      <c r="GH42" s="478"/>
      <c r="GI42" s="478"/>
      <c r="GJ42" s="478"/>
      <c r="GK42" s="478"/>
      <c r="GL42" s="478"/>
      <c r="GM42" s="478"/>
      <c r="GN42" s="478"/>
      <c r="GO42" s="478"/>
      <c r="GP42" s="478"/>
      <c r="GQ42" s="478"/>
      <c r="GR42" s="478"/>
      <c r="GS42" s="478"/>
      <c r="GT42" s="478"/>
      <c r="GU42" s="478"/>
      <c r="GV42" s="478"/>
      <c r="GW42" s="478"/>
      <c r="GX42" s="478"/>
      <c r="GY42" s="478"/>
      <c r="GZ42" s="478"/>
      <c r="HA42" s="478"/>
      <c r="HB42" s="478"/>
      <c r="HC42" s="478"/>
      <c r="HD42" s="478"/>
      <c r="HE42" s="478"/>
      <c r="HF42" s="478"/>
      <c r="HG42" s="478"/>
      <c r="HH42" s="478"/>
      <c r="HI42" s="478"/>
      <c r="HJ42" s="478"/>
      <c r="HK42" s="478"/>
      <c r="HL42" s="478"/>
      <c r="HM42" s="478"/>
      <c r="HN42" s="478"/>
      <c r="HO42" s="478"/>
      <c r="HP42" s="478"/>
      <c r="HQ42" s="478"/>
      <c r="HR42" s="478"/>
      <c r="HS42" s="478"/>
      <c r="HT42" s="478"/>
      <c r="HU42" s="478"/>
      <c r="HV42" s="478"/>
      <c r="HW42" s="478"/>
      <c r="HX42" s="478"/>
      <c r="HY42" s="478"/>
      <c r="HZ42" s="478"/>
      <c r="IA42" s="478"/>
    </row>
    <row r="43" spans="1:235" hidden="1" outlineLevel="1" x14ac:dyDescent="0.25">
      <c r="A43" s="462"/>
      <c r="B43" s="458" t="s">
        <v>1102</v>
      </c>
      <c r="D43" s="478"/>
      <c r="E43" s="469"/>
      <c r="J43" s="550">
        <f>INDEX('Acute Prevalence'!$G$41:$G$45,'Acute Treat'!J9)</f>
        <v>4</v>
      </c>
      <c r="K43" s="550">
        <f>INDEX('Acute Prevalence'!$G$41:$G$45,'Acute Treat'!K9)</f>
        <v>6</v>
      </c>
      <c r="L43" s="550">
        <f>INDEX('Acute Prevalence'!$G$41:$G$45,'Acute Treat'!L9)</f>
        <v>9</v>
      </c>
      <c r="M43" s="550">
        <f>INDEX('Acute Prevalence'!$G$41:$G$45,'Acute Treat'!M9)</f>
        <v>12</v>
      </c>
      <c r="N43" s="550">
        <f>INDEX('Acute Prevalence'!$G$41:$G$45,'Acute Treat'!N9)</f>
        <v>14</v>
      </c>
    </row>
    <row r="44" spans="1:235" hidden="1" outlineLevel="1" x14ac:dyDescent="0.25">
      <c r="A44" s="462"/>
      <c r="B44" s="369" t="s">
        <v>1099</v>
      </c>
      <c r="C44" s="106"/>
      <c r="D44" s="562">
        <v>1</v>
      </c>
      <c r="E44" s="563" t="s">
        <v>785</v>
      </c>
      <c r="F44" s="564">
        <v>100</v>
      </c>
      <c r="G44" s="364" t="s">
        <v>1072</v>
      </c>
      <c r="H44" s="353" t="s">
        <v>1073</v>
      </c>
      <c r="I44" s="364">
        <v>7</v>
      </c>
      <c r="J44" s="223">
        <f>$F44/'Med-Prices'!$F$17*'Med-Prices'!$H$17*P44*$I44*$D44</f>
        <v>259.42</v>
      </c>
      <c r="K44" s="223">
        <f>$F44/'Med-Prices'!$F$17*'Med-Prices'!$H$17*Q44*$I44*$D44</f>
        <v>389.13</v>
      </c>
      <c r="L44" s="223">
        <f>$F44/'Med-Prices'!$F$17*'Med-Prices'!$H$17*R44*$I44*$D44</f>
        <v>583.69500000000005</v>
      </c>
      <c r="M44" s="223">
        <f>$F44/'Med-Prices'!$F$17*'Med-Prices'!$H$17*S44*$I44*$D44</f>
        <v>778.26</v>
      </c>
      <c r="N44" s="223">
        <f>$F44/'Med-Prices'!$F$17*'Med-Prices'!$H$17*T44*$I44*$D44</f>
        <v>907.97</v>
      </c>
      <c r="P44" s="551">
        <f>IF($G44="Per kg",J$43,1)</f>
        <v>4</v>
      </c>
      <c r="Q44" s="551">
        <f t="shared" ref="Q44:T47" si="12">IF($G44="Per kg",K$43,1)</f>
        <v>6</v>
      </c>
      <c r="R44" s="551">
        <f t="shared" si="12"/>
        <v>9</v>
      </c>
      <c r="S44" s="551">
        <f t="shared" si="12"/>
        <v>12</v>
      </c>
      <c r="T44" s="551">
        <f t="shared" si="12"/>
        <v>14</v>
      </c>
    </row>
    <row r="45" spans="1:235" hidden="1" outlineLevel="1" x14ac:dyDescent="0.25">
      <c r="A45" s="462"/>
      <c r="B45" s="369" t="s">
        <v>1100</v>
      </c>
      <c r="D45" s="470">
        <v>1</v>
      </c>
      <c r="E45" s="471" t="s">
        <v>785</v>
      </c>
      <c r="F45" s="472">
        <v>200</v>
      </c>
      <c r="G45" s="364" t="s">
        <v>1072</v>
      </c>
      <c r="H45" s="353" t="s">
        <v>1073</v>
      </c>
      <c r="I45" s="364">
        <v>7</v>
      </c>
      <c r="J45" s="223">
        <f>$F45/'Med-Prices'!$F$18*'Med-Prices'!$H$18*P45*$I45*$D45</f>
        <v>478.80000000000007</v>
      </c>
      <c r="K45" s="223">
        <f>$F45/'Med-Prices'!$F$18*'Med-Prices'!$H$18*Q45*$I45*$D45</f>
        <v>718.2</v>
      </c>
      <c r="L45" s="223">
        <f>$F45/'Med-Prices'!$F$18*'Med-Prices'!$H$18*R45*$I45*$D45</f>
        <v>1077.3</v>
      </c>
      <c r="M45" s="223">
        <f>$F45/'Med-Prices'!$F$18*'Med-Prices'!$H$18*S45*$I45*$D45</f>
        <v>1436.4</v>
      </c>
      <c r="N45" s="223">
        <f>$F45/'Med-Prices'!$F$18*'Med-Prices'!$H$18*T45*$I45*$D45</f>
        <v>1675.8000000000002</v>
      </c>
      <c r="P45" s="551">
        <f>IF($G45="Per kg",J$43,1)</f>
        <v>4</v>
      </c>
      <c r="Q45" s="551">
        <f t="shared" si="12"/>
        <v>6</v>
      </c>
      <c r="R45" s="551">
        <f t="shared" si="12"/>
        <v>9</v>
      </c>
      <c r="S45" s="551">
        <f t="shared" si="12"/>
        <v>12</v>
      </c>
      <c r="T45" s="551">
        <f t="shared" si="12"/>
        <v>14</v>
      </c>
    </row>
    <row r="46" spans="1:235" hidden="1" outlineLevel="1" x14ac:dyDescent="0.25">
      <c r="A46" s="462"/>
      <c r="B46" s="369" t="s">
        <v>1063</v>
      </c>
      <c r="C46" s="106"/>
      <c r="D46" s="470">
        <v>0.3</v>
      </c>
      <c r="E46" s="471" t="s">
        <v>1122</v>
      </c>
      <c r="F46" s="472">
        <v>1</v>
      </c>
      <c r="G46" s="353" t="s">
        <v>1117</v>
      </c>
      <c r="H46" s="353" t="s">
        <v>1076</v>
      </c>
      <c r="I46" s="364"/>
      <c r="J46" s="223">
        <f>$D$46*$F$46/'Med-Prices'!$F$9*'Med-Prices'!$H$9</f>
        <v>0.19746</v>
      </c>
      <c r="K46" s="223">
        <f>$D$46*$F$46/'Med-Prices'!$F$9*'Med-Prices'!$H$9</f>
        <v>0.19746</v>
      </c>
      <c r="L46" s="223">
        <f>$D$46*$F$46/'Med-Prices'!$F$9*'Med-Prices'!$H$9</f>
        <v>0.19746</v>
      </c>
      <c r="M46" s="223">
        <f>$D$46*$F$46/'Med-Prices'!$F$9*'Med-Prices'!$H$9</f>
        <v>0.19746</v>
      </c>
      <c r="N46" s="223">
        <f>$D$46*$F$46/'Med-Prices'!$F$9*'Med-Prices'!$H$9</f>
        <v>0.19746</v>
      </c>
      <c r="P46" s="551">
        <f t="shared" ref="P46:P63" si="13">IF($G46="Per kg",J$43,1)</f>
        <v>1</v>
      </c>
      <c r="Q46" s="551">
        <f t="shared" si="12"/>
        <v>1</v>
      </c>
      <c r="R46" s="551">
        <f t="shared" si="12"/>
        <v>1</v>
      </c>
      <c r="S46" s="551">
        <f t="shared" si="12"/>
        <v>1</v>
      </c>
      <c r="T46" s="551">
        <f t="shared" si="12"/>
        <v>1</v>
      </c>
    </row>
    <row r="47" spans="1:235" hidden="1" outlineLevel="1" x14ac:dyDescent="0.25">
      <c r="A47" s="462"/>
      <c r="B47" s="369" t="s">
        <v>1064</v>
      </c>
      <c r="C47" s="106"/>
      <c r="D47" s="470">
        <v>0.7</v>
      </c>
      <c r="E47" s="471" t="s">
        <v>1122</v>
      </c>
      <c r="F47" s="472">
        <v>1</v>
      </c>
      <c r="G47" s="353" t="s">
        <v>1117</v>
      </c>
      <c r="H47" s="353" t="s">
        <v>1076</v>
      </c>
      <c r="I47" s="364"/>
      <c r="J47" s="223">
        <f>$D$47*$F$47/'Med-Prices'!$F$10*'Med-Prices'!$H$10</f>
        <v>0.60437999999999992</v>
      </c>
      <c r="K47" s="223">
        <f>$D$47*$F$47/'Med-Prices'!$F$10*'Med-Prices'!$H$10</f>
        <v>0.60437999999999992</v>
      </c>
      <c r="L47" s="223">
        <f>$D$47*$F$47/'Med-Prices'!$F$10*'Med-Prices'!$H$10</f>
        <v>0.60437999999999992</v>
      </c>
      <c r="M47" s="223">
        <f>$D$47*$F$47/'Med-Prices'!$F$10*'Med-Prices'!$H$10</f>
        <v>0.60437999999999992</v>
      </c>
      <c r="N47" s="223">
        <f>$D$47*$F$47/'Med-Prices'!$F$10*'Med-Prices'!$H$10</f>
        <v>0.60437999999999992</v>
      </c>
      <c r="P47" s="551">
        <f t="shared" si="13"/>
        <v>1</v>
      </c>
      <c r="Q47" s="551">
        <f t="shared" si="12"/>
        <v>1</v>
      </c>
      <c r="R47" s="551">
        <f t="shared" si="12"/>
        <v>1</v>
      </c>
      <c r="S47" s="551">
        <f t="shared" si="12"/>
        <v>1</v>
      </c>
      <c r="T47" s="551">
        <f t="shared" si="12"/>
        <v>1</v>
      </c>
    </row>
    <row r="48" spans="1:235" hidden="1" outlineLevel="1" x14ac:dyDescent="0.25">
      <c r="A48" s="462"/>
      <c r="B48" s="482" t="s">
        <v>1103</v>
      </c>
      <c r="C48" s="458"/>
    </row>
    <row r="49" spans="1:21" hidden="1" outlineLevel="1" x14ac:dyDescent="0.25">
      <c r="A49" s="462"/>
      <c r="B49" s="369" t="s">
        <v>1066</v>
      </c>
      <c r="C49" s="106"/>
      <c r="D49" s="470">
        <v>1</v>
      </c>
      <c r="E49" s="471" t="s">
        <v>793</v>
      </c>
      <c r="F49" s="472">
        <v>21</v>
      </c>
      <c r="G49" s="364" t="s">
        <v>1072</v>
      </c>
      <c r="H49" s="353" t="s">
        <v>1073</v>
      </c>
      <c r="I49" s="364">
        <v>7</v>
      </c>
      <c r="J49" s="223">
        <f>$F$49/'Med-Prices'!$F$8*'Med-Prices'!$H$8*P49*$D$49*$I$49</f>
        <v>69.148799999999994</v>
      </c>
      <c r="K49" s="223">
        <f>$F$49/'Med-Prices'!$F$8*'Med-Prices'!$H$8*Q49*$D$49*$I$49</f>
        <v>103.72319999999999</v>
      </c>
      <c r="L49" s="223">
        <f>$F$49/'Med-Prices'!$F$8*'Med-Prices'!$H$8*R49*$D$49*$I$49</f>
        <v>155.58479999999997</v>
      </c>
      <c r="M49" s="223">
        <f>$F$49/'Med-Prices'!$F$8*'Med-Prices'!$H$8*S49*$D$49*$I$49</f>
        <v>207.44639999999998</v>
      </c>
      <c r="N49" s="223">
        <f>$F$49/'Med-Prices'!$F$8*'Med-Prices'!$H$8*T49*$D$49*$I$49</f>
        <v>242.02079999999998</v>
      </c>
      <c r="P49" s="551">
        <f t="shared" si="13"/>
        <v>4</v>
      </c>
      <c r="Q49" s="551">
        <f t="shared" ref="Q49:Q58" si="14">IF($G49="Per kg",K$43,1)</f>
        <v>6</v>
      </c>
      <c r="R49" s="551">
        <f t="shared" ref="R49:R58" si="15">IF($G49="Per kg",L$43,1)</f>
        <v>9</v>
      </c>
      <c r="S49" s="551">
        <f t="shared" ref="S49:S58" si="16">IF($G49="Per kg",M$43,1)</f>
        <v>12</v>
      </c>
      <c r="T49" s="551">
        <f t="shared" ref="T49:T58" si="17">IF($G49="Per kg",N$43,1)</f>
        <v>14</v>
      </c>
    </row>
    <row r="50" spans="1:21" hidden="1" outlineLevel="1" x14ac:dyDescent="0.25">
      <c r="A50" s="462"/>
      <c r="B50" s="369" t="s">
        <v>1195</v>
      </c>
      <c r="C50" s="106"/>
      <c r="D50" s="470">
        <v>1</v>
      </c>
      <c r="E50" s="471" t="s">
        <v>793</v>
      </c>
      <c r="F50" s="472">
        <v>50</v>
      </c>
      <c r="G50" s="364" t="s">
        <v>1072</v>
      </c>
      <c r="H50" s="353" t="s">
        <v>1073</v>
      </c>
      <c r="I50" s="364">
        <v>7</v>
      </c>
      <c r="J50" s="223">
        <f>$F$50/'Med-Prices'!$F$20*'Med-Prices'!$H$20*'Acute Treat'!$I$50*'Acute Treat'!$D$50*'Acute Treat'!P50</f>
        <v>10.276</v>
      </c>
      <c r="K50" s="223">
        <f>$F$50/'Med-Prices'!$F$20*'Med-Prices'!$H$20*'Acute Treat'!$I$50*'Acute Treat'!$D$50*'Acute Treat'!Q50</f>
        <v>15.414</v>
      </c>
      <c r="L50" s="223">
        <f>$F$50/'Med-Prices'!$F$20*'Med-Prices'!$H$20*'Acute Treat'!$I$50*'Acute Treat'!$D$50*'Acute Treat'!R50</f>
        <v>23.120999999999999</v>
      </c>
      <c r="M50" s="223">
        <f>$F$50/'Med-Prices'!$F$20*'Med-Prices'!$H$20*'Acute Treat'!$I$50*'Acute Treat'!$D$50*'Acute Treat'!S50</f>
        <v>30.827999999999999</v>
      </c>
      <c r="N50" s="223">
        <f>$F$50/'Med-Prices'!$F$20*'Med-Prices'!$H$20*'Acute Treat'!$I$50*'Acute Treat'!$D$50*'Acute Treat'!T50</f>
        <v>35.966000000000001</v>
      </c>
      <c r="P50" s="551">
        <f t="shared" si="13"/>
        <v>4</v>
      </c>
      <c r="Q50" s="551">
        <f t="shared" si="14"/>
        <v>6</v>
      </c>
      <c r="R50" s="551">
        <f t="shared" si="15"/>
        <v>9</v>
      </c>
      <c r="S50" s="551">
        <f t="shared" si="16"/>
        <v>12</v>
      </c>
      <c r="T50" s="551">
        <f t="shared" si="17"/>
        <v>14</v>
      </c>
    </row>
    <row r="51" spans="1:21" hidden="1" outlineLevel="1" x14ac:dyDescent="0.25">
      <c r="A51" s="462"/>
      <c r="B51" s="369" t="s">
        <v>1069</v>
      </c>
      <c r="C51" s="106"/>
      <c r="D51" s="470">
        <v>1</v>
      </c>
      <c r="E51" s="471" t="s">
        <v>793</v>
      </c>
      <c r="F51" s="472">
        <v>7.5</v>
      </c>
      <c r="G51" s="364" t="s">
        <v>1072</v>
      </c>
      <c r="H51" s="353" t="s">
        <v>1073</v>
      </c>
      <c r="I51" s="364">
        <v>7</v>
      </c>
      <c r="J51" s="223">
        <f>$F$51/'Med-Prices'!$F$23*'Med-Prices'!$H$23*'Acute Treat'!P51*'Acute Treat'!$I$51*'Acute Treat'!$D$51</f>
        <v>21</v>
      </c>
      <c r="K51" s="223">
        <f>$F$51/'Med-Prices'!$F$23*'Med-Prices'!$H$23*'Acute Treat'!Q51*'Acute Treat'!$I$51*'Acute Treat'!$D$51</f>
        <v>31.5</v>
      </c>
      <c r="L51" s="223">
        <f>$F$51/'Med-Prices'!$F$23*'Med-Prices'!$H$23*'Acute Treat'!R51*'Acute Treat'!$I$51*'Acute Treat'!$D$51</f>
        <v>47.25</v>
      </c>
      <c r="M51" s="223">
        <f>$F$51/'Med-Prices'!$F$23*'Med-Prices'!$H$23*'Acute Treat'!S51*'Acute Treat'!$I$51*'Acute Treat'!$D$51</f>
        <v>63</v>
      </c>
      <c r="N51" s="223">
        <f>$F$51/'Med-Prices'!$F$23*'Med-Prices'!$H$23*'Acute Treat'!T51*'Acute Treat'!$I$51*'Acute Treat'!$D$51</f>
        <v>73.5</v>
      </c>
      <c r="P51" s="551">
        <f t="shared" si="13"/>
        <v>4</v>
      </c>
      <c r="Q51" s="551">
        <f t="shared" si="14"/>
        <v>6</v>
      </c>
      <c r="R51" s="551">
        <f t="shared" si="15"/>
        <v>9</v>
      </c>
      <c r="S51" s="551">
        <f t="shared" si="16"/>
        <v>12</v>
      </c>
      <c r="T51" s="551">
        <f t="shared" si="17"/>
        <v>14</v>
      </c>
    </row>
    <row r="52" spans="1:21" hidden="1" outlineLevel="1" x14ac:dyDescent="0.25">
      <c r="A52" s="462"/>
      <c r="B52" s="369" t="s">
        <v>1098</v>
      </c>
      <c r="C52" s="106"/>
      <c r="D52" s="470">
        <v>1</v>
      </c>
      <c r="E52" s="471" t="s">
        <v>793</v>
      </c>
      <c r="F52" s="472">
        <v>50</v>
      </c>
      <c r="G52" s="364" t="s">
        <v>1072</v>
      </c>
      <c r="H52" s="353" t="s">
        <v>1073</v>
      </c>
      <c r="I52" s="364">
        <v>7</v>
      </c>
      <c r="J52" s="223">
        <f>$F52/'Med-Prices'!$F$21*'Med-Prices'!$H$21*P$52*$I52*$D52</f>
        <v>6.6779999999999999</v>
      </c>
      <c r="K52" s="223">
        <f>$F52/'Med-Prices'!$F$21*'Med-Prices'!$H$21*Q$52*$I52*$D52</f>
        <v>10.016999999999999</v>
      </c>
      <c r="L52" s="223">
        <f>$F52/'Med-Prices'!$F$21*'Med-Prices'!$H$21*R$52*$I52*$D52</f>
        <v>15.025500000000001</v>
      </c>
      <c r="M52" s="223">
        <f>$F52/'Med-Prices'!$F$21*'Med-Prices'!$H$21*S$52*$I52*$D52</f>
        <v>20.033999999999999</v>
      </c>
      <c r="N52" s="223">
        <f>$F52/'Med-Prices'!$F$21*'Med-Prices'!$H$21*T$52*$I52*$D52</f>
        <v>23.373000000000001</v>
      </c>
      <c r="P52" s="551">
        <f t="shared" si="13"/>
        <v>4</v>
      </c>
      <c r="Q52" s="551">
        <f t="shared" si="14"/>
        <v>6</v>
      </c>
      <c r="R52" s="551">
        <f t="shared" si="15"/>
        <v>9</v>
      </c>
      <c r="S52" s="551">
        <f t="shared" si="16"/>
        <v>12</v>
      </c>
      <c r="T52" s="551">
        <f t="shared" si="17"/>
        <v>14</v>
      </c>
    </row>
    <row r="53" spans="1:21" hidden="1" outlineLevel="1" x14ac:dyDescent="0.25">
      <c r="A53" s="462"/>
      <c r="B53" s="369" t="s">
        <v>1068</v>
      </c>
      <c r="C53" s="106"/>
      <c r="D53" s="470">
        <v>1</v>
      </c>
      <c r="E53" s="471" t="s">
        <v>793</v>
      </c>
      <c r="F53" s="472">
        <v>15</v>
      </c>
      <c r="G53" s="364" t="s">
        <v>1072</v>
      </c>
      <c r="H53" s="353" t="s">
        <v>1073</v>
      </c>
      <c r="I53" s="364">
        <v>7</v>
      </c>
      <c r="J53" s="223">
        <f>$F$53/'Med-Prices'!$F$22*'Med-Prices'!$H$22*P53*$D$53*$I$53</f>
        <v>29.736000000000001</v>
      </c>
      <c r="K53" s="223">
        <f>$F$53/'Med-Prices'!$F$22*'Med-Prices'!$H$22*Q53*$D$53*$I$53</f>
        <v>44.603999999999999</v>
      </c>
      <c r="L53" s="223">
        <f>$F$53/'Med-Prices'!$F$22*'Med-Prices'!$H$22*R53*$D$53*$I$53</f>
        <v>66.906000000000006</v>
      </c>
      <c r="M53" s="223">
        <f>$F$53/'Med-Prices'!$F$22*'Med-Prices'!$H$22*S53*$D$53*$I$53</f>
        <v>89.207999999999998</v>
      </c>
      <c r="N53" s="223">
        <f>$F$53/'Med-Prices'!$F$22*'Med-Prices'!$H$22*T53*$D$53*$I$53</f>
        <v>104.07600000000001</v>
      </c>
      <c r="P53" s="551">
        <f t="shared" si="13"/>
        <v>4</v>
      </c>
      <c r="Q53" s="551">
        <f t="shared" si="14"/>
        <v>6</v>
      </c>
      <c r="R53" s="551">
        <f t="shared" si="15"/>
        <v>9</v>
      </c>
      <c r="S53" s="551">
        <f t="shared" si="16"/>
        <v>12</v>
      </c>
      <c r="T53" s="551">
        <f t="shared" si="17"/>
        <v>14</v>
      </c>
    </row>
    <row r="54" spans="1:21" hidden="1" outlineLevel="1" x14ac:dyDescent="0.25">
      <c r="A54" s="462"/>
      <c r="B54" s="369" t="s">
        <v>1125</v>
      </c>
      <c r="C54" s="106"/>
      <c r="D54" s="470">
        <v>0.5</v>
      </c>
      <c r="E54" s="471" t="s">
        <v>803</v>
      </c>
      <c r="F54" s="472">
        <v>1</v>
      </c>
      <c r="G54" s="353" t="s">
        <v>1117</v>
      </c>
      <c r="H54" s="353" t="s">
        <v>1076</v>
      </c>
      <c r="I54" s="364"/>
      <c r="J54" s="223">
        <f>$D$54*$F$54*'Med-Prices'!$H$39</f>
        <v>0.71499999999999997</v>
      </c>
      <c r="K54" s="223">
        <f>$D$54*$F$54*'Med-Prices'!$H$39</f>
        <v>0.71499999999999997</v>
      </c>
      <c r="L54" s="223">
        <f>$D$54*$F$54*'Med-Prices'!$H$39</f>
        <v>0.71499999999999997</v>
      </c>
      <c r="M54" s="223">
        <f>$D$54*$F$54*'Med-Prices'!$H$39</f>
        <v>0.71499999999999997</v>
      </c>
      <c r="N54" s="223">
        <f>$D$54*$F$54*'Med-Prices'!$H$39</f>
        <v>0.71499999999999997</v>
      </c>
      <c r="P54" s="551">
        <f t="shared" si="13"/>
        <v>1</v>
      </c>
      <c r="Q54" s="551">
        <f t="shared" si="14"/>
        <v>1</v>
      </c>
      <c r="R54" s="551">
        <f t="shared" si="15"/>
        <v>1</v>
      </c>
      <c r="S54" s="551">
        <f t="shared" si="16"/>
        <v>1</v>
      </c>
      <c r="T54" s="551">
        <f t="shared" si="17"/>
        <v>1</v>
      </c>
    </row>
    <row r="55" spans="1:21" hidden="1" outlineLevel="1" x14ac:dyDescent="0.25">
      <c r="A55" s="462"/>
      <c r="B55" s="369" t="s">
        <v>534</v>
      </c>
      <c r="C55" s="106"/>
      <c r="D55" s="470">
        <v>1</v>
      </c>
      <c r="E55" s="471" t="s">
        <v>1194</v>
      </c>
      <c r="F55" s="472">
        <v>1</v>
      </c>
      <c r="G55" s="353" t="s">
        <v>1117</v>
      </c>
      <c r="H55" s="353" t="s">
        <v>1073</v>
      </c>
      <c r="I55" s="364">
        <v>7</v>
      </c>
      <c r="J55" s="223">
        <f>$D$55*$F$55*'Med-Prices'!$H$6*'Acute Treat'!$I$55</f>
        <v>21.91</v>
      </c>
      <c r="K55" s="223">
        <f>$D$55*$F$55*'Med-Prices'!$H$6*'Acute Treat'!$I$55</f>
        <v>21.91</v>
      </c>
      <c r="L55" s="223">
        <f>$D$55*$F$55*'Med-Prices'!$H$6*'Acute Treat'!$I$55</f>
        <v>21.91</v>
      </c>
      <c r="M55" s="223">
        <f>$D$55*$F$55*'Med-Prices'!$H$6*'Acute Treat'!$I$55</f>
        <v>21.91</v>
      </c>
      <c r="N55" s="223">
        <f>$D$55*$F$55*'Med-Prices'!$H$6*'Acute Treat'!$I$55</f>
        <v>21.91</v>
      </c>
      <c r="P55" s="551">
        <f t="shared" si="13"/>
        <v>1</v>
      </c>
      <c r="Q55" s="551">
        <f t="shared" si="14"/>
        <v>1</v>
      </c>
      <c r="R55" s="551">
        <f t="shared" si="15"/>
        <v>1</v>
      </c>
      <c r="S55" s="551">
        <f t="shared" si="16"/>
        <v>1</v>
      </c>
      <c r="T55" s="551">
        <f t="shared" si="17"/>
        <v>1</v>
      </c>
    </row>
    <row r="56" spans="1:21" hidden="1" outlineLevel="1" x14ac:dyDescent="0.25">
      <c r="B56" s="369" t="s">
        <v>1193</v>
      </c>
      <c r="C56" s="466"/>
      <c r="D56" s="470">
        <v>1</v>
      </c>
      <c r="E56" s="471" t="s">
        <v>785</v>
      </c>
      <c r="F56" s="472">
        <v>10</v>
      </c>
      <c r="G56" s="364" t="s">
        <v>1072</v>
      </c>
      <c r="H56" s="353" t="s">
        <v>1073</v>
      </c>
      <c r="I56" s="364">
        <v>1</v>
      </c>
      <c r="J56" s="223">
        <f>$F$56/'Med-Prices'!$F$26*'Med-Prices'!$H$26*'Acute Treat'!P56*'Acute Treat'!$I$56*'Acute Treat'!$D$56</f>
        <v>0.30840000000000001</v>
      </c>
      <c r="K56" s="223">
        <f>$F$56/'Med-Prices'!$F$26*'Med-Prices'!$H$26*'Acute Treat'!Q56*'Acute Treat'!$I$56*'Acute Treat'!$D$56</f>
        <v>0.46260000000000001</v>
      </c>
      <c r="L56" s="223">
        <f>$F$56/'Med-Prices'!$F$26*'Med-Prices'!$H$26*'Acute Treat'!R56*'Acute Treat'!$I$56*'Acute Treat'!$D$56</f>
        <v>0.69389999999999996</v>
      </c>
      <c r="M56" s="223">
        <f>$F$56/'Med-Prices'!$F$26*'Med-Prices'!$H$26*'Acute Treat'!S56*'Acute Treat'!$I$56*'Acute Treat'!$D$56</f>
        <v>0.92520000000000002</v>
      </c>
      <c r="N56" s="223">
        <f>$F$56/'Med-Prices'!$F$26*'Med-Prices'!$H$26*'Acute Treat'!T56*'Acute Treat'!$I$56*'Acute Treat'!$D$56</f>
        <v>1.0794000000000001</v>
      </c>
      <c r="P56" s="551">
        <f t="shared" si="13"/>
        <v>4</v>
      </c>
      <c r="Q56" s="551">
        <f t="shared" si="14"/>
        <v>6</v>
      </c>
      <c r="R56" s="551">
        <f t="shared" si="15"/>
        <v>9</v>
      </c>
      <c r="S56" s="551">
        <f t="shared" si="16"/>
        <v>12</v>
      </c>
      <c r="T56" s="551">
        <f t="shared" si="17"/>
        <v>14</v>
      </c>
    </row>
    <row r="57" spans="1:21" hidden="1" outlineLevel="1" x14ac:dyDescent="0.25">
      <c r="B57" s="369" t="s">
        <v>1178</v>
      </c>
      <c r="D57" s="470">
        <v>1</v>
      </c>
      <c r="E57" s="471" t="s">
        <v>785</v>
      </c>
      <c r="F57" s="472">
        <v>5</v>
      </c>
      <c r="G57" s="364" t="s">
        <v>1072</v>
      </c>
      <c r="H57" s="353" t="s">
        <v>1073</v>
      </c>
      <c r="I57" s="364">
        <v>1</v>
      </c>
      <c r="J57" s="223">
        <f>$F$57/'Med-Prices'!$F$27*'Med-Prices'!$H$27*'Acute Treat'!P57*'Acute Treat'!$I$57*'Acute Treat'!$D$57</f>
        <v>0.2268</v>
      </c>
      <c r="K57" s="223">
        <f>$F$57/'Med-Prices'!$F$27*'Med-Prices'!$H$27*'Acute Treat'!Q57*'Acute Treat'!$I$57*'Acute Treat'!$D$57</f>
        <v>0.3402</v>
      </c>
      <c r="L57" s="223">
        <f>$F$57/'Med-Prices'!$F$27*'Med-Prices'!$H$27*'Acute Treat'!R57*'Acute Treat'!$I$57*'Acute Treat'!$D$57</f>
        <v>0.51029999999999998</v>
      </c>
      <c r="M57" s="223">
        <f>$F$57/'Med-Prices'!$F$27*'Med-Prices'!$H$27*'Acute Treat'!S57*'Acute Treat'!$I$57*'Acute Treat'!$D$57</f>
        <v>0.6804</v>
      </c>
      <c r="N57" s="223">
        <f>$F$57/'Med-Prices'!$F$27*'Med-Prices'!$H$27*'Acute Treat'!T57*'Acute Treat'!$I$57*'Acute Treat'!$D$57</f>
        <v>0.79380000000000006</v>
      </c>
      <c r="P57" s="551">
        <f t="shared" si="13"/>
        <v>4</v>
      </c>
      <c r="Q57" s="551">
        <f t="shared" si="14"/>
        <v>6</v>
      </c>
      <c r="R57" s="551">
        <f t="shared" si="15"/>
        <v>9</v>
      </c>
      <c r="S57" s="551">
        <f t="shared" si="16"/>
        <v>12</v>
      </c>
      <c r="T57" s="551">
        <f t="shared" si="17"/>
        <v>14</v>
      </c>
    </row>
    <row r="58" spans="1:21" hidden="1" outlineLevel="1" x14ac:dyDescent="0.25">
      <c r="B58" s="369" t="s">
        <v>1350</v>
      </c>
      <c r="C58" s="369"/>
      <c r="D58" s="470">
        <v>0.3</v>
      </c>
      <c r="E58" s="471" t="s">
        <v>1228</v>
      </c>
      <c r="I58" s="364">
        <v>7</v>
      </c>
      <c r="J58" s="223">
        <f>$D$58*$I$58*'Med-Prices'!$H$29*$C$97</f>
        <v>8.0500000000000007</v>
      </c>
      <c r="K58" s="223">
        <f>$D$58*$I$58*'Med-Prices'!$H$29*$C$97</f>
        <v>8.0500000000000007</v>
      </c>
      <c r="L58" s="223">
        <f>$D$58*$I$58*'Med-Prices'!$H$29*$C$97</f>
        <v>8.0500000000000007</v>
      </c>
      <c r="M58" s="223">
        <f>$D$58*$I$58*'Med-Prices'!$H$29*$C$97</f>
        <v>8.0500000000000007</v>
      </c>
      <c r="N58" s="223">
        <f>$D$58*$I$58*'Med-Prices'!$H$29*$C$97</f>
        <v>8.0500000000000007</v>
      </c>
      <c r="P58" s="551">
        <f t="shared" si="13"/>
        <v>1</v>
      </c>
      <c r="Q58" s="551">
        <f t="shared" si="14"/>
        <v>1</v>
      </c>
      <c r="R58" s="551">
        <f t="shared" si="15"/>
        <v>1</v>
      </c>
      <c r="S58" s="551">
        <f t="shared" si="16"/>
        <v>1</v>
      </c>
      <c r="T58" s="551">
        <f t="shared" si="17"/>
        <v>1</v>
      </c>
    </row>
    <row r="59" spans="1:21" ht="15.75" hidden="1" outlineLevel="1" thickBot="1" x14ac:dyDescent="0.3">
      <c r="B59" s="369"/>
      <c r="J59" s="500">
        <f>SUM(J44:J58)</f>
        <v>907.07083999999998</v>
      </c>
      <c r="K59" s="500">
        <f t="shared" ref="K59:N59" si="18">SUM(K44:K58)</f>
        <v>1344.8678400000001</v>
      </c>
      <c r="L59" s="500">
        <f t="shared" si="18"/>
        <v>2001.5633399999999</v>
      </c>
      <c r="M59" s="500">
        <f t="shared" si="18"/>
        <v>2658.2588400000004</v>
      </c>
      <c r="N59" s="500">
        <f t="shared" si="18"/>
        <v>3096.0558400000004</v>
      </c>
    </row>
    <row r="60" spans="1:21" ht="15.75" hidden="1" outlineLevel="1" thickTop="1" x14ac:dyDescent="0.25">
      <c r="B60" s="533"/>
    </row>
    <row r="61" spans="1:21" s="694" customFormat="1" hidden="1" outlineLevel="1" x14ac:dyDescent="0.25">
      <c r="B61" s="697" t="s">
        <v>1196</v>
      </c>
      <c r="C61" s="698"/>
      <c r="D61" s="698"/>
      <c r="E61" s="698"/>
      <c r="F61" s="698"/>
      <c r="G61" s="698"/>
      <c r="H61" s="698"/>
      <c r="I61" s="698"/>
      <c r="J61" s="698" t="s">
        <v>1058</v>
      </c>
      <c r="K61" s="698" t="s">
        <v>1059</v>
      </c>
      <c r="L61" s="698" t="s">
        <v>1060</v>
      </c>
      <c r="M61" s="698" t="s">
        <v>1061</v>
      </c>
      <c r="N61" s="698" t="s">
        <v>1062</v>
      </c>
      <c r="P61" s="699"/>
      <c r="Q61" s="699"/>
      <c r="R61" s="699"/>
      <c r="S61" s="699"/>
      <c r="T61" s="699"/>
      <c r="U61" s="699"/>
    </row>
    <row r="62" spans="1:21" hidden="1" outlineLevel="1" x14ac:dyDescent="0.25">
      <c r="B62" s="369" t="s">
        <v>1101</v>
      </c>
      <c r="C62" s="458"/>
      <c r="D62" s="470">
        <v>1</v>
      </c>
      <c r="E62" s="471" t="s">
        <v>1121</v>
      </c>
      <c r="F62" s="472">
        <v>38</v>
      </c>
      <c r="G62" s="364" t="s">
        <v>1072</v>
      </c>
      <c r="H62" s="353" t="s">
        <v>1073</v>
      </c>
      <c r="I62" s="364">
        <v>80</v>
      </c>
      <c r="J62" s="223">
        <f>$F$62/'Med-Prices'!$F$36*'Med-Prices'!$H$36*P62*$D$62*$I$62</f>
        <v>868.49422222222233</v>
      </c>
      <c r="K62" s="223">
        <f>$F$62/'Med-Prices'!$F$36*'Med-Prices'!$H$36*Q62*$D$62*$I$62</f>
        <v>1302.7413333333334</v>
      </c>
      <c r="L62" s="223">
        <f>$F$62/'Med-Prices'!$F$36*'Med-Prices'!$H$36*R62*$D$62*$I$62</f>
        <v>1954.1120000000001</v>
      </c>
      <c r="M62" s="223">
        <f>$F$62/'Med-Prices'!$F$36*'Med-Prices'!$H$36*S62*$D$62*$I$62</f>
        <v>2605.4826666666668</v>
      </c>
      <c r="N62" s="223">
        <f>$F$62/'Med-Prices'!$F$36*'Med-Prices'!$H$36*T62*$D$62*$I$62</f>
        <v>3039.7297777777785</v>
      </c>
      <c r="P62" s="551">
        <f>IF($G62="Per kg",J$43,1)</f>
        <v>4</v>
      </c>
      <c r="Q62" s="551">
        <f t="shared" ref="Q62:T63" si="19">IF($G62="Per kg",K$43,1)</f>
        <v>6</v>
      </c>
      <c r="R62" s="551">
        <f t="shared" si="19"/>
        <v>9</v>
      </c>
      <c r="S62" s="551">
        <f t="shared" si="19"/>
        <v>12</v>
      </c>
      <c r="T62" s="551">
        <f t="shared" si="19"/>
        <v>14</v>
      </c>
    </row>
    <row r="63" spans="1:21" hidden="1" outlineLevel="1" x14ac:dyDescent="0.25">
      <c r="B63" s="369" t="s">
        <v>1350</v>
      </c>
      <c r="D63" s="470">
        <v>0.3</v>
      </c>
      <c r="E63" s="471" t="s">
        <v>1228</v>
      </c>
      <c r="I63" s="364">
        <v>14</v>
      </c>
      <c r="J63" s="223">
        <f>$I$63*$D$63*'Med-Prices'!$H$29*$C$97</f>
        <v>16.100000000000001</v>
      </c>
      <c r="K63" s="223">
        <f>$I$63*$D$63*'Med-Prices'!$H$29*$C$97</f>
        <v>16.100000000000001</v>
      </c>
      <c r="L63" s="223">
        <f>$I$63*$D$63*'Med-Prices'!$H$29*$C$97</f>
        <v>16.100000000000001</v>
      </c>
      <c r="M63" s="223">
        <f>$I$63*$D$63*'Med-Prices'!$H$29*$C$97</f>
        <v>16.100000000000001</v>
      </c>
      <c r="N63" s="223">
        <f>$I$63*$D$63*'Med-Prices'!$H$29*$C$97</f>
        <v>16.100000000000001</v>
      </c>
      <c r="P63" s="551">
        <f t="shared" si="13"/>
        <v>1</v>
      </c>
      <c r="Q63" s="551">
        <f t="shared" si="19"/>
        <v>1</v>
      </c>
      <c r="R63" s="551">
        <f t="shared" si="19"/>
        <v>1</v>
      </c>
      <c r="S63" s="551">
        <f t="shared" si="19"/>
        <v>1</v>
      </c>
      <c r="T63" s="551">
        <f t="shared" si="19"/>
        <v>1</v>
      </c>
    </row>
    <row r="64" spans="1:21" ht="15.75" collapsed="1" thickBot="1" x14ac:dyDescent="0.3">
      <c r="B64" s="369"/>
      <c r="J64" s="500">
        <f>SUM(J62:J63)</f>
        <v>884.59422222222236</v>
      </c>
      <c r="K64" s="500">
        <f t="shared" ref="K64:N64" si="20">SUM(K62:K63)</f>
        <v>1318.8413333333333</v>
      </c>
      <c r="L64" s="500">
        <f t="shared" si="20"/>
        <v>1970.212</v>
      </c>
      <c r="M64" s="500">
        <f t="shared" si="20"/>
        <v>2621.5826666666667</v>
      </c>
      <c r="N64" s="500">
        <f t="shared" si="20"/>
        <v>3055.8297777777784</v>
      </c>
    </row>
    <row r="65" spans="2:13" ht="15.75" thickTop="1" x14ac:dyDescent="0.25">
      <c r="B65" s="369"/>
      <c r="J65" s="688"/>
    </row>
    <row r="66" spans="2:13" x14ac:dyDescent="0.25">
      <c r="B66" s="369"/>
    </row>
    <row r="67" spans="2:13" x14ac:dyDescent="0.25">
      <c r="B67" s="369"/>
    </row>
    <row r="68" spans="2:13" x14ac:dyDescent="0.25">
      <c r="B68" s="369"/>
    </row>
    <row r="69" spans="2:13" x14ac:dyDescent="0.25">
      <c r="B69" s="369"/>
    </row>
    <row r="70" spans="2:13" x14ac:dyDescent="0.25">
      <c r="B70" s="369"/>
    </row>
    <row r="71" spans="2:13" x14ac:dyDescent="0.25">
      <c r="B71" s="369"/>
    </row>
    <row r="72" spans="2:13" x14ac:dyDescent="0.25">
      <c r="B72" s="369"/>
    </row>
    <row r="73" spans="2:13" x14ac:dyDescent="0.25">
      <c r="B73" s="369"/>
      <c r="K73" s="573"/>
      <c r="M73" s="574"/>
    </row>
    <row r="74" spans="2:13" x14ac:dyDescent="0.25">
      <c r="B74" s="369"/>
      <c r="K74" s="573"/>
      <c r="M74" s="574"/>
    </row>
    <row r="75" spans="2:13" x14ac:dyDescent="0.25">
      <c r="B75" s="369"/>
    </row>
    <row r="76" spans="2:13" x14ac:dyDescent="0.25">
      <c r="B76" s="369"/>
    </row>
    <row r="77" spans="2:13" x14ac:dyDescent="0.25">
      <c r="B77" s="369"/>
    </row>
    <row r="78" spans="2:13" x14ac:dyDescent="0.25">
      <c r="B78" s="369"/>
    </row>
    <row r="79" spans="2:13" x14ac:dyDescent="0.25">
      <c r="B79" s="369"/>
    </row>
    <row r="80" spans="2:13" x14ac:dyDescent="0.25">
      <c r="B80" s="369"/>
    </row>
    <row r="81" spans="2:14" x14ac:dyDescent="0.25">
      <c r="B81" s="369"/>
    </row>
    <row r="82" spans="2:14" hidden="1" x14ac:dyDescent="0.25">
      <c r="B82" s="369"/>
    </row>
    <row r="83" spans="2:14" hidden="1" x14ac:dyDescent="0.25">
      <c r="F83" s="573"/>
    </row>
    <row r="84" spans="2:14" hidden="1" x14ac:dyDescent="0.25">
      <c r="B84" s="480" t="s">
        <v>1108</v>
      </c>
    </row>
    <row r="85" spans="2:14" hidden="1" x14ac:dyDescent="0.25">
      <c r="B85" s="478" t="s">
        <v>1157</v>
      </c>
      <c r="J85" s="530">
        <f>SUM(J12:J13)</f>
        <v>62.987520000000004</v>
      </c>
      <c r="K85" s="530">
        <f t="shared" ref="K85:N85" si="21">SUM(K12:K13)</f>
        <v>94.481279999999998</v>
      </c>
      <c r="L85" s="530">
        <f t="shared" si="21"/>
        <v>141.72191999999998</v>
      </c>
      <c r="M85" s="530">
        <f t="shared" si="21"/>
        <v>188.96256</v>
      </c>
      <c r="N85" s="530">
        <f t="shared" si="21"/>
        <v>220.45632000000001</v>
      </c>
    </row>
    <row r="86" spans="2:14" hidden="1" x14ac:dyDescent="0.25">
      <c r="B86" s="478" t="s">
        <v>1158</v>
      </c>
      <c r="J86" s="530">
        <f>J14</f>
        <v>28.75</v>
      </c>
      <c r="K86" s="530">
        <f t="shared" ref="K86:N86" si="22">K14</f>
        <v>28.75</v>
      </c>
      <c r="L86" s="530">
        <f t="shared" si="22"/>
        <v>28.75</v>
      </c>
      <c r="M86" s="530">
        <f t="shared" si="22"/>
        <v>28.75</v>
      </c>
      <c r="N86" s="530">
        <f t="shared" si="22"/>
        <v>28.75</v>
      </c>
    </row>
    <row r="87" spans="2:14" hidden="1" x14ac:dyDescent="0.25">
      <c r="B87" s="481" t="s">
        <v>1104</v>
      </c>
    </row>
    <row r="88" spans="2:14" hidden="1" x14ac:dyDescent="0.25">
      <c r="B88" s="478" t="s">
        <v>1157</v>
      </c>
      <c r="J88" s="530">
        <f>SUM(J19:J22)</f>
        <v>226.62538000000001</v>
      </c>
      <c r="K88" s="530">
        <f t="shared" ref="K88:N88" si="23">SUM(K19:K22)</f>
        <v>336.44937999999996</v>
      </c>
      <c r="L88" s="530">
        <f t="shared" si="23"/>
        <v>501.18537999999995</v>
      </c>
      <c r="M88" s="530">
        <f t="shared" si="23"/>
        <v>665.92138</v>
      </c>
      <c r="N88" s="530">
        <f t="shared" si="23"/>
        <v>775.74538000000007</v>
      </c>
    </row>
    <row r="89" spans="2:14" hidden="1" x14ac:dyDescent="0.25">
      <c r="B89" s="478" t="s">
        <v>1158</v>
      </c>
      <c r="J89" s="530">
        <f>SUM(J25:J27)</f>
        <v>110.389</v>
      </c>
      <c r="K89" s="530">
        <f t="shared" ref="K89:N89" si="24">SUM(K25:K27)</f>
        <v>114.10599999999999</v>
      </c>
      <c r="L89" s="530">
        <f t="shared" si="24"/>
        <v>119.6815</v>
      </c>
      <c r="M89" s="530">
        <f t="shared" si="24"/>
        <v>125.25700000000001</v>
      </c>
      <c r="N89" s="530">
        <f t="shared" si="24"/>
        <v>128.97399999999999</v>
      </c>
    </row>
    <row r="90" spans="2:14" hidden="1" x14ac:dyDescent="0.25">
      <c r="B90" s="477" t="s">
        <v>1115</v>
      </c>
    </row>
    <row r="91" spans="2:14" hidden="1" x14ac:dyDescent="0.25">
      <c r="B91" s="478" t="s">
        <v>1157</v>
      </c>
      <c r="J91" s="530">
        <f>SUM(J32:J34)</f>
        <v>327.0601950500332</v>
      </c>
      <c r="K91" s="530">
        <f t="shared" ref="K91:N91" si="25">SUM(K32:K34)</f>
        <v>327.0601950500332</v>
      </c>
      <c r="L91" s="530">
        <f t="shared" si="25"/>
        <v>327.0601950500332</v>
      </c>
      <c r="M91" s="530">
        <f t="shared" si="25"/>
        <v>327.0601950500332</v>
      </c>
      <c r="N91" s="530">
        <f t="shared" si="25"/>
        <v>327.0601950500332</v>
      </c>
    </row>
    <row r="92" spans="2:14" hidden="1" x14ac:dyDescent="0.25">
      <c r="B92" s="478" t="s">
        <v>1158</v>
      </c>
      <c r="J92" s="530">
        <f>SUM(J36:J39)</f>
        <v>81.711600000000004</v>
      </c>
      <c r="K92" s="530">
        <f t="shared" ref="K92:N92" si="26">SUM(K36:K39)</f>
        <v>117.8274</v>
      </c>
      <c r="L92" s="530">
        <f t="shared" si="26"/>
        <v>172.00109999999998</v>
      </c>
      <c r="M92" s="530">
        <f t="shared" si="26"/>
        <v>226.1748</v>
      </c>
      <c r="N92" s="530">
        <f t="shared" si="26"/>
        <v>262.29059999999998</v>
      </c>
    </row>
    <row r="93" spans="2:14" hidden="1" x14ac:dyDescent="0.25">
      <c r="B93" s="462" t="s">
        <v>1127</v>
      </c>
    </row>
    <row r="94" spans="2:14" hidden="1" x14ac:dyDescent="0.25">
      <c r="B94" s="478" t="s">
        <v>1157</v>
      </c>
      <c r="J94" s="530">
        <f>SUM(J44:J47)+J62</f>
        <v>1607.5160622222224</v>
      </c>
      <c r="K94" s="530">
        <f t="shared" ref="K94:N94" si="27">SUM(K44:K47)+K62</f>
        <v>2410.8731733333334</v>
      </c>
      <c r="L94" s="530">
        <f t="shared" si="27"/>
        <v>3615.9088400000001</v>
      </c>
      <c r="M94" s="530">
        <f t="shared" si="27"/>
        <v>4820.9445066666667</v>
      </c>
      <c r="N94" s="530">
        <f t="shared" si="27"/>
        <v>5624.301617777779</v>
      </c>
    </row>
    <row r="95" spans="2:14" hidden="1" x14ac:dyDescent="0.25">
      <c r="B95" s="478" t="s">
        <v>1158</v>
      </c>
      <c r="J95" s="688">
        <f>SUM(J49:J58)+J63</f>
        <v>184.149</v>
      </c>
      <c r="K95" s="542">
        <f t="shared" ref="K95:N95" si="28">SUM(K49:K58)+K63</f>
        <v>252.83600000000001</v>
      </c>
      <c r="L95" s="542">
        <f t="shared" si="28"/>
        <v>355.86649999999997</v>
      </c>
      <c r="M95" s="542">
        <f t="shared" si="28"/>
        <v>458.89700000000005</v>
      </c>
      <c r="N95" s="542">
        <f t="shared" si="28"/>
        <v>527.58399999999995</v>
      </c>
    </row>
    <row r="96" spans="2:14" hidden="1" x14ac:dyDescent="0.25">
      <c r="J96" s="530"/>
      <c r="K96" s="530"/>
      <c r="L96" s="530"/>
      <c r="M96" s="530"/>
      <c r="N96" s="530"/>
    </row>
    <row r="97" spans="2:14" hidden="1" x14ac:dyDescent="0.25">
      <c r="B97" s="704" t="s">
        <v>1351</v>
      </c>
      <c r="C97" s="705">
        <f>IF(PDOH!H176="No",0,1)</f>
        <v>1</v>
      </c>
      <c r="J97" s="530"/>
      <c r="K97" s="530"/>
      <c r="L97" s="530"/>
      <c r="M97" s="530"/>
      <c r="N97" s="530"/>
    </row>
    <row r="98" spans="2:14" hidden="1" x14ac:dyDescent="0.25"/>
  </sheetData>
  <mergeCells count="1">
    <mergeCell ref="C19:C22"/>
  </mergeCells>
  <conditionalFormatting sqref="I44:I45 F44:F45 F50:F51 I36:I38 F36:F38 I32:I34 F32:F34">
    <cfRule type="expression" dxfId="33" priority="66">
      <formula>E32="One off"</formula>
    </cfRule>
  </conditionalFormatting>
  <conditionalFormatting sqref="I46:I47">
    <cfRule type="expression" dxfId="32" priority="62">
      <formula>H46="One off"</formula>
    </cfRule>
  </conditionalFormatting>
  <conditionalFormatting sqref="F46:F47">
    <cfRule type="expression" dxfId="31" priority="61">
      <formula>E46="One off"</formula>
    </cfRule>
  </conditionalFormatting>
  <conditionalFormatting sqref="I49:I51">
    <cfRule type="expression" dxfId="30" priority="60">
      <formula>H49="One off"</formula>
    </cfRule>
  </conditionalFormatting>
  <conditionalFormatting sqref="F49">
    <cfRule type="expression" dxfId="29" priority="59">
      <formula>E49="One off"</formula>
    </cfRule>
  </conditionalFormatting>
  <conditionalFormatting sqref="I53">
    <cfRule type="expression" dxfId="28" priority="56">
      <formula>H53="One off"</formula>
    </cfRule>
  </conditionalFormatting>
  <conditionalFormatting sqref="F53">
    <cfRule type="expression" dxfId="27" priority="55">
      <formula>E53="One off"</formula>
    </cfRule>
  </conditionalFormatting>
  <conditionalFormatting sqref="I54:I57">
    <cfRule type="expression" dxfId="26" priority="54">
      <formula>H54="One off"</formula>
    </cfRule>
  </conditionalFormatting>
  <conditionalFormatting sqref="F54:F57">
    <cfRule type="expression" dxfId="25" priority="53">
      <formula>E54="One off"</formula>
    </cfRule>
  </conditionalFormatting>
  <conditionalFormatting sqref="F19">
    <cfRule type="expression" dxfId="24" priority="50">
      <formula>E19="One off"</formula>
    </cfRule>
  </conditionalFormatting>
  <conditionalFormatting sqref="F20">
    <cfRule type="expression" dxfId="23" priority="48">
      <formula>E20="One off"</formula>
    </cfRule>
  </conditionalFormatting>
  <conditionalFormatting sqref="I25:I27">
    <cfRule type="expression" dxfId="22" priority="43">
      <formula>H25="One off"</formula>
    </cfRule>
  </conditionalFormatting>
  <conditionalFormatting sqref="F25">
    <cfRule type="expression" dxfId="21" priority="42">
      <formula>E25="One off"</formula>
    </cfRule>
  </conditionalFormatting>
  <conditionalFormatting sqref="F26">
    <cfRule type="expression" dxfId="20" priority="38">
      <formula>E26="One off"</formula>
    </cfRule>
  </conditionalFormatting>
  <conditionalFormatting sqref="F12:F13">
    <cfRule type="expression" dxfId="19" priority="25">
      <formula>E12="One off"</formula>
    </cfRule>
  </conditionalFormatting>
  <conditionalFormatting sqref="I52">
    <cfRule type="expression" dxfId="18" priority="22">
      <formula>H52="One off"</formula>
    </cfRule>
  </conditionalFormatting>
  <conditionalFormatting sqref="F52">
    <cfRule type="expression" dxfId="17" priority="21">
      <formula>E52="One off"</formula>
    </cfRule>
  </conditionalFormatting>
  <conditionalFormatting sqref="I62">
    <cfRule type="expression" dxfId="16" priority="20">
      <formula>H62="One off"</formula>
    </cfRule>
  </conditionalFormatting>
  <conditionalFormatting sqref="I12:I14">
    <cfRule type="expression" dxfId="15" priority="16">
      <formula>H12="One off"</formula>
    </cfRule>
  </conditionalFormatting>
  <conditionalFormatting sqref="G12:G13">
    <cfRule type="expression" dxfId="14" priority="15">
      <formula>F12="One off"</formula>
    </cfRule>
  </conditionalFormatting>
  <conditionalFormatting sqref="I19:I22">
    <cfRule type="expression" dxfId="13" priority="17">
      <formula>H19="One off"</formula>
    </cfRule>
  </conditionalFormatting>
  <conditionalFormatting sqref="G19:G22">
    <cfRule type="expression" dxfId="12" priority="14">
      <formula>F19="One off"</formula>
    </cfRule>
  </conditionalFormatting>
  <conditionalFormatting sqref="G25">
    <cfRule type="expression" dxfId="11" priority="13">
      <formula>F25="One off"</formula>
    </cfRule>
  </conditionalFormatting>
  <conditionalFormatting sqref="G32">
    <cfRule type="expression" dxfId="10" priority="12">
      <formula>F32="One off"</formula>
    </cfRule>
  </conditionalFormatting>
  <conditionalFormatting sqref="G36:G37">
    <cfRule type="expression" dxfId="9" priority="11">
      <formula>F36="One off"</formula>
    </cfRule>
  </conditionalFormatting>
  <conditionalFormatting sqref="G44:G45">
    <cfRule type="expression" dxfId="8" priority="10">
      <formula>F44="One off"</formula>
    </cfRule>
  </conditionalFormatting>
  <conditionalFormatting sqref="G49:G53">
    <cfRule type="expression" dxfId="7" priority="8">
      <formula>F49="One off"</formula>
    </cfRule>
  </conditionalFormatting>
  <conditionalFormatting sqref="G56:G57">
    <cfRule type="expression" dxfId="6" priority="7">
      <formula>F56="One off"</formula>
    </cfRule>
  </conditionalFormatting>
  <conditionalFormatting sqref="G62">
    <cfRule type="expression" dxfId="5" priority="6">
      <formula>F62="One off"</formula>
    </cfRule>
  </conditionalFormatting>
  <conditionalFormatting sqref="I39">
    <cfRule type="expression" dxfId="4" priority="5">
      <formula>H39="One off"</formula>
    </cfRule>
  </conditionalFormatting>
  <conditionalFormatting sqref="I58">
    <cfRule type="expression" dxfId="3" priority="4">
      <formula>H58="One off"</formula>
    </cfRule>
  </conditionalFormatting>
  <conditionalFormatting sqref="I63">
    <cfRule type="expression" dxfId="2" priority="3">
      <formula>H63="One off"</formula>
    </cfRule>
  </conditionalFormatting>
  <conditionalFormatting sqref="F62">
    <cfRule type="expression" dxfId="1" priority="2">
      <formula>E62="One off"</formula>
    </cfRule>
  </conditionalFormatting>
  <conditionalFormatting sqref="F21:F22">
    <cfRule type="expression" dxfId="0" priority="1">
      <formula>E21="One off"</formula>
    </cfRule>
  </conditionalFormatting>
  <dataValidations count="3">
    <dataValidation allowBlank="1" showInputMessage="1" showErrorMessage="1" prompt="If the dose is per day and this is left blank the number of days used will be the length of treatment" sqref="I9:I10 I3:I4"/>
    <dataValidation allowBlank="1" showInputMessage="1" showErrorMessage="1" promptTitle="Dose per kg" prompt="If Yes is selected the dose is multiplied by the weight of the child specified for the category" sqref="G9:G11 G3:G4"/>
    <dataValidation allowBlank="1" showInputMessage="1" showErrorMessage="1" promptTitle="Frequency" prompt="One off means dose is given once only - whereas per day is given every day for length of treatment as per category and as per level of complication" sqref="H3:H11"/>
  </dataValidations>
  <pageMargins left="0.7" right="0.7" top="0.75" bottom="0.75" header="0.3" footer="0.3"/>
  <pageSetup paperSize="9" orientation="portrait" horizontalDpi="0" verticalDpi="0"/>
  <legacyDrawing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Lists!$C$21:$C$22</xm:f>
          </x14:formula1>
          <xm:sqref>H19:H22 H53:H57 H36:H38 H44:H47 H49:H51 H62 H25:H26 H32:H34 H12:H13</xm:sqref>
        </x14:dataValidation>
        <x14:dataValidation type="list" allowBlank="1" showInputMessage="1" showErrorMessage="1">
          <x14:formula1>
            <xm:f>Lists!$B$5:$B$6</xm:f>
          </x14:formula1>
          <xm:sqref>G12:G13 G56:G57 G53 G36:G37 G49:G51 G19:G22 G32 G25 G44:G45 G62</xm:sqref>
        </x14:dataValidation>
        <x14:dataValidation type="list" allowBlank="1" showInputMessage="1" showErrorMessage="1">
          <x14:formula1>
            <xm:f>[2]Lists!#REF!</xm:f>
          </x14:formula1>
          <xm:sqref>G52:H52</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7"/>
  <sheetViews>
    <sheetView showGridLines="0" workbookViewId="0">
      <pane xSplit="16" ySplit="48" topLeftCell="Q58" activePane="bottomRight" state="frozen"/>
      <selection pane="topRight" activeCell="Q1" sqref="Q1"/>
      <selection pane="bottomLeft" activeCell="A49" sqref="A49"/>
      <selection pane="bottomRight" activeCell="B17" sqref="B17"/>
    </sheetView>
  </sheetViews>
  <sheetFormatPr defaultColWidth="8.85546875" defaultRowHeight="12.75" x14ac:dyDescent="0.2"/>
  <cols>
    <col min="1" max="1" width="8.85546875" style="654"/>
    <col min="2" max="2" width="22.85546875" style="653" customWidth="1"/>
    <col min="3" max="3" width="111" style="5" bestFit="1" customWidth="1"/>
    <col min="4" max="4" width="8.85546875" style="5"/>
    <col min="5" max="16384" width="8.85546875" style="654"/>
  </cols>
  <sheetData>
    <row r="1" spans="2:3" ht="8.25" customHeight="1" x14ac:dyDescent="0.2"/>
    <row r="2" spans="2:3" ht="17.25" customHeight="1" x14ac:dyDescent="0.25">
      <c r="B2" s="652" t="s">
        <v>1333</v>
      </c>
    </row>
    <row r="3" spans="2:3" x14ac:dyDescent="0.2">
      <c r="B3" s="655" t="s">
        <v>1332</v>
      </c>
      <c r="C3" s="1" t="s">
        <v>1308</v>
      </c>
    </row>
    <row r="4" spans="2:3" x14ac:dyDescent="0.2">
      <c r="B4" s="665" t="s">
        <v>1289</v>
      </c>
      <c r="C4" s="5" t="s">
        <v>1309</v>
      </c>
    </row>
    <row r="5" spans="2:3" x14ac:dyDescent="0.2">
      <c r="B5" s="656" t="s">
        <v>1290</v>
      </c>
      <c r="C5" s="5" t="s">
        <v>1334</v>
      </c>
    </row>
    <row r="6" spans="2:3" x14ac:dyDescent="0.2">
      <c r="B6" s="657" t="s">
        <v>1291</v>
      </c>
      <c r="C6" s="5" t="s">
        <v>1310</v>
      </c>
    </row>
    <row r="7" spans="2:3" x14ac:dyDescent="0.2">
      <c r="B7" s="658" t="s">
        <v>1292</v>
      </c>
      <c r="C7" s="5" t="s">
        <v>1311</v>
      </c>
    </row>
    <row r="8" spans="2:3" x14ac:dyDescent="0.2">
      <c r="B8" s="659" t="s">
        <v>1293</v>
      </c>
      <c r="C8" s="5" t="s">
        <v>1312</v>
      </c>
    </row>
    <row r="9" spans="2:3" x14ac:dyDescent="0.2">
      <c r="B9" s="660" t="s">
        <v>1294</v>
      </c>
      <c r="C9" s="5" t="s">
        <v>1313</v>
      </c>
    </row>
    <row r="10" spans="2:3" x14ac:dyDescent="0.2">
      <c r="B10" s="661" t="s">
        <v>1295</v>
      </c>
      <c r="C10" s="5" t="s">
        <v>1314</v>
      </c>
    </row>
    <row r="11" spans="2:3" x14ac:dyDescent="0.2">
      <c r="B11" s="661" t="s">
        <v>1296</v>
      </c>
      <c r="C11" s="5" t="s">
        <v>1315</v>
      </c>
    </row>
    <row r="12" spans="2:3" x14ac:dyDescent="0.2">
      <c r="B12" s="662" t="s">
        <v>1297</v>
      </c>
      <c r="C12" s="5" t="s">
        <v>1316</v>
      </c>
    </row>
    <row r="13" spans="2:3" x14ac:dyDescent="0.2">
      <c r="B13" s="662" t="s">
        <v>1</v>
      </c>
      <c r="C13" s="5" t="s">
        <v>1317</v>
      </c>
    </row>
    <row r="14" spans="2:3" x14ac:dyDescent="0.2">
      <c r="B14" s="662" t="s">
        <v>560</v>
      </c>
      <c r="C14" s="5" t="s">
        <v>1319</v>
      </c>
    </row>
    <row r="15" spans="2:3" x14ac:dyDescent="0.2">
      <c r="B15" s="662" t="s">
        <v>1298</v>
      </c>
      <c r="C15" s="5" t="s">
        <v>1318</v>
      </c>
    </row>
    <row r="16" spans="2:3" x14ac:dyDescent="0.2">
      <c r="B16" s="662" t="s">
        <v>1519</v>
      </c>
      <c r="C16" s="5" t="s">
        <v>1320</v>
      </c>
    </row>
    <row r="17" spans="2:3" x14ac:dyDescent="0.2">
      <c r="B17" s="662" t="s">
        <v>1299</v>
      </c>
      <c r="C17" s="5" t="s">
        <v>1321</v>
      </c>
    </row>
    <row r="18" spans="2:3" x14ac:dyDescent="0.2">
      <c r="B18" s="662" t="s">
        <v>1300</v>
      </c>
      <c r="C18" s="5" t="s">
        <v>1322</v>
      </c>
    </row>
    <row r="19" spans="2:3" x14ac:dyDescent="0.2">
      <c r="B19" s="662" t="s">
        <v>1301</v>
      </c>
      <c r="C19" s="5" t="s">
        <v>1323</v>
      </c>
    </row>
    <row r="20" spans="2:3" x14ac:dyDescent="0.2">
      <c r="B20" s="663" t="s">
        <v>1302</v>
      </c>
      <c r="C20" s="5" t="s">
        <v>1324</v>
      </c>
    </row>
    <row r="21" spans="2:3" x14ac:dyDescent="0.2">
      <c r="B21" s="663" t="s">
        <v>1303</v>
      </c>
      <c r="C21" s="5" t="s">
        <v>1325</v>
      </c>
    </row>
    <row r="22" spans="2:3" x14ac:dyDescent="0.2">
      <c r="B22" s="659" t="s">
        <v>33</v>
      </c>
      <c r="C22" s="5" t="s">
        <v>1326</v>
      </c>
    </row>
    <row r="23" spans="2:3" x14ac:dyDescent="0.2">
      <c r="B23" s="664" t="s">
        <v>578</v>
      </c>
      <c r="C23" s="5" t="s">
        <v>1327</v>
      </c>
    </row>
    <row r="24" spans="2:3" x14ac:dyDescent="0.2">
      <c r="B24" s="665" t="s">
        <v>1304</v>
      </c>
      <c r="C24" s="5" t="s">
        <v>1328</v>
      </c>
    </row>
    <row r="25" spans="2:3" x14ac:dyDescent="0.2">
      <c r="B25" s="666" t="s">
        <v>1305</v>
      </c>
      <c r="C25" s="5" t="s">
        <v>1329</v>
      </c>
    </row>
    <row r="26" spans="2:3" x14ac:dyDescent="0.2">
      <c r="B26" s="666" t="s">
        <v>1306</v>
      </c>
      <c r="C26" s="5" t="s">
        <v>1330</v>
      </c>
    </row>
    <row r="27" spans="2:3" x14ac:dyDescent="0.2">
      <c r="B27" s="666" t="s">
        <v>1307</v>
      </c>
      <c r="C27" s="5" t="s">
        <v>1331</v>
      </c>
    </row>
  </sheetData>
  <hyperlinks>
    <hyperlink ref="B4" location="'Budget Choices'!A1" display="Budget Choices"/>
    <hyperlink ref="B5" location="Summary!A1" display="Summary"/>
    <hyperlink ref="B6" location="'Catg-Health'!A1" display="Catg-All"/>
    <hyperlink ref="B7" location="'Catg-Health'!A1" display="Catg-Health"/>
    <hyperlink ref="B8" location="'Catg-SWelfare'!A1" display="Catg-Swelfare"/>
    <hyperlink ref="B9" location="'Catg-Agric'!A1" display="Catg-Agric"/>
    <hyperlink ref="B10" location="'Intervention List'!A1" display="Intervention List"/>
    <hyperlink ref="B11" location="'Policy Questions'!A1" display="Policy Questions"/>
    <hyperlink ref="B12" location="'Health - Flow'!A1" display="Health Flow"/>
    <hyperlink ref="B13" location="NDOH!A1" display="NDOH"/>
    <hyperlink ref="B14" location="PDOH!A1" display="PDOH"/>
    <hyperlink ref="B15" location="'Prev Treat'!A1" display="Prev Treat"/>
    <hyperlink ref="B16" location="'Acute Prevalence'!A1" display="Acute Prevalance"/>
    <hyperlink ref="B17" location="'Acute Treat'!A1" display="Acute Treat"/>
    <hyperlink ref="B18" location="'Med-Prices'!A1" display="Med-Prices"/>
    <hyperlink ref="B19" location="'DM&amp;Metros'!A1" display="DM&amp;Metros"/>
    <hyperlink ref="B20" location="NDSD!A1" display="NDSD"/>
    <hyperlink ref="B21" location="PDSD!A1" display="PDSD"/>
    <hyperlink ref="B22" location="SASSA!A1" display="SASSA"/>
    <hyperlink ref="B23" location="Agriculture!A1" display="Agriculture"/>
    <hyperlink ref="B24" location="GenAssumptions!A1" display="GenAssumptions"/>
    <hyperlink ref="B25" location="'H&amp;S Demand'!A1" display="H&amp;S Demand"/>
    <hyperlink ref="B26" location="'Agric Demand'!A1" display="Agric Demand"/>
    <hyperlink ref="B27" location="IES!A1" display="IES"/>
  </hyperlinks>
  <pageMargins left="0.7" right="0.7" top="0.75" bottom="0.75" header="0.3" footer="0.3"/>
  <pageSetup paperSize="9" orientation="portrait" horizontalDpi="0" verticalDpi="0"/>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J41"/>
  <sheetViews>
    <sheetView showGridLines="0" zoomScale="90" zoomScaleNormal="90" zoomScalePageLayoutView="90" workbookViewId="0">
      <pane ySplit="1" topLeftCell="A2" activePane="bottomLeft" state="frozen"/>
      <selection activeCell="H37" sqref="H37"/>
      <selection pane="bottomLeft" activeCell="D29" sqref="D29"/>
    </sheetView>
  </sheetViews>
  <sheetFormatPr defaultColWidth="8.85546875" defaultRowHeight="15" x14ac:dyDescent="0.25"/>
  <cols>
    <col min="1" max="1" width="2.28515625" style="74" customWidth="1"/>
    <col min="2" max="2" width="2.140625" style="74" customWidth="1"/>
    <col min="3" max="3" width="4.28515625" style="354" customWidth="1"/>
    <col min="4" max="4" width="45.85546875" style="74" customWidth="1"/>
    <col min="5" max="5" width="52.42578125" style="74" bestFit="1" customWidth="1"/>
    <col min="6" max="7" width="15.28515625" style="74" customWidth="1"/>
    <col min="8" max="8" width="15.28515625" style="490" customWidth="1"/>
    <col min="9" max="16384" width="8.85546875" style="74"/>
  </cols>
  <sheetData>
    <row r="1" spans="2:8" s="3" customFormat="1" ht="15.75" x14ac:dyDescent="0.25">
      <c r="B1" s="306" t="s">
        <v>1013</v>
      </c>
      <c r="H1" s="489"/>
    </row>
    <row r="3" spans="2:8" ht="15.75" customHeight="1" x14ac:dyDescent="0.25">
      <c r="D3" s="354"/>
    </row>
    <row r="4" spans="2:8" x14ac:dyDescent="0.25">
      <c r="B4" s="73"/>
      <c r="D4" s="340"/>
    </row>
    <row r="5" spans="2:8" x14ac:dyDescent="0.25">
      <c r="B5" s="73"/>
      <c r="D5" s="73" t="s">
        <v>542</v>
      </c>
      <c r="E5" s="73"/>
      <c r="F5" s="75" t="s">
        <v>783</v>
      </c>
      <c r="G5" s="75" t="s">
        <v>784</v>
      </c>
      <c r="H5" s="491" t="s">
        <v>786</v>
      </c>
    </row>
    <row r="6" spans="2:8" x14ac:dyDescent="0.25">
      <c r="B6" s="73"/>
      <c r="D6" s="439" t="s">
        <v>377</v>
      </c>
      <c r="E6" s="27"/>
      <c r="F6" s="120">
        <v>1</v>
      </c>
      <c r="G6" s="217" t="s">
        <v>870</v>
      </c>
      <c r="H6" s="222">
        <v>3.13</v>
      </c>
    </row>
    <row r="7" spans="2:8" x14ac:dyDescent="0.25">
      <c r="B7" s="73"/>
      <c r="D7" s="439" t="s">
        <v>49</v>
      </c>
      <c r="E7" s="27" t="s">
        <v>801</v>
      </c>
      <c r="F7" s="120">
        <v>1</v>
      </c>
      <c r="G7" s="217" t="s">
        <v>795</v>
      </c>
      <c r="H7" s="222">
        <v>1.9</v>
      </c>
    </row>
    <row r="8" spans="2:8" x14ac:dyDescent="0.25">
      <c r="B8" s="73"/>
      <c r="D8" s="439" t="s">
        <v>55</v>
      </c>
      <c r="E8" s="27" t="s">
        <v>787</v>
      </c>
      <c r="F8" s="120">
        <v>100</v>
      </c>
      <c r="G8" s="166" t="s">
        <v>785</v>
      </c>
      <c r="H8" s="222">
        <v>11.76</v>
      </c>
    </row>
    <row r="9" spans="2:8" x14ac:dyDescent="0.25">
      <c r="B9" s="73"/>
      <c r="D9" s="439" t="s">
        <v>1063</v>
      </c>
      <c r="E9" s="27" t="s">
        <v>788</v>
      </c>
      <c r="F9" s="120">
        <v>50</v>
      </c>
      <c r="G9" s="166" t="s">
        <v>789</v>
      </c>
      <c r="H9" s="222">
        <v>32.909999999999997</v>
      </c>
    </row>
    <row r="10" spans="2:8" x14ac:dyDescent="0.25">
      <c r="B10" s="73"/>
      <c r="D10" s="439" t="s">
        <v>1064</v>
      </c>
      <c r="E10" s="27" t="s">
        <v>790</v>
      </c>
      <c r="F10" s="120">
        <v>50</v>
      </c>
      <c r="G10" s="166" t="s">
        <v>789</v>
      </c>
      <c r="H10" s="222">
        <v>43.17</v>
      </c>
    </row>
    <row r="11" spans="2:8" x14ac:dyDescent="0.25">
      <c r="B11" s="73"/>
      <c r="D11" s="439" t="s">
        <v>52</v>
      </c>
      <c r="E11" s="27" t="s">
        <v>798</v>
      </c>
      <c r="F11" s="120">
        <v>100</v>
      </c>
      <c r="G11" s="166" t="s">
        <v>785</v>
      </c>
      <c r="H11" s="222">
        <v>1.37</v>
      </c>
    </row>
    <row r="12" spans="2:8" x14ac:dyDescent="0.25">
      <c r="B12" s="73"/>
      <c r="D12" s="439" t="s">
        <v>1065</v>
      </c>
      <c r="E12" s="27" t="s">
        <v>799</v>
      </c>
      <c r="F12" s="120">
        <v>20</v>
      </c>
      <c r="G12" s="166" t="s">
        <v>785</v>
      </c>
      <c r="H12" s="222">
        <v>6.72</v>
      </c>
    </row>
    <row r="13" spans="2:8" x14ac:dyDescent="0.25">
      <c r="B13" s="73"/>
      <c r="D13" s="439" t="s">
        <v>977</v>
      </c>
      <c r="E13" s="27" t="s">
        <v>796</v>
      </c>
      <c r="F13" s="373">
        <v>28</v>
      </c>
      <c r="G13" s="166" t="s">
        <v>797</v>
      </c>
      <c r="H13" s="222">
        <v>1.28</v>
      </c>
    </row>
    <row r="14" spans="2:8" x14ac:dyDescent="0.25">
      <c r="B14" s="73"/>
      <c r="D14" s="439" t="s">
        <v>53</v>
      </c>
      <c r="E14" s="27" t="s">
        <v>805</v>
      </c>
      <c r="F14" s="373">
        <v>100</v>
      </c>
      <c r="G14" s="166" t="s">
        <v>797</v>
      </c>
      <c r="H14" s="222">
        <v>17.8</v>
      </c>
    </row>
    <row r="15" spans="2:8" x14ac:dyDescent="0.25">
      <c r="B15" s="73"/>
      <c r="D15" s="439" t="s">
        <v>54</v>
      </c>
      <c r="E15" s="27" t="s">
        <v>800</v>
      </c>
      <c r="F15" s="373">
        <v>20</v>
      </c>
      <c r="G15" s="166" t="s">
        <v>785</v>
      </c>
      <c r="H15" s="222">
        <v>38.76</v>
      </c>
    </row>
    <row r="16" spans="2:8" x14ac:dyDescent="0.25">
      <c r="B16" s="354"/>
      <c r="D16" s="466" t="s">
        <v>1067</v>
      </c>
      <c r="E16" s="369" t="s">
        <v>1051</v>
      </c>
      <c r="F16" s="373">
        <v>400</v>
      </c>
      <c r="G16" s="166" t="s">
        <v>1054</v>
      </c>
      <c r="H16" s="222">
        <v>36.76</v>
      </c>
    </row>
    <row r="17" spans="2:10" s="354" customFormat="1" x14ac:dyDescent="0.25">
      <c r="D17" s="466" t="s">
        <v>1119</v>
      </c>
      <c r="E17" s="369" t="s">
        <v>1120</v>
      </c>
      <c r="F17" s="373">
        <v>200</v>
      </c>
      <c r="G17" s="166" t="s">
        <v>785</v>
      </c>
      <c r="H17" s="222">
        <v>18.53</v>
      </c>
    </row>
    <row r="18" spans="2:10" s="354" customFormat="1" x14ac:dyDescent="0.25">
      <c r="D18" s="466" t="s">
        <v>376</v>
      </c>
      <c r="E18" s="369" t="s">
        <v>847</v>
      </c>
      <c r="F18" s="373">
        <v>200</v>
      </c>
      <c r="G18" s="166" t="s">
        <v>785</v>
      </c>
      <c r="H18" s="222">
        <v>17.100000000000001</v>
      </c>
    </row>
    <row r="19" spans="2:10" x14ac:dyDescent="0.25">
      <c r="D19" s="439" t="s">
        <v>50</v>
      </c>
      <c r="E19" s="27" t="s">
        <v>791</v>
      </c>
      <c r="F19" s="373">
        <v>100</v>
      </c>
      <c r="G19" s="166" t="s">
        <v>785</v>
      </c>
      <c r="H19" s="222">
        <v>3.81</v>
      </c>
    </row>
    <row r="20" spans="2:10" x14ac:dyDescent="0.25">
      <c r="B20" s="25"/>
      <c r="D20" s="439" t="s">
        <v>1057</v>
      </c>
      <c r="E20" s="27" t="s">
        <v>792</v>
      </c>
      <c r="F20" s="373">
        <v>500</v>
      </c>
      <c r="G20" s="166" t="s">
        <v>793</v>
      </c>
      <c r="H20" s="222">
        <v>3.67</v>
      </c>
    </row>
    <row r="21" spans="2:10" x14ac:dyDescent="0.25">
      <c r="B21" s="25"/>
      <c r="D21" s="328" t="s">
        <v>1098</v>
      </c>
      <c r="E21" s="27" t="s">
        <v>1124</v>
      </c>
      <c r="F21" s="120">
        <v>1000</v>
      </c>
      <c r="G21" s="166" t="s">
        <v>793</v>
      </c>
      <c r="H21" s="222">
        <v>4.7699999999999996</v>
      </c>
    </row>
    <row r="22" spans="2:10" x14ac:dyDescent="0.25">
      <c r="D22" s="439" t="s">
        <v>434</v>
      </c>
      <c r="E22" s="27" t="s">
        <v>845</v>
      </c>
      <c r="F22" s="120">
        <v>100</v>
      </c>
      <c r="G22" s="166" t="s">
        <v>785</v>
      </c>
      <c r="H22" s="222">
        <v>7.08</v>
      </c>
    </row>
    <row r="23" spans="2:10" x14ac:dyDescent="0.25">
      <c r="B23" s="25"/>
      <c r="D23" s="439" t="s">
        <v>51</v>
      </c>
      <c r="E23" s="27" t="s">
        <v>794</v>
      </c>
      <c r="F23" s="120">
        <v>20</v>
      </c>
      <c r="G23" s="166" t="s">
        <v>846</v>
      </c>
      <c r="H23" s="222">
        <v>2</v>
      </c>
    </row>
    <row r="24" spans="2:10" x14ac:dyDescent="0.25">
      <c r="B24" s="25"/>
      <c r="D24" s="439" t="s">
        <v>435</v>
      </c>
      <c r="E24" s="25"/>
      <c r="F24" s="120">
        <v>25</v>
      </c>
      <c r="G24" s="166" t="s">
        <v>804</v>
      </c>
      <c r="H24" s="222">
        <v>6.28</v>
      </c>
    </row>
    <row r="25" spans="2:10" x14ac:dyDescent="0.25">
      <c r="B25" s="25"/>
      <c r="D25" s="439" t="s">
        <v>534</v>
      </c>
      <c r="E25" s="27" t="s">
        <v>377</v>
      </c>
      <c r="F25" s="120">
        <v>1</v>
      </c>
      <c r="G25" s="166" t="s">
        <v>844</v>
      </c>
      <c r="H25" s="222">
        <v>2.5</v>
      </c>
    </row>
    <row r="26" spans="2:10" x14ac:dyDescent="0.25">
      <c r="B26" s="25"/>
      <c r="D26" s="439" t="s">
        <v>1193</v>
      </c>
      <c r="E26" s="27"/>
      <c r="F26" s="120">
        <v>1000</v>
      </c>
      <c r="G26" s="166" t="s">
        <v>785</v>
      </c>
      <c r="H26" s="222">
        <v>7.71</v>
      </c>
    </row>
    <row r="27" spans="2:10" x14ac:dyDescent="0.25">
      <c r="B27" s="25"/>
      <c r="D27" s="439" t="s">
        <v>1178</v>
      </c>
      <c r="E27" s="27"/>
      <c r="F27" s="120">
        <v>1000</v>
      </c>
      <c r="G27" s="166" t="s">
        <v>785</v>
      </c>
      <c r="H27" s="222">
        <v>11.34</v>
      </c>
      <c r="J27" s="555"/>
    </row>
    <row r="28" spans="2:10" x14ac:dyDescent="0.25">
      <c r="B28" s="25"/>
      <c r="D28" s="439" t="s">
        <v>1181</v>
      </c>
      <c r="E28" s="27"/>
      <c r="F28" s="120">
        <v>1</v>
      </c>
      <c r="G28" s="166" t="s">
        <v>1226</v>
      </c>
      <c r="H28" s="222">
        <v>115</v>
      </c>
    </row>
    <row r="29" spans="2:10" x14ac:dyDescent="0.25">
      <c r="B29" s="25"/>
      <c r="D29" s="439"/>
      <c r="E29" s="27"/>
      <c r="F29" s="565">
        <v>1</v>
      </c>
      <c r="G29" s="566" t="s">
        <v>1227</v>
      </c>
      <c r="H29" s="567">
        <f>H28/30</f>
        <v>3.8333333333333335</v>
      </c>
    </row>
    <row r="30" spans="2:10" x14ac:dyDescent="0.25">
      <c r="B30" s="25"/>
      <c r="D30" s="439" t="s">
        <v>535</v>
      </c>
      <c r="E30" s="27" t="s">
        <v>805</v>
      </c>
      <c r="F30" s="120">
        <v>100</v>
      </c>
      <c r="G30" s="166" t="s">
        <v>797</v>
      </c>
      <c r="H30" s="222">
        <v>17.8</v>
      </c>
    </row>
    <row r="31" spans="2:10" x14ac:dyDescent="0.25">
      <c r="B31" s="25"/>
      <c r="E31" s="27" t="s">
        <v>1050</v>
      </c>
      <c r="F31" s="373">
        <v>250</v>
      </c>
      <c r="G31" s="388" t="s">
        <v>1054</v>
      </c>
      <c r="H31" s="222">
        <v>12.25</v>
      </c>
    </row>
    <row r="32" spans="2:10" x14ac:dyDescent="0.25">
      <c r="B32" s="25"/>
      <c r="E32" s="369" t="s">
        <v>1051</v>
      </c>
      <c r="F32" s="373">
        <v>400</v>
      </c>
      <c r="G32" s="388" t="s">
        <v>1054</v>
      </c>
      <c r="H32" s="222">
        <v>36.76</v>
      </c>
    </row>
    <row r="33" spans="2:10" x14ac:dyDescent="0.25">
      <c r="B33" s="25"/>
      <c r="E33" s="369" t="s">
        <v>1052</v>
      </c>
      <c r="F33" s="373">
        <v>400</v>
      </c>
      <c r="G33" s="388" t="s">
        <v>1054</v>
      </c>
      <c r="H33" s="222">
        <v>59.28</v>
      </c>
    </row>
    <row r="34" spans="2:10" x14ac:dyDescent="0.25">
      <c r="B34" s="25"/>
      <c r="D34" s="90"/>
      <c r="E34" s="27" t="s">
        <v>1055</v>
      </c>
      <c r="F34" s="373">
        <v>1000</v>
      </c>
      <c r="G34" s="388" t="s">
        <v>1054</v>
      </c>
      <c r="H34" s="222">
        <v>27.47</v>
      </c>
    </row>
    <row r="35" spans="2:10" x14ac:dyDescent="0.25">
      <c r="B35" s="25"/>
      <c r="D35" s="90"/>
      <c r="E35" s="27" t="s">
        <v>1053</v>
      </c>
      <c r="F35" s="373">
        <v>1000</v>
      </c>
      <c r="G35" s="388" t="s">
        <v>1054</v>
      </c>
      <c r="H35" s="222">
        <v>24.5</v>
      </c>
    </row>
    <row r="36" spans="2:10" x14ac:dyDescent="0.25">
      <c r="B36" s="25"/>
      <c r="D36" s="90"/>
      <c r="E36" s="437" t="s">
        <v>1056</v>
      </c>
      <c r="F36" s="373">
        <v>450</v>
      </c>
      <c r="G36" s="388" t="s">
        <v>1054</v>
      </c>
      <c r="H36" s="222">
        <v>32.14</v>
      </c>
    </row>
    <row r="37" spans="2:10" x14ac:dyDescent="0.25">
      <c r="B37" s="25"/>
      <c r="D37" s="90"/>
      <c r="E37" s="437" t="s">
        <v>1106</v>
      </c>
      <c r="F37" s="373">
        <v>450</v>
      </c>
      <c r="G37" s="388" t="s">
        <v>1054</v>
      </c>
      <c r="H37" s="222">
        <v>32</v>
      </c>
    </row>
    <row r="38" spans="2:10" x14ac:dyDescent="0.25">
      <c r="B38" s="25"/>
      <c r="D38" s="73" t="s">
        <v>808</v>
      </c>
    </row>
    <row r="39" spans="2:10" x14ac:dyDescent="0.25">
      <c r="B39" s="25"/>
      <c r="D39" s="74" t="s">
        <v>802</v>
      </c>
      <c r="F39" s="120">
        <v>1</v>
      </c>
      <c r="G39" s="166" t="s">
        <v>803</v>
      </c>
      <c r="H39" s="222">
        <v>1.43</v>
      </c>
    </row>
    <row r="40" spans="2:10" x14ac:dyDescent="0.25">
      <c r="B40" s="25"/>
    </row>
    <row r="41" spans="2:10" x14ac:dyDescent="0.25">
      <c r="E41" s="106"/>
      <c r="F41" s="106"/>
      <c r="G41" s="467"/>
      <c r="H41" s="467"/>
      <c r="I41" s="467"/>
      <c r="J41" s="106"/>
    </row>
  </sheetData>
  <pageMargins left="0.7" right="0.7" top="0.75" bottom="0.75" header="0.3" footer="0.3"/>
  <pageSetup paperSize="9" orientation="portrait" horizontalDpi="0" verticalDpi="0"/>
  <legacyDrawing r:id="rId1"/>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B1:S45"/>
  <sheetViews>
    <sheetView showGridLines="0" workbookViewId="0">
      <pane xSplit="4" ySplit="3" topLeftCell="E4" activePane="bottomRight" state="frozen"/>
      <selection activeCell="H37" sqref="H37"/>
      <selection pane="topRight" activeCell="H37" sqref="H37"/>
      <selection pane="bottomLeft" activeCell="H37" sqref="H37"/>
      <selection pane="bottomRight" activeCell="H2" sqref="H2:L2"/>
    </sheetView>
  </sheetViews>
  <sheetFormatPr defaultColWidth="8.85546875" defaultRowHeight="12.75" x14ac:dyDescent="0.2"/>
  <cols>
    <col min="1" max="1" width="4" style="5" customWidth="1"/>
    <col min="2" max="2" width="3.140625" style="4" customWidth="1"/>
    <col min="3" max="3" width="4" style="5" customWidth="1"/>
    <col min="4" max="4" width="44.28515625" style="5" bestFit="1" customWidth="1"/>
    <col min="5" max="5" width="17" style="5" customWidth="1"/>
    <col min="6" max="6" width="25.7109375" style="5" bestFit="1" customWidth="1"/>
    <col min="7" max="7" width="11.7109375" style="5" customWidth="1"/>
    <col min="8" max="12" width="13" style="5" customWidth="1"/>
    <col min="13" max="13" width="13" style="5" hidden="1" customWidth="1"/>
    <col min="14" max="17" width="8.85546875" style="5"/>
    <col min="18" max="18" width="9.7109375" style="5" customWidth="1"/>
    <col min="19" max="16384" width="8.85546875" style="5"/>
  </cols>
  <sheetData>
    <row r="1" spans="2:13" s="3" customFormat="1" ht="15.75" x14ac:dyDescent="0.25">
      <c r="B1" s="306" t="s">
        <v>19</v>
      </c>
      <c r="E1" s="313" t="str">
        <f>Summary!B4</f>
        <v>South Africa</v>
      </c>
    </row>
    <row r="2" spans="2:13" ht="25.5" x14ac:dyDescent="0.2">
      <c r="H2" s="1136" t="s">
        <v>1816</v>
      </c>
      <c r="I2" s="1136"/>
      <c r="J2" s="1136"/>
      <c r="K2" s="1089" t="s">
        <v>1814</v>
      </c>
      <c r="L2" s="1088" t="s">
        <v>1759</v>
      </c>
      <c r="M2" s="607" t="s">
        <v>1796</v>
      </c>
    </row>
    <row r="3" spans="2:13" x14ac:dyDescent="0.2">
      <c r="E3" s="4" t="s">
        <v>595</v>
      </c>
      <c r="H3" s="404" t="s">
        <v>385</v>
      </c>
      <c r="I3" s="404" t="s">
        <v>386</v>
      </c>
      <c r="J3" s="404" t="s">
        <v>1033</v>
      </c>
      <c r="K3" s="28" t="s">
        <v>385</v>
      </c>
      <c r="L3" s="29" t="s">
        <v>385</v>
      </c>
      <c r="M3" s="29" t="s">
        <v>385</v>
      </c>
    </row>
    <row r="4" spans="2:13" x14ac:dyDescent="0.2">
      <c r="E4" s="7" t="s">
        <v>596</v>
      </c>
      <c r="H4" s="215">
        <f>H34</f>
        <v>22707.875968992248</v>
      </c>
      <c r="I4" s="215">
        <f t="shared" ref="I4:M4" si="0">I34</f>
        <v>23976.023503875971</v>
      </c>
      <c r="J4" s="215">
        <f t="shared" si="0"/>
        <v>25327.86877606202</v>
      </c>
      <c r="K4" s="215">
        <f t="shared" si="0"/>
        <v>22707.875968992248</v>
      </c>
      <c r="L4" s="215">
        <f t="shared" ref="L4" si="1">L34</f>
        <v>22707.875968992248</v>
      </c>
      <c r="M4" s="215">
        <f t="shared" si="0"/>
        <v>22707.875968992248</v>
      </c>
    </row>
    <row r="5" spans="2:13" x14ac:dyDescent="0.2">
      <c r="E5" s="5" t="s">
        <v>597</v>
      </c>
      <c r="H5" s="285">
        <f>H36+H37+H39+H45</f>
        <v>174920</v>
      </c>
      <c r="I5" s="285">
        <f t="shared" ref="I5:M5" si="2">I36+I37+I39+I45</f>
        <v>184715.52000000002</v>
      </c>
      <c r="J5" s="285">
        <f t="shared" si="2"/>
        <v>195059.58912000002</v>
      </c>
      <c r="K5" s="285">
        <f t="shared" si="2"/>
        <v>175859.50975999999</v>
      </c>
      <c r="L5" s="285">
        <f t="shared" ref="L5" si="3">L36+L37+L39+L45</f>
        <v>174920</v>
      </c>
      <c r="M5" s="285">
        <f t="shared" si="2"/>
        <v>174920</v>
      </c>
    </row>
    <row r="6" spans="2:13" ht="13.5" thickBot="1" x14ac:dyDescent="0.25">
      <c r="E6" s="4" t="s">
        <v>598</v>
      </c>
      <c r="F6" s="4"/>
      <c r="G6" s="4"/>
      <c r="H6" s="216">
        <f>SUM(H4:H5)</f>
        <v>197627.87596899224</v>
      </c>
      <c r="I6" s="216">
        <f t="shared" ref="I6:M6" si="4">SUM(I4:I5)</f>
        <v>208691.54350387599</v>
      </c>
      <c r="J6" s="216">
        <f t="shared" si="4"/>
        <v>220387.45789606203</v>
      </c>
      <c r="K6" s="216">
        <f t="shared" si="4"/>
        <v>198567.38572899223</v>
      </c>
      <c r="L6" s="216">
        <f t="shared" ref="L6" si="5">SUM(L4:L5)</f>
        <v>197627.87596899224</v>
      </c>
      <c r="M6" s="216">
        <f t="shared" si="4"/>
        <v>197627.87596899224</v>
      </c>
    </row>
    <row r="7" spans="2:13" ht="13.5" thickTop="1" x14ac:dyDescent="0.2"/>
    <row r="8" spans="2:13" s="1" customFormat="1" x14ac:dyDescent="0.2"/>
    <row r="10" spans="2:13" x14ac:dyDescent="0.2">
      <c r="E10" s="5" t="s">
        <v>922</v>
      </c>
      <c r="H10" s="191">
        <f>VLOOKUP($E$1,'H&amp;S Demand'!$A$18:$G$27,3,FALSE)</f>
        <v>8</v>
      </c>
      <c r="I10" s="191">
        <f>VLOOKUP($E$1,'H&amp;S Demand'!$A$18:$G$27,3,FALSE)</f>
        <v>8</v>
      </c>
      <c r="J10" s="191">
        <f>VLOOKUP($E$1,'H&amp;S Demand'!$A$18:$G$27,3,FALSE)</f>
        <v>8</v>
      </c>
      <c r="K10" s="191">
        <f>VLOOKUP($E$1,'H&amp;S Demand'!$A$18:$G$27,3,FALSE)</f>
        <v>8</v>
      </c>
      <c r="L10" s="191">
        <f>VLOOKUP($E$1,'H&amp;S Demand'!$A$18:$G$27,3,FALSE)</f>
        <v>8</v>
      </c>
      <c r="M10" s="191">
        <f>VLOOKUP($E$1,'H&amp;S Demand'!$A$18:$G$27,3,FALSE)</f>
        <v>8</v>
      </c>
    </row>
    <row r="11" spans="2:13" x14ac:dyDescent="0.2">
      <c r="E11" s="5" t="s">
        <v>923</v>
      </c>
      <c r="H11" s="191">
        <f>VLOOKUP($E$1,'H&amp;S Demand'!$A$18:$G$27,2,FALSE)</f>
        <v>44</v>
      </c>
      <c r="I11" s="191">
        <f>VLOOKUP($E$1,'H&amp;S Demand'!$A$18:$G$27,2,FALSE)</f>
        <v>44</v>
      </c>
      <c r="J11" s="191">
        <f>VLOOKUP($E$1,'H&amp;S Demand'!$A$18:$G$27,2,FALSE)</f>
        <v>44</v>
      </c>
      <c r="K11" s="191">
        <f>VLOOKUP($E$1,'H&amp;S Demand'!$A$18:$G$27,2,FALSE)</f>
        <v>44</v>
      </c>
      <c r="L11" s="191">
        <f>VLOOKUP($E$1,'H&amp;S Demand'!$A$18:$G$27,2,FALSE)</f>
        <v>44</v>
      </c>
      <c r="M11" s="191">
        <f>VLOOKUP($E$1,'H&amp;S Demand'!$A$18:$G$27,2,FALSE)</f>
        <v>44</v>
      </c>
    </row>
    <row r="13" spans="2:13" x14ac:dyDescent="0.2">
      <c r="C13" s="323" t="s">
        <v>20</v>
      </c>
    </row>
    <row r="15" spans="2:13" x14ac:dyDescent="0.2">
      <c r="D15" s="5" t="s">
        <v>21</v>
      </c>
      <c r="E15" s="5" t="s">
        <v>931</v>
      </c>
      <c r="H15" s="120">
        <v>120</v>
      </c>
      <c r="I15" s="120">
        <v>120</v>
      </c>
      <c r="J15" s="120">
        <v>120</v>
      </c>
      <c r="K15" s="120">
        <v>120</v>
      </c>
      <c r="L15" s="120">
        <v>120</v>
      </c>
      <c r="M15" s="120">
        <f>H15</f>
        <v>120</v>
      </c>
    </row>
    <row r="16" spans="2:13" x14ac:dyDescent="0.2">
      <c r="E16" s="5" t="s">
        <v>932</v>
      </c>
      <c r="H16" s="222">
        <v>13.5</v>
      </c>
      <c r="I16" s="337">
        <f>H16*(1+GenAssumptions!E$6)</f>
        <v>14.256</v>
      </c>
      <c r="J16" s="337">
        <f>I16*(1+GenAssumptions!F6)</f>
        <v>15.054336000000001</v>
      </c>
      <c r="K16" s="337">
        <f>J16*(1+GenAssumptions!G6)</f>
        <v>15.054336000000001</v>
      </c>
      <c r="L16" s="337">
        <f>H16*(1+GenAssumptions!H6)</f>
        <v>13.5</v>
      </c>
      <c r="M16" s="337">
        <f>H16*(1+GenAssumptions!I6)</f>
        <v>13.5</v>
      </c>
    </row>
    <row r="18" spans="2:13" x14ac:dyDescent="0.2">
      <c r="E18" s="5" t="s">
        <v>934</v>
      </c>
    </row>
    <row r="19" spans="2:13" x14ac:dyDescent="0.2">
      <c r="E19" s="6" t="s">
        <v>437</v>
      </c>
      <c r="H19" s="222">
        <v>15</v>
      </c>
      <c r="I19" s="337">
        <f>H19*(1+GenAssumptions!E$6)</f>
        <v>15.84</v>
      </c>
      <c r="J19" s="337">
        <f>I19*(1+GenAssumptions!F$6)</f>
        <v>16.727040000000002</v>
      </c>
      <c r="K19" s="337">
        <f>H19*(1+GenAssumptions!G$6)</f>
        <v>15</v>
      </c>
      <c r="L19" s="337">
        <f>H19*(1+GenAssumptions!H$6)</f>
        <v>15</v>
      </c>
      <c r="M19" s="337">
        <f>H19*(1+GenAssumptions!I$6)</f>
        <v>15</v>
      </c>
    </row>
    <row r="20" spans="2:13" x14ac:dyDescent="0.2">
      <c r="E20" s="6" t="s">
        <v>436</v>
      </c>
      <c r="H20" s="222">
        <v>5</v>
      </c>
      <c r="I20" s="337">
        <f>H20*(1+GenAssumptions!E$6)</f>
        <v>5.28</v>
      </c>
      <c r="J20" s="337">
        <f>I20*(1+GenAssumptions!F$6)</f>
        <v>5.5756800000000002</v>
      </c>
      <c r="K20" s="337">
        <f>J20*(1+GenAssumptions!G$6)</f>
        <v>5.5756800000000002</v>
      </c>
      <c r="L20" s="337">
        <f>H20*(1+GenAssumptions!H$6)</f>
        <v>5</v>
      </c>
      <c r="M20" s="337">
        <f>H20*(1+GenAssumptions!I$6)</f>
        <v>5</v>
      </c>
    </row>
    <row r="22" spans="2:13" x14ac:dyDescent="0.2">
      <c r="E22" s="5" t="s">
        <v>933</v>
      </c>
    </row>
    <row r="23" spans="2:13" x14ac:dyDescent="0.2">
      <c r="E23" s="6" t="s">
        <v>437</v>
      </c>
      <c r="H23" s="120">
        <v>10</v>
      </c>
      <c r="I23" s="120">
        <v>10</v>
      </c>
      <c r="J23" s="120">
        <v>10</v>
      </c>
      <c r="K23" s="120">
        <v>10</v>
      </c>
      <c r="L23" s="120">
        <v>10</v>
      </c>
      <c r="M23" s="120">
        <f>H23</f>
        <v>10</v>
      </c>
    </row>
    <row r="24" spans="2:13" x14ac:dyDescent="0.2">
      <c r="E24" s="6" t="s">
        <v>436</v>
      </c>
      <c r="H24" s="120">
        <v>15</v>
      </c>
      <c r="I24" s="120">
        <v>15</v>
      </c>
      <c r="J24" s="120">
        <v>15</v>
      </c>
      <c r="K24" s="120">
        <v>15</v>
      </c>
      <c r="L24" s="120">
        <v>15</v>
      </c>
      <c r="M24" s="120">
        <f>H24</f>
        <v>15</v>
      </c>
    </row>
    <row r="25" spans="2:13" x14ac:dyDescent="0.2">
      <c r="E25" s="6" t="s">
        <v>936</v>
      </c>
      <c r="H25" s="191">
        <f>H23*H11+H24*H10</f>
        <v>560</v>
      </c>
      <c r="I25" s="191">
        <f t="shared" ref="I25:M25" si="6">I23*I11+I24*I10</f>
        <v>560</v>
      </c>
      <c r="J25" s="191">
        <f t="shared" si="6"/>
        <v>560</v>
      </c>
      <c r="K25" s="191">
        <f t="shared" si="6"/>
        <v>560</v>
      </c>
      <c r="L25" s="191">
        <f t="shared" ref="L25" si="7">L23*L11+L24*L10</f>
        <v>560</v>
      </c>
      <c r="M25" s="191">
        <f t="shared" si="6"/>
        <v>560</v>
      </c>
    </row>
    <row r="27" spans="2:13" x14ac:dyDescent="0.2">
      <c r="E27" s="5" t="s">
        <v>935</v>
      </c>
      <c r="H27" s="222">
        <v>286</v>
      </c>
      <c r="I27" s="337">
        <f>H27*(1+GenAssumptions!E$6)</f>
        <v>302.01600000000002</v>
      </c>
      <c r="J27" s="337">
        <f>I27*(1+GenAssumptions!F$6)</f>
        <v>318.92889600000001</v>
      </c>
      <c r="K27" s="337">
        <f>H27*(1+GenAssumptions!G$6)</f>
        <v>286</v>
      </c>
      <c r="L27" s="337">
        <f>H27*(1+GenAssumptions!H$6)</f>
        <v>286</v>
      </c>
      <c r="M27" s="337">
        <f>H27*(1+GenAssumptions!I$6)</f>
        <v>286</v>
      </c>
    </row>
    <row r="29" spans="2:13" s="176" customFormat="1" hidden="1" x14ac:dyDescent="0.2">
      <c r="B29" s="218"/>
    </row>
    <row r="30" spans="2:13" hidden="1" x14ac:dyDescent="0.2"/>
    <row r="31" spans="2:13" hidden="1" x14ac:dyDescent="0.2"/>
    <row r="32" spans="2:13" s="182" customFormat="1" hidden="1" x14ac:dyDescent="0.2">
      <c r="B32" s="281"/>
      <c r="D32" s="182" t="s">
        <v>924</v>
      </c>
      <c r="E32" s="182" t="s">
        <v>24</v>
      </c>
      <c r="H32" s="242">
        <f>H15*H11/Minutes_per_Year*GenAssumptions!D19</f>
        <v>19214.356589147286</v>
      </c>
      <c r="I32" s="242">
        <f>I15*I11/Minutes_per_Year*GenAssumptions!E19</f>
        <v>20482.504124031009</v>
      </c>
      <c r="J32" s="242">
        <f>J15*J11/Minutes_per_Year*GenAssumptions!F19</f>
        <v>21834.349396217058</v>
      </c>
      <c r="K32" s="242">
        <f>K15*K11/Minutes_per_Year*GenAssumptions!G19</f>
        <v>19214.356589147286</v>
      </c>
      <c r="L32" s="242">
        <f>L15*L11/Minutes_per_Year*GenAssumptions!H19</f>
        <v>19214.356589147286</v>
      </c>
      <c r="M32" s="242">
        <f>M15*M11/Minutes_per_Year*GenAssumptions!I19</f>
        <v>19214.356589147286</v>
      </c>
    </row>
    <row r="33" spans="4:19" hidden="1" x14ac:dyDescent="0.2">
      <c r="E33" s="5" t="s">
        <v>373</v>
      </c>
      <c r="H33" s="242">
        <f>H15*H10/Minutes_per_Year*GenAssumptions!$D$19</f>
        <v>3493.5193798449613</v>
      </c>
      <c r="I33" s="242">
        <f>I15*I10/Minutes_per_Year*GenAssumptions!$D$19</f>
        <v>3493.5193798449613</v>
      </c>
      <c r="J33" s="242">
        <f>J15*J10/Minutes_per_Year*GenAssumptions!$D$19</f>
        <v>3493.5193798449613</v>
      </c>
      <c r="K33" s="242">
        <f>K15*K10/Minutes_per_Year*GenAssumptions!$D$19</f>
        <v>3493.5193798449613</v>
      </c>
      <c r="L33" s="242">
        <f>L15*L10/Minutes_per_Year*GenAssumptions!$D$19</f>
        <v>3493.5193798449613</v>
      </c>
      <c r="M33" s="242">
        <f>M15*M10/Minutes_per_Year*GenAssumptions!$D$19</f>
        <v>3493.5193798449613</v>
      </c>
    </row>
    <row r="34" spans="4:19" ht="13.5" hidden="1" thickBot="1" x14ac:dyDescent="0.25">
      <c r="H34" s="282">
        <f>SUM(H32:H33)</f>
        <v>22707.875968992248</v>
      </c>
      <c r="I34" s="282">
        <f t="shared" ref="I34:M34" si="8">SUM(I32:I33)</f>
        <v>23976.023503875971</v>
      </c>
      <c r="J34" s="282">
        <f t="shared" si="8"/>
        <v>25327.86877606202</v>
      </c>
      <c r="K34" s="282">
        <f t="shared" si="8"/>
        <v>22707.875968992248</v>
      </c>
      <c r="L34" s="282">
        <f t="shared" ref="L34" si="9">SUM(L32:L33)</f>
        <v>22707.875968992248</v>
      </c>
      <c r="M34" s="282">
        <f t="shared" si="8"/>
        <v>22707.875968992248</v>
      </c>
      <c r="P34" s="5" t="s">
        <v>865</v>
      </c>
      <c r="R34" s="356" t="s">
        <v>984</v>
      </c>
      <c r="S34" s="359" t="str">
        <f>CONCATENATE(P34,R34)</f>
        <v>COEPM</v>
      </c>
    </row>
    <row r="35" spans="4:19" ht="13.5" hidden="1" thickTop="1" x14ac:dyDescent="0.2">
      <c r="S35" s="359" t="str">
        <f t="shared" ref="S35:S45" si="10">CONCATENATE(P35,R35)</f>
        <v/>
      </c>
    </row>
    <row r="36" spans="4:19" ht="13.5" hidden="1" thickBot="1" x14ac:dyDescent="0.25">
      <c r="D36" s="5" t="s">
        <v>938</v>
      </c>
      <c r="E36" s="182" t="s">
        <v>24</v>
      </c>
      <c r="H36" s="282">
        <f>H19*H11*H23</f>
        <v>6600</v>
      </c>
      <c r="I36" s="282">
        <f t="shared" ref="I36:M36" si="11">I19*I11*I23</f>
        <v>6969.6</v>
      </c>
      <c r="J36" s="282">
        <f t="shared" si="11"/>
        <v>7359.8976000000021</v>
      </c>
      <c r="K36" s="282">
        <f t="shared" si="11"/>
        <v>6600</v>
      </c>
      <c r="L36" s="282">
        <f t="shared" ref="L36" si="12">L19*L11*L23</f>
        <v>6600</v>
      </c>
      <c r="M36" s="282">
        <f t="shared" si="11"/>
        <v>6600</v>
      </c>
      <c r="P36" s="5" t="s">
        <v>866</v>
      </c>
      <c r="R36" s="356" t="s">
        <v>984</v>
      </c>
      <c r="S36" s="359" t="str">
        <f t="shared" si="10"/>
        <v>GSPM</v>
      </c>
    </row>
    <row r="37" spans="4:19" ht="14.25" hidden="1" thickTop="1" thickBot="1" x14ac:dyDescent="0.25">
      <c r="E37" s="5" t="s">
        <v>373</v>
      </c>
      <c r="H37" s="282">
        <f>H24*H10*H20</f>
        <v>600</v>
      </c>
      <c r="I37" s="282">
        <f t="shared" ref="I37:M37" si="13">I24*I10*I20</f>
        <v>633.6</v>
      </c>
      <c r="J37" s="282">
        <f t="shared" si="13"/>
        <v>669.08159999999998</v>
      </c>
      <c r="K37" s="282">
        <f t="shared" si="13"/>
        <v>669.08159999999998</v>
      </c>
      <c r="L37" s="282">
        <f t="shared" ref="L37" si="14">L24*L10*L20</f>
        <v>600</v>
      </c>
      <c r="M37" s="282">
        <f t="shared" si="13"/>
        <v>600</v>
      </c>
      <c r="P37" s="5" t="s">
        <v>866</v>
      </c>
      <c r="R37" s="356" t="s">
        <v>984</v>
      </c>
      <c r="S37" s="359" t="str">
        <f t="shared" si="10"/>
        <v>GSPM</v>
      </c>
    </row>
    <row r="38" spans="4:19" ht="13.5" hidden="1" thickTop="1" x14ac:dyDescent="0.2">
      <c r="S38" s="359" t="str">
        <f t="shared" si="10"/>
        <v/>
      </c>
    </row>
    <row r="39" spans="4:19" ht="13.5" hidden="1" thickBot="1" x14ac:dyDescent="0.25">
      <c r="D39" s="5" t="s">
        <v>939</v>
      </c>
      <c r="E39" s="182" t="s">
        <v>24</v>
      </c>
      <c r="H39" s="282">
        <f>(H10*H24+H23*H11)*H16</f>
        <v>7560</v>
      </c>
      <c r="I39" s="282">
        <f t="shared" ref="I39:M39" si="15">(I10*I24+I23*I11)*I16</f>
        <v>7983.3600000000006</v>
      </c>
      <c r="J39" s="282">
        <f t="shared" si="15"/>
        <v>8430.4281600000013</v>
      </c>
      <c r="K39" s="282">
        <f t="shared" si="15"/>
        <v>8430.4281600000013</v>
      </c>
      <c r="L39" s="282">
        <f t="shared" ref="L39" si="16">(L10*L24+L23*L11)*L16</f>
        <v>7560</v>
      </c>
      <c r="M39" s="282">
        <f t="shared" si="15"/>
        <v>7560</v>
      </c>
      <c r="P39" s="5" t="s">
        <v>866</v>
      </c>
      <c r="R39" s="356" t="s">
        <v>984</v>
      </c>
      <c r="S39" s="359" t="str">
        <f t="shared" si="10"/>
        <v>GSPM</v>
      </c>
    </row>
    <row r="40" spans="4:19" ht="13.5" hidden="1" thickTop="1" x14ac:dyDescent="0.2">
      <c r="E40" s="5" t="s">
        <v>373</v>
      </c>
      <c r="S40" s="359" t="str">
        <f t="shared" si="10"/>
        <v/>
      </c>
    </row>
    <row r="41" spans="4:19" hidden="1" x14ac:dyDescent="0.2">
      <c r="S41" s="359" t="str">
        <f t="shared" si="10"/>
        <v/>
      </c>
    </row>
    <row r="42" spans="4:19" hidden="1" x14ac:dyDescent="0.2">
      <c r="E42" s="5" t="s">
        <v>937</v>
      </c>
      <c r="S42" s="359" t="str">
        <f t="shared" si="10"/>
        <v/>
      </c>
    </row>
    <row r="43" spans="4:19" hidden="1" x14ac:dyDescent="0.2">
      <c r="E43" s="5" t="s">
        <v>24</v>
      </c>
      <c r="H43" s="186">
        <f>H11*H23*H27</f>
        <v>125840</v>
      </c>
      <c r="I43" s="186">
        <f t="shared" ref="I43:M43" si="17">I11*I23*I27</f>
        <v>132887.04000000001</v>
      </c>
      <c r="J43" s="186">
        <f t="shared" si="17"/>
        <v>140328.71424</v>
      </c>
      <c r="K43" s="186">
        <f t="shared" si="17"/>
        <v>125840</v>
      </c>
      <c r="L43" s="186">
        <f t="shared" ref="L43" si="18">L11*L23*L27</f>
        <v>125840</v>
      </c>
      <c r="M43" s="186">
        <f t="shared" si="17"/>
        <v>125840</v>
      </c>
      <c r="S43" s="359" t="str">
        <f t="shared" si="10"/>
        <v/>
      </c>
    </row>
    <row r="44" spans="4:19" hidden="1" x14ac:dyDescent="0.2">
      <c r="E44" s="5" t="s">
        <v>373</v>
      </c>
      <c r="H44" s="283">
        <f>H24*H10*H27</f>
        <v>34320</v>
      </c>
      <c r="I44" s="283">
        <f t="shared" ref="I44:M44" si="19">I24*I10*I27</f>
        <v>36241.920000000006</v>
      </c>
      <c r="J44" s="283">
        <f t="shared" si="19"/>
        <v>38271.467519999998</v>
      </c>
      <c r="K44" s="283">
        <f t="shared" si="19"/>
        <v>34320</v>
      </c>
      <c r="L44" s="283">
        <f t="shared" ref="L44" si="20">L24*L10*L27</f>
        <v>34320</v>
      </c>
      <c r="M44" s="283">
        <f t="shared" si="19"/>
        <v>34320</v>
      </c>
      <c r="S44" s="359" t="str">
        <f t="shared" si="10"/>
        <v/>
      </c>
    </row>
    <row r="45" spans="4:19" ht="13.5" hidden="1" thickBot="1" x14ac:dyDescent="0.25">
      <c r="H45" s="338">
        <f>SUM(H43:H44)</f>
        <v>160160</v>
      </c>
      <c r="I45" s="284">
        <f t="shared" ref="I45:M45" si="21">SUM(I43:I44)</f>
        <v>169128.96000000002</v>
      </c>
      <c r="J45" s="284">
        <f t="shared" si="21"/>
        <v>178600.18176000001</v>
      </c>
      <c r="K45" s="284">
        <f t="shared" si="21"/>
        <v>160160</v>
      </c>
      <c r="L45" s="284">
        <f t="shared" ref="L45" si="22">SUM(L43:L44)</f>
        <v>160160</v>
      </c>
      <c r="M45" s="284">
        <f t="shared" si="21"/>
        <v>160160</v>
      </c>
      <c r="P45" s="5" t="s">
        <v>866</v>
      </c>
      <c r="R45" s="356" t="s">
        <v>984</v>
      </c>
      <c r="S45" s="359" t="str">
        <f t="shared" si="10"/>
        <v>GSPM</v>
      </c>
    </row>
  </sheetData>
  <mergeCells count="1">
    <mergeCell ref="H2:J2"/>
  </mergeCells>
  <dataValidations count="1">
    <dataValidation type="list" allowBlank="1" showInputMessage="1" showErrorMessage="1" sqref="R39 R36:R37 R34">
      <formula1>$B$16:$B$23</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Scenario!$B$16:$B$36</xm:f>
          </x14:formula1>
          <xm:sqref>R45</xm:sqref>
        </x14:dataValidation>
      </x14:dataValidations>
    </ex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T36"/>
  <sheetViews>
    <sheetView showGridLines="0" topLeftCell="B1" workbookViewId="0">
      <pane xSplit="3" ySplit="3" topLeftCell="E4" activePane="bottomRight" state="frozen"/>
      <selection activeCell="H37" sqref="H37"/>
      <selection pane="topRight" activeCell="H37" sqref="H37"/>
      <selection pane="bottomLeft" activeCell="H37" sqref="H37"/>
      <selection pane="bottomRight" activeCell="H2" sqref="H2:L2"/>
    </sheetView>
  </sheetViews>
  <sheetFormatPr defaultColWidth="8.85546875" defaultRowHeight="12.75" x14ac:dyDescent="0.2"/>
  <cols>
    <col min="1" max="1" width="4" style="5" customWidth="1"/>
    <col min="2" max="2" width="3" style="5" customWidth="1"/>
    <col min="3" max="3" width="4.7109375" style="5" customWidth="1"/>
    <col min="4" max="4" width="32.42578125" style="5" bestFit="1" customWidth="1"/>
    <col min="5" max="5" width="38.42578125" style="5" customWidth="1"/>
    <col min="6" max="6" width="15.140625" style="25" bestFit="1" customWidth="1"/>
    <col min="7" max="7" width="7.42578125" style="5" customWidth="1"/>
    <col min="8" max="12" width="13" style="5" customWidth="1"/>
    <col min="13" max="13" width="13" style="5" hidden="1" customWidth="1"/>
    <col min="14" max="46" width="8.85546875" style="79"/>
    <col min="47" max="16384" width="8.85546875" style="5"/>
  </cols>
  <sheetData>
    <row r="1" spans="1:46" s="3" customFormat="1" ht="15.75" x14ac:dyDescent="0.25">
      <c r="B1" s="306" t="s">
        <v>694</v>
      </c>
      <c r="F1" s="80"/>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row>
    <row r="2" spans="1:46" ht="25.5" x14ac:dyDescent="0.2">
      <c r="H2" s="1136" t="s">
        <v>1816</v>
      </c>
      <c r="I2" s="1136"/>
      <c r="J2" s="1136"/>
      <c r="K2" s="1089" t="s">
        <v>1814</v>
      </c>
      <c r="L2" s="1088" t="s">
        <v>1759</v>
      </c>
      <c r="M2" s="607" t="s">
        <v>1796</v>
      </c>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row>
    <row r="3" spans="1:46" x14ac:dyDescent="0.2">
      <c r="E3" s="4"/>
      <c r="F3" s="5"/>
      <c r="H3" s="404" t="s">
        <v>385</v>
      </c>
      <c r="I3" s="404" t="s">
        <v>386</v>
      </c>
      <c r="J3" s="404" t="s">
        <v>1033</v>
      </c>
      <c r="K3" s="28" t="s">
        <v>385</v>
      </c>
      <c r="L3" s="29" t="s">
        <v>385</v>
      </c>
      <c r="M3" s="29" t="s">
        <v>385</v>
      </c>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row>
    <row r="4" spans="1:46" x14ac:dyDescent="0.2">
      <c r="E4" s="7" t="s">
        <v>596</v>
      </c>
      <c r="F4" s="5"/>
      <c r="H4" s="215">
        <f>H29</f>
        <v>98190.93</v>
      </c>
      <c r="I4" s="215">
        <f t="shared" ref="I4:M4" si="0">I29</f>
        <v>104671.53138000001</v>
      </c>
      <c r="J4" s="215">
        <f t="shared" si="0"/>
        <v>111579.85245108001</v>
      </c>
      <c r="K4" s="215">
        <f t="shared" si="0"/>
        <v>98190.93</v>
      </c>
      <c r="L4" s="215">
        <f t="shared" ref="L4" si="1">L29</f>
        <v>98190.93</v>
      </c>
      <c r="M4" s="215">
        <f t="shared" si="0"/>
        <v>98190.93</v>
      </c>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row>
    <row r="5" spans="1:46" x14ac:dyDescent="0.2">
      <c r="E5" s="5" t="s">
        <v>597</v>
      </c>
      <c r="F5" s="5"/>
      <c r="H5" s="285">
        <f>H35</f>
        <v>13200</v>
      </c>
      <c r="I5" s="285">
        <f t="shared" ref="I5:M5" si="2">I35</f>
        <v>6969.6</v>
      </c>
      <c r="J5" s="285">
        <f t="shared" si="2"/>
        <v>7359.8976000000002</v>
      </c>
      <c r="K5" s="285">
        <f t="shared" si="2"/>
        <v>13200</v>
      </c>
      <c r="L5" s="285">
        <f t="shared" ref="L5" si="3">L35</f>
        <v>13200</v>
      </c>
      <c r="M5" s="285">
        <f t="shared" si="2"/>
        <v>13200</v>
      </c>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row>
    <row r="6" spans="1:46" ht="13.5" thickBot="1" x14ac:dyDescent="0.25">
      <c r="E6" s="4" t="s">
        <v>598</v>
      </c>
      <c r="F6" s="4"/>
      <c r="G6" s="4"/>
      <c r="H6" s="216">
        <f>SUM(H4:H5)</f>
        <v>111390.93</v>
      </c>
      <c r="I6" s="216">
        <f t="shared" ref="I6:M6" si="4">SUM(I4:I5)</f>
        <v>111641.13138000002</v>
      </c>
      <c r="J6" s="216">
        <f t="shared" si="4"/>
        <v>118939.75005108</v>
      </c>
      <c r="K6" s="216">
        <f t="shared" si="4"/>
        <v>111390.93</v>
      </c>
      <c r="L6" s="216">
        <f t="shared" ref="L6" si="5">SUM(L4:L5)</f>
        <v>111390.93</v>
      </c>
      <c r="M6" s="216">
        <f t="shared" si="4"/>
        <v>111390.93</v>
      </c>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row>
    <row r="7" spans="1:46" ht="13.5" thickTop="1" x14ac:dyDescent="0.2">
      <c r="E7" s="4" t="s">
        <v>1049</v>
      </c>
      <c r="F7" s="4"/>
      <c r="G7" s="4"/>
      <c r="H7" s="434"/>
      <c r="I7" s="434"/>
      <c r="J7" s="434"/>
      <c r="K7" s="434"/>
      <c r="L7" s="434"/>
      <c r="M7" s="434"/>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row>
    <row r="8" spans="1:46" x14ac:dyDescent="0.2">
      <c r="E8" s="6" t="s">
        <v>596</v>
      </c>
      <c r="F8" s="4"/>
      <c r="G8" s="4"/>
      <c r="H8" s="215">
        <f>H33</f>
        <v>2484369</v>
      </c>
      <c r="I8" s="215">
        <f t="shared" ref="I8:M8" si="6">I33</f>
        <v>2648337.3540000003</v>
      </c>
      <c r="J8" s="215">
        <f t="shared" si="6"/>
        <v>2823127.6193640004</v>
      </c>
      <c r="K8" s="215">
        <f t="shared" si="6"/>
        <v>2484369</v>
      </c>
      <c r="L8" s="215">
        <f t="shared" ref="L8" si="7">L33</f>
        <v>2484369</v>
      </c>
      <c r="M8" s="215">
        <f t="shared" si="6"/>
        <v>2484369</v>
      </c>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row>
    <row r="9" spans="1:46" x14ac:dyDescent="0.2">
      <c r="E9" s="6" t="s">
        <v>597</v>
      </c>
      <c r="F9" s="4"/>
      <c r="G9" s="4"/>
      <c r="H9" s="285">
        <f>H36</f>
        <v>60000</v>
      </c>
      <c r="I9" s="285">
        <f t="shared" ref="I9:M9" si="8">I36</f>
        <v>31680</v>
      </c>
      <c r="J9" s="285">
        <f t="shared" si="8"/>
        <v>33454.080000000002</v>
      </c>
      <c r="K9" s="285">
        <f t="shared" si="8"/>
        <v>60000</v>
      </c>
      <c r="L9" s="285">
        <f t="shared" ref="L9" si="9">L36</f>
        <v>60000</v>
      </c>
      <c r="M9" s="285">
        <f t="shared" si="8"/>
        <v>60000</v>
      </c>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row>
    <row r="10" spans="1:46" ht="13.5" thickBot="1" x14ac:dyDescent="0.25">
      <c r="E10" s="4"/>
      <c r="F10" s="4"/>
      <c r="G10" s="4"/>
      <c r="H10" s="216">
        <f>SUM(H8:H9)</f>
        <v>2544369</v>
      </c>
      <c r="I10" s="216">
        <f t="shared" ref="I10:M10" si="10">SUM(I8:I9)</f>
        <v>2680017.3540000003</v>
      </c>
      <c r="J10" s="216">
        <f t="shared" si="10"/>
        <v>2856581.6993640005</v>
      </c>
      <c r="K10" s="216">
        <f t="shared" si="10"/>
        <v>2544369</v>
      </c>
      <c r="L10" s="216">
        <f t="shared" ref="L10" si="11">SUM(L8:L9)</f>
        <v>2544369</v>
      </c>
      <c r="M10" s="216">
        <f t="shared" si="10"/>
        <v>2544369</v>
      </c>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row>
    <row r="11" spans="1:46" ht="13.5" thickTop="1" x14ac:dyDescent="0.2">
      <c r="F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row>
    <row r="12" spans="1:46" x14ac:dyDescent="0.2">
      <c r="F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row>
    <row r="13" spans="1:46" x14ac:dyDescent="0.2">
      <c r="A13" s="78"/>
      <c r="B13" s="78"/>
      <c r="C13" s="78"/>
      <c r="D13" s="78"/>
      <c r="E13" s="78"/>
      <c r="F13" s="78"/>
      <c r="G13" s="78"/>
      <c r="H13" s="78"/>
      <c r="I13" s="78"/>
      <c r="J13" s="78"/>
      <c r="K13" s="78"/>
      <c r="L13" s="78"/>
      <c r="M13" s="78"/>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row>
    <row r="14" spans="1:46" s="311" customFormat="1" x14ac:dyDescent="0.2">
      <c r="B14" s="309"/>
      <c r="C14" s="309" t="s">
        <v>23</v>
      </c>
      <c r="F14" s="324"/>
    </row>
    <row r="15" spans="1:46" x14ac:dyDescent="0.2">
      <c r="D15" s="5" t="s">
        <v>2</v>
      </c>
      <c r="E15" s="5" t="s">
        <v>443</v>
      </c>
      <c r="H15" s="69">
        <v>0.03</v>
      </c>
      <c r="I15" s="69">
        <v>0.03</v>
      </c>
      <c r="J15" s="69">
        <v>0.03</v>
      </c>
      <c r="K15" s="69">
        <v>0.03</v>
      </c>
      <c r="L15" s="69">
        <v>0.03</v>
      </c>
      <c r="M15" s="69">
        <f>H15</f>
        <v>0.03</v>
      </c>
    </row>
    <row r="16" spans="1:46" x14ac:dyDescent="0.2">
      <c r="D16" s="5" t="s">
        <v>3</v>
      </c>
      <c r="E16" s="5" t="s">
        <v>443</v>
      </c>
      <c r="H16" s="69">
        <v>0.03</v>
      </c>
      <c r="I16" s="69">
        <v>0.03</v>
      </c>
      <c r="J16" s="69">
        <v>0.03</v>
      </c>
      <c r="K16" s="69">
        <v>0.03</v>
      </c>
      <c r="L16" s="69">
        <v>0.03</v>
      </c>
      <c r="M16" s="69">
        <f>H16</f>
        <v>0.03</v>
      </c>
    </row>
    <row r="17" spans="4:19" x14ac:dyDescent="0.2">
      <c r="D17" s="5" t="s">
        <v>5</v>
      </c>
      <c r="E17" s="5" t="s">
        <v>444</v>
      </c>
      <c r="H17" s="69">
        <v>0.1</v>
      </c>
      <c r="I17" s="69">
        <v>0.1</v>
      </c>
      <c r="J17" s="69">
        <v>0.1</v>
      </c>
      <c r="K17" s="69">
        <v>0.1</v>
      </c>
      <c r="L17" s="69">
        <v>0.1</v>
      </c>
      <c r="M17" s="69">
        <f>H17</f>
        <v>0.1</v>
      </c>
    </row>
    <row r="19" spans="4:19" x14ac:dyDescent="0.2">
      <c r="D19" s="4" t="s">
        <v>6</v>
      </c>
      <c r="F19" s="5"/>
    </row>
    <row r="20" spans="4:19" x14ac:dyDescent="0.2">
      <c r="D20" s="5" t="s">
        <v>445</v>
      </c>
      <c r="E20" s="5" t="s">
        <v>405</v>
      </c>
      <c r="F20" s="5"/>
      <c r="H20" s="120">
        <v>1</v>
      </c>
      <c r="I20" s="120">
        <v>1</v>
      </c>
      <c r="J20" s="120">
        <v>1</v>
      </c>
      <c r="K20" s="120">
        <v>1</v>
      </c>
      <c r="L20" s="120">
        <v>1</v>
      </c>
      <c r="M20" s="120">
        <f>H20</f>
        <v>1</v>
      </c>
    </row>
    <row r="21" spans="4:19" x14ac:dyDescent="0.2">
      <c r="E21" s="5" t="s">
        <v>969</v>
      </c>
      <c r="F21" s="5"/>
      <c r="H21" s="120">
        <v>2</v>
      </c>
      <c r="I21" s="120">
        <v>1</v>
      </c>
      <c r="J21" s="120">
        <v>1</v>
      </c>
      <c r="K21" s="120">
        <v>2</v>
      </c>
      <c r="L21" s="120">
        <v>2</v>
      </c>
      <c r="M21" s="120">
        <f t="shared" ref="M21:M36" si="12">H21</f>
        <v>2</v>
      </c>
      <c r="N21" s="5"/>
      <c r="O21" s="5"/>
      <c r="P21" s="5"/>
    </row>
    <row r="22" spans="4:19" x14ac:dyDescent="0.2">
      <c r="E22" s="5" t="s">
        <v>996</v>
      </c>
      <c r="H22" s="69">
        <v>0.22</v>
      </c>
      <c r="I22" s="69">
        <v>0.22</v>
      </c>
      <c r="J22" s="69">
        <v>0.22</v>
      </c>
      <c r="K22" s="69">
        <v>0.22</v>
      </c>
      <c r="L22" s="69">
        <v>0.22</v>
      </c>
      <c r="M22" s="69">
        <f t="shared" si="12"/>
        <v>0.22</v>
      </c>
    </row>
    <row r="23" spans="4:19" s="176" customFormat="1" hidden="1" x14ac:dyDescent="0.2">
      <c r="F23" s="177"/>
      <c r="M23" s="120">
        <f t="shared" si="12"/>
        <v>0</v>
      </c>
    </row>
    <row r="24" spans="4:19" hidden="1" x14ac:dyDescent="0.2">
      <c r="M24" s="120">
        <f t="shared" si="12"/>
        <v>0</v>
      </c>
    </row>
    <row r="25" spans="4:19" hidden="1" x14ac:dyDescent="0.2">
      <c r="M25" s="120">
        <f t="shared" si="12"/>
        <v>0</v>
      </c>
    </row>
    <row r="26" spans="4:19" hidden="1" x14ac:dyDescent="0.2">
      <c r="D26" s="5" t="s">
        <v>2</v>
      </c>
      <c r="H26" s="197">
        <f>H15*GenAssumptions!D16</f>
        <v>35444.07</v>
      </c>
      <c r="I26" s="197">
        <f>I15*GenAssumptions!E16</f>
        <v>37783.378620000003</v>
      </c>
      <c r="J26" s="197">
        <f>J15*GenAssumptions!F16</f>
        <v>40277.081608920009</v>
      </c>
      <c r="K26" s="197">
        <f>K15*GenAssumptions!G16</f>
        <v>35444.07</v>
      </c>
      <c r="L26" s="197">
        <f>L15*GenAssumptions!H16</f>
        <v>35444.07</v>
      </c>
      <c r="M26" s="120">
        <f t="shared" si="12"/>
        <v>35444.07</v>
      </c>
    </row>
    <row r="27" spans="4:19" hidden="1" x14ac:dyDescent="0.2">
      <c r="D27" s="5" t="s">
        <v>3</v>
      </c>
      <c r="H27" s="197">
        <f>H16*GenAssumptions!D17</f>
        <v>28947.059999999998</v>
      </c>
      <c r="I27" s="197">
        <f>I16*GenAssumptions!E17</f>
        <v>30857.56596</v>
      </c>
      <c r="J27" s="197">
        <f>J16*GenAssumptions!F17</f>
        <v>32894.165313359998</v>
      </c>
      <c r="K27" s="197">
        <f>K16*GenAssumptions!G17</f>
        <v>28947.059999999998</v>
      </c>
      <c r="L27" s="197">
        <f>L16*GenAssumptions!H17</f>
        <v>28947.059999999998</v>
      </c>
      <c r="M27" s="120">
        <f t="shared" si="12"/>
        <v>28947.059999999998</v>
      </c>
    </row>
    <row r="28" spans="4:19" hidden="1" x14ac:dyDescent="0.2">
      <c r="D28" s="5" t="s">
        <v>5</v>
      </c>
      <c r="H28" s="197">
        <f>H17*GenAssumptions!D19</f>
        <v>33799.800000000003</v>
      </c>
      <c r="I28" s="197">
        <f>I17*GenAssumptions!E19</f>
        <v>36030.586800000005</v>
      </c>
      <c r="J28" s="197">
        <f>J17*GenAssumptions!F19</f>
        <v>38408.605528800006</v>
      </c>
      <c r="K28" s="197">
        <f>K17*GenAssumptions!G19</f>
        <v>33799.800000000003</v>
      </c>
      <c r="L28" s="197">
        <f>L17*GenAssumptions!H19</f>
        <v>33799.800000000003</v>
      </c>
      <c r="M28" s="120">
        <f t="shared" si="12"/>
        <v>33799.800000000003</v>
      </c>
    </row>
    <row r="29" spans="4:19" ht="13.5" hidden="1" thickBot="1" x14ac:dyDescent="0.25">
      <c r="H29" s="286">
        <f>SUM(H26:H28)</f>
        <v>98190.93</v>
      </c>
      <c r="I29" s="286">
        <f t="shared" ref="I29:K29" si="13">SUM(I26:I28)</f>
        <v>104671.53138000001</v>
      </c>
      <c r="J29" s="286">
        <f t="shared" si="13"/>
        <v>111579.85245108001</v>
      </c>
      <c r="K29" s="286">
        <f t="shared" si="13"/>
        <v>98190.93</v>
      </c>
      <c r="L29" s="286">
        <f t="shared" ref="L29" si="14">SUM(L26:L28)</f>
        <v>98190.93</v>
      </c>
      <c r="M29" s="120">
        <f t="shared" si="12"/>
        <v>98190.93</v>
      </c>
      <c r="Q29" s="79" t="s">
        <v>865</v>
      </c>
      <c r="R29" s="356" t="s">
        <v>984</v>
      </c>
      <c r="S29" s="359" t="str">
        <f>CONCATENATE(Q29,R29)</f>
        <v>COEPM</v>
      </c>
    </row>
    <row r="30" spans="4:19" hidden="1" x14ac:dyDescent="0.2">
      <c r="D30" s="5" t="s">
        <v>2</v>
      </c>
      <c r="H30" s="192">
        <f>GenAssumptions!D16</f>
        <v>1181469</v>
      </c>
      <c r="I30" s="192">
        <f>GenAssumptions!E16</f>
        <v>1259445.9540000001</v>
      </c>
      <c r="J30" s="192">
        <f>GenAssumptions!F16</f>
        <v>1342569.3869640003</v>
      </c>
      <c r="K30" s="192">
        <f>GenAssumptions!G16</f>
        <v>1181469</v>
      </c>
      <c r="L30" s="192">
        <f>GenAssumptions!H16</f>
        <v>1181469</v>
      </c>
      <c r="M30" s="120">
        <f t="shared" si="12"/>
        <v>1181469</v>
      </c>
      <c r="R30" s="356"/>
      <c r="S30" s="359"/>
    </row>
    <row r="31" spans="4:19" hidden="1" x14ac:dyDescent="0.2">
      <c r="D31" s="5" t="s">
        <v>3</v>
      </c>
      <c r="H31" s="192">
        <f>GenAssumptions!D17</f>
        <v>964902</v>
      </c>
      <c r="I31" s="192">
        <f>GenAssumptions!E17</f>
        <v>1028585.532</v>
      </c>
      <c r="J31" s="192">
        <f>GenAssumptions!F17</f>
        <v>1096472.1771120001</v>
      </c>
      <c r="K31" s="192">
        <f>GenAssumptions!G17</f>
        <v>964902</v>
      </c>
      <c r="L31" s="192">
        <f>GenAssumptions!H17</f>
        <v>964902</v>
      </c>
      <c r="M31" s="120">
        <f t="shared" si="12"/>
        <v>964902</v>
      </c>
      <c r="R31" s="356"/>
      <c r="S31" s="359"/>
    </row>
    <row r="32" spans="4:19" hidden="1" x14ac:dyDescent="0.2">
      <c r="D32" s="5" t="s">
        <v>5</v>
      </c>
      <c r="H32" s="431">
        <f>GenAssumptions!D19</f>
        <v>337998</v>
      </c>
      <c r="I32" s="431">
        <f>GenAssumptions!E19</f>
        <v>360305.86800000002</v>
      </c>
      <c r="J32" s="431">
        <f>GenAssumptions!F19</f>
        <v>384086.05528800003</v>
      </c>
      <c r="K32" s="431">
        <f>GenAssumptions!G19</f>
        <v>337998</v>
      </c>
      <c r="L32" s="431">
        <f>GenAssumptions!H19</f>
        <v>337998</v>
      </c>
      <c r="M32" s="120">
        <f t="shared" si="12"/>
        <v>337998</v>
      </c>
      <c r="R32" s="356"/>
      <c r="S32" s="359"/>
    </row>
    <row r="33" spans="4:19" hidden="1" x14ac:dyDescent="0.2">
      <c r="H33" s="432">
        <f>SUM(H30:H32)</f>
        <v>2484369</v>
      </c>
      <c r="I33" s="433">
        <f t="shared" ref="I33:K33" si="15">SUM(I30:I32)</f>
        <v>2648337.3540000003</v>
      </c>
      <c r="J33" s="433">
        <f t="shared" si="15"/>
        <v>2823127.6193640004</v>
      </c>
      <c r="K33" s="433">
        <f t="shared" si="15"/>
        <v>2484369</v>
      </c>
      <c r="L33" s="433">
        <f t="shared" ref="L33" si="16">SUM(L30:L32)</f>
        <v>2484369</v>
      </c>
      <c r="M33" s="120">
        <f t="shared" si="12"/>
        <v>2484369</v>
      </c>
      <c r="R33" s="356"/>
      <c r="S33" s="359"/>
    </row>
    <row r="34" spans="4:19" hidden="1" x14ac:dyDescent="0.2">
      <c r="D34" s="5" t="s">
        <v>6</v>
      </c>
      <c r="M34" s="120">
        <f t="shared" si="12"/>
        <v>0</v>
      </c>
      <c r="S34" s="359" t="str">
        <f t="shared" ref="S34" si="17">CONCATENATE(P34,R34)</f>
        <v/>
      </c>
    </row>
    <row r="35" spans="4:19" ht="13.5" hidden="1" thickBot="1" x14ac:dyDescent="0.25">
      <c r="H35" s="286">
        <f>H20*NDSD!H21*GenAssumptions!D69*NDSD!H22</f>
        <v>13200</v>
      </c>
      <c r="I35" s="286">
        <f>I20*NDSD!I21*GenAssumptions!E69*NDSD!I22</f>
        <v>6969.6</v>
      </c>
      <c r="J35" s="286">
        <f>J20*NDSD!J21*GenAssumptions!F69*NDSD!J22</f>
        <v>7359.8976000000002</v>
      </c>
      <c r="K35" s="286">
        <f>K20*NDSD!K21*GenAssumptions!G69*NDSD!K22</f>
        <v>13200</v>
      </c>
      <c r="L35" s="286">
        <f>L20*NDSD!L21*GenAssumptions!H69*NDSD!L22</f>
        <v>13200</v>
      </c>
      <c r="M35" s="120">
        <f t="shared" si="12"/>
        <v>13200</v>
      </c>
      <c r="Q35" s="79" t="s">
        <v>866</v>
      </c>
      <c r="R35" s="356" t="s">
        <v>986</v>
      </c>
      <c r="S35" s="359" t="str">
        <f>CONCATENATE(Q35,R35)</f>
        <v>GSPI</v>
      </c>
    </row>
    <row r="36" spans="4:19" hidden="1" x14ac:dyDescent="0.2">
      <c r="H36" s="430">
        <f>H20*NDSD!H21*GenAssumptions!D69</f>
        <v>60000</v>
      </c>
      <c r="I36" s="430">
        <f>I20*NDSD!I21*GenAssumptions!E69</f>
        <v>31680</v>
      </c>
      <c r="J36" s="430">
        <f>J20*NDSD!J21*GenAssumptions!F69</f>
        <v>33454.080000000002</v>
      </c>
      <c r="K36" s="430">
        <f>K20*NDSD!K21*GenAssumptions!G69</f>
        <v>60000</v>
      </c>
      <c r="L36" s="430">
        <f>L20*NDSD!L21*GenAssumptions!H69</f>
        <v>60000</v>
      </c>
      <c r="M36" s="120">
        <f t="shared" si="12"/>
        <v>60000</v>
      </c>
    </row>
  </sheetData>
  <mergeCells count="1">
    <mergeCell ref="H2:J2"/>
  </mergeCells>
  <dataValidations count="1">
    <dataValidation type="list" allowBlank="1" showInputMessage="1" showErrorMessage="1" sqref="R35">
      <formula1>$B$20:$B$27</formula1>
    </dataValidation>
  </dataValidations>
  <pageMargins left="0.7" right="0.7" top="0.75" bottom="0.75" header="0.3" footer="0.3"/>
  <pageSetup paperSize="9" scale="75"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14:formula1>
            <xm:f>Scenario!$B$16:$B$36</xm:f>
          </x14:formula1>
          <xm:sqref>R29:R33</xm:sqref>
        </x14:dataValidation>
      </x14:dataValidations>
    </ex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T149"/>
  <sheetViews>
    <sheetView showGridLines="0" topLeftCell="C1" workbookViewId="0">
      <pane xSplit="2" ySplit="3" topLeftCell="E60" activePane="bottomRight" state="frozen"/>
      <selection activeCell="H37" sqref="H37"/>
      <selection pane="topRight" activeCell="H37" sqref="H37"/>
      <selection pane="bottomLeft" activeCell="H37" sqref="H37"/>
      <selection pane="bottomRight" activeCell="C18" sqref="C18:G18"/>
    </sheetView>
  </sheetViews>
  <sheetFormatPr defaultColWidth="8.85546875" defaultRowHeight="12.75" x14ac:dyDescent="0.2"/>
  <cols>
    <col min="1" max="1" width="2.28515625" style="5" customWidth="1"/>
    <col min="2" max="2" width="2.42578125" style="5" customWidth="1"/>
    <col min="3" max="3" width="2.7109375" style="5" customWidth="1"/>
    <col min="4" max="4" width="46.42578125" style="5" customWidth="1"/>
    <col min="5" max="5" width="19.7109375" style="5" customWidth="1"/>
    <col min="6" max="6" width="20" style="25" customWidth="1"/>
    <col min="7" max="7" width="15" style="5" customWidth="1"/>
    <col min="8" max="8" width="14.28515625" style="5" customWidth="1"/>
    <col min="9" max="10" width="14" style="5" customWidth="1"/>
    <col min="11" max="12" width="14" style="5" bestFit="1" customWidth="1"/>
    <col min="13" max="13" width="14" style="5" customWidth="1"/>
    <col min="14" max="16" width="8.85546875" style="79" customWidth="1"/>
    <col min="17" max="17" width="20" style="79" customWidth="1"/>
    <col min="18" max="18" width="11.28515625" style="79" customWidth="1"/>
    <col min="19" max="19" width="15.7109375" style="79" customWidth="1"/>
    <col min="20" max="20" width="11.28515625" style="79" customWidth="1"/>
    <col min="21" max="21" width="8.85546875" style="79"/>
    <col min="22" max="22" width="11.28515625" style="79" bestFit="1" customWidth="1"/>
    <col min="23" max="46" width="8.85546875" style="79"/>
    <col min="47" max="16384" width="8.85546875" style="5"/>
  </cols>
  <sheetData>
    <row r="1" spans="2:46" s="3" customFormat="1" ht="15.75" x14ac:dyDescent="0.25">
      <c r="B1" s="306" t="s">
        <v>446</v>
      </c>
      <c r="E1" s="329" t="str">
        <f>Summary!B4</f>
        <v>South Africa</v>
      </c>
      <c r="F1" s="3" t="s">
        <v>1337</v>
      </c>
      <c r="G1" s="80"/>
      <c r="H1" s="80"/>
      <c r="I1" s="80"/>
      <c r="J1" s="80"/>
      <c r="K1" s="80"/>
      <c r="L1" s="80"/>
      <c r="M1" s="80"/>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row>
    <row r="2" spans="2:46" ht="25.5" x14ac:dyDescent="0.2">
      <c r="H2" s="1136" t="s">
        <v>1816</v>
      </c>
      <c r="I2" s="1136"/>
      <c r="J2" s="1136"/>
      <c r="K2" s="1089" t="s">
        <v>1814</v>
      </c>
      <c r="L2" s="1088" t="s">
        <v>1759</v>
      </c>
      <c r="M2" s="607" t="s">
        <v>1796</v>
      </c>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row>
    <row r="3" spans="2:46" x14ac:dyDescent="0.2">
      <c r="E3" s="4" t="s">
        <v>595</v>
      </c>
      <c r="F3" s="5"/>
      <c r="H3" s="404" t="s">
        <v>385</v>
      </c>
      <c r="I3" s="404" t="s">
        <v>386</v>
      </c>
      <c r="J3" s="404" t="s">
        <v>1033</v>
      </c>
      <c r="K3" s="28" t="s">
        <v>385</v>
      </c>
      <c r="L3" s="29" t="s">
        <v>385</v>
      </c>
      <c r="M3" s="29" t="s">
        <v>385</v>
      </c>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row>
    <row r="4" spans="2:46" x14ac:dyDescent="0.2">
      <c r="E4" s="6" t="s">
        <v>596</v>
      </c>
      <c r="F4" s="5"/>
      <c r="H4" s="191">
        <f t="shared" ref="H4:M6" si="0">SUMIF($P$124:$P$148,$P4,H$124:H$148)</f>
        <v>5638872.6042786734</v>
      </c>
      <c r="I4" s="191">
        <f t="shared" si="0"/>
        <v>6011038.1961610653</v>
      </c>
      <c r="J4" s="191">
        <f t="shared" si="0"/>
        <v>6407766.7171076965</v>
      </c>
      <c r="K4" s="191">
        <f t="shared" si="0"/>
        <v>3931791.5537055451</v>
      </c>
      <c r="L4" s="191">
        <f t="shared" si="0"/>
        <v>6046021.4384948844</v>
      </c>
      <c r="M4" s="191">
        <f t="shared" si="0"/>
        <v>5184371.8810250256</v>
      </c>
      <c r="N4" s="5"/>
      <c r="O4" s="5"/>
      <c r="P4" s="5" t="s">
        <v>865</v>
      </c>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row>
    <row r="5" spans="2:46" x14ac:dyDescent="0.2">
      <c r="E5" s="6" t="s">
        <v>597</v>
      </c>
      <c r="F5" s="5"/>
      <c r="H5" s="191">
        <f t="shared" si="0"/>
        <v>5602339.6279195156</v>
      </c>
      <c r="I5" s="191">
        <f t="shared" si="0"/>
        <v>5916070.6470830077</v>
      </c>
      <c r="J5" s="191">
        <f t="shared" si="0"/>
        <v>6247370.6033196561</v>
      </c>
      <c r="K5" s="191">
        <f t="shared" si="0"/>
        <v>2352589.8704525451</v>
      </c>
      <c r="L5" s="191">
        <f t="shared" si="0"/>
        <v>6377423.9889127258</v>
      </c>
      <c r="M5" s="191">
        <f t="shared" si="0"/>
        <v>4737112.0426995773</v>
      </c>
      <c r="N5" s="5"/>
      <c r="O5" s="5"/>
      <c r="P5" s="5" t="s">
        <v>866</v>
      </c>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row>
    <row r="6" spans="2:46" x14ac:dyDescent="0.2">
      <c r="E6" s="6" t="s">
        <v>756</v>
      </c>
      <c r="F6" s="5"/>
      <c r="H6" s="191">
        <f t="shared" si="0"/>
        <v>2623521728.0893946</v>
      </c>
      <c r="I6" s="191">
        <f t="shared" si="0"/>
        <v>2798423176.6286879</v>
      </c>
      <c r="J6" s="191">
        <f t="shared" si="0"/>
        <v>2973324625.1679807</v>
      </c>
      <c r="K6" s="191">
        <f t="shared" si="0"/>
        <v>1101695193.8537378</v>
      </c>
      <c r="L6" s="191">
        <f t="shared" si="0"/>
        <v>2986486274.5503373</v>
      </c>
      <c r="M6" s="191">
        <f t="shared" si="0"/>
        <v>2218343977.3056936</v>
      </c>
      <c r="N6" s="5"/>
      <c r="O6" s="5"/>
      <c r="P6" s="5" t="s">
        <v>992</v>
      </c>
      <c r="Q6" s="191">
        <f>M6-H6</f>
        <v>-405177750.78370094</v>
      </c>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row>
    <row r="7" spans="2:46" ht="13.5" thickBot="1" x14ac:dyDescent="0.25">
      <c r="E7" s="4" t="s">
        <v>598</v>
      </c>
      <c r="F7" s="4"/>
      <c r="G7" s="4"/>
      <c r="H7" s="208">
        <f>SUM(H4:H6)</f>
        <v>2634762940.3215928</v>
      </c>
      <c r="I7" s="208">
        <f t="shared" ref="I7:M7" si="1">SUM(I4:I6)</f>
        <v>2810350285.4719319</v>
      </c>
      <c r="J7" s="208">
        <f t="shared" si="1"/>
        <v>2985979762.4884081</v>
      </c>
      <c r="K7" s="208">
        <f t="shared" si="1"/>
        <v>1107979575.2778959</v>
      </c>
      <c r="L7" s="208">
        <f t="shared" ref="L7" si="2">SUM(L4:L6)</f>
        <v>2998909719.9777451</v>
      </c>
      <c r="M7" s="208">
        <f t="shared" si="1"/>
        <v>2228265461.2294183</v>
      </c>
      <c r="N7" s="5"/>
      <c r="O7" s="5"/>
      <c r="P7" s="5"/>
      <c r="Q7" s="191"/>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row>
    <row r="8" spans="2:46" ht="13.5" thickTop="1" x14ac:dyDescent="0.2">
      <c r="F8" s="5"/>
      <c r="N8" s="5"/>
      <c r="O8" s="5"/>
      <c r="P8" s="5"/>
      <c r="Q8" s="191"/>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row>
    <row r="9" spans="2:46" x14ac:dyDescent="0.2">
      <c r="E9" s="5" t="s">
        <v>1256</v>
      </c>
      <c r="F9" s="5"/>
      <c r="H9" s="191">
        <f>H32*H34*H35</f>
        <v>5247043456.1787891</v>
      </c>
      <c r="I9" s="191">
        <f t="shared" ref="I9:K9" si="3">I32*I34*I35</f>
        <v>5596846353.2573757</v>
      </c>
      <c r="J9" s="191">
        <f t="shared" si="3"/>
        <v>5946649250.3359623</v>
      </c>
      <c r="K9" s="191">
        <f t="shared" si="3"/>
        <v>2203390387.7074752</v>
      </c>
      <c r="L9" s="191">
        <f t="shared" ref="L9" si="4">L32*L34*L35</f>
        <v>5972972549.1006746</v>
      </c>
      <c r="M9" s="191">
        <f>M32*M34*M35</f>
        <v>4436687954.6113873</v>
      </c>
      <c r="N9" s="5"/>
      <c r="O9" s="5"/>
      <c r="P9" s="5"/>
      <c r="Q9" s="191">
        <f>M9-H9</f>
        <v>-810355501.56740189</v>
      </c>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row>
    <row r="10" spans="2:46" x14ac:dyDescent="0.2">
      <c r="E10" s="5" t="s">
        <v>1762</v>
      </c>
      <c r="F10" s="5"/>
      <c r="H10" s="191">
        <f t="shared" ref="H10:M10" si="5">H36*H35*H34*H32</f>
        <v>2623521728.0893946</v>
      </c>
      <c r="I10" s="191">
        <f t="shared" si="5"/>
        <v>2798423176.6286879</v>
      </c>
      <c r="J10" s="191">
        <f t="shared" si="5"/>
        <v>2973324625.1679807</v>
      </c>
      <c r="K10" s="191">
        <f t="shared" si="5"/>
        <v>1101695193.8537378</v>
      </c>
      <c r="L10" s="191">
        <f t="shared" si="5"/>
        <v>2986486274.5503373</v>
      </c>
      <c r="M10" s="191">
        <f t="shared" si="5"/>
        <v>2218343977.3056936</v>
      </c>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row>
    <row r="11" spans="2:46" x14ac:dyDescent="0.2">
      <c r="E11" s="5" t="str">
        <f>D41</f>
        <v>Oversight of nutrition in ECD centres</v>
      </c>
      <c r="F11" s="4"/>
      <c r="G11" s="4"/>
      <c r="H11" s="191">
        <f>H124+H125+H126+H129</f>
        <v>3356781.1800720682</v>
      </c>
      <c r="I11" s="191">
        <f t="shared" ref="I11:M11" si="6">I124+I125+I126+I129</f>
        <v>3578231.8465293674</v>
      </c>
      <c r="J11" s="191">
        <f t="shared" si="6"/>
        <v>3814292.8310529105</v>
      </c>
      <c r="K11" s="191">
        <f t="shared" si="6"/>
        <v>1784842.8926486219</v>
      </c>
      <c r="L11" s="191">
        <f t="shared" ref="L11" si="7">L124+L125+L126+L129</f>
        <v>3731697.6733278567</v>
      </c>
      <c r="M11" s="191">
        <f t="shared" si="6"/>
        <v>2938261.4570019832</v>
      </c>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row>
    <row r="12" spans="2:46" x14ac:dyDescent="0.2">
      <c r="E12" s="5" t="str">
        <f>D53</f>
        <v>District Management of ECD Nutrition</v>
      </c>
      <c r="F12" s="4"/>
      <c r="G12" s="4"/>
      <c r="H12" s="191">
        <f>H131+H132+H134</f>
        <v>1583338.0349494237</v>
      </c>
      <c r="I12" s="191">
        <f t="shared" ref="I12:M12" si="8">I131+I132+I134</f>
        <v>1681378.9167588961</v>
      </c>
      <c r="J12" s="191">
        <f t="shared" si="8"/>
        <v>1785528.7687719509</v>
      </c>
      <c r="K12" s="191">
        <f t="shared" si="8"/>
        <v>1067882.7506020251</v>
      </c>
      <c r="L12" s="191">
        <f t="shared" ref="L12" si="9">L131+L132+L134</f>
        <v>1706277.140882425</v>
      </c>
      <c r="M12" s="191">
        <f t="shared" si="8"/>
        <v>1446100.9661751245</v>
      </c>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row>
    <row r="13" spans="2:46" x14ac:dyDescent="0.2">
      <c r="E13" s="5" t="str">
        <f>D60</f>
        <v>Counselling/investigating children with malnourished children</v>
      </c>
      <c r="F13" s="4"/>
      <c r="G13" s="4"/>
      <c r="H13" s="191">
        <f>H142</f>
        <v>1354385.3817219452</v>
      </c>
      <c r="I13" s="191">
        <f t="shared" ref="I13:M13" si="10">I142</f>
        <v>1443774.8169155936</v>
      </c>
      <c r="J13" s="191">
        <f t="shared" si="10"/>
        <v>1539063.954832023</v>
      </c>
      <c r="K13" s="191">
        <f t="shared" si="10"/>
        <v>1354385.3817219452</v>
      </c>
      <c r="L13" s="191">
        <f t="shared" ref="L13" si="11">L142</f>
        <v>1354385.3817219452</v>
      </c>
      <c r="M13" s="191">
        <f t="shared" si="10"/>
        <v>1354385.3817219452</v>
      </c>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row>
    <row r="14" spans="2:46" x14ac:dyDescent="0.2">
      <c r="E14" s="5" t="str">
        <f>D64</f>
        <v>Training staff at ECD facilities on nutrition for young children</v>
      </c>
      <c r="F14" s="4"/>
      <c r="G14" s="4"/>
      <c r="H14" s="191">
        <f>H145</f>
        <v>4946707.6354547506</v>
      </c>
      <c r="I14" s="191">
        <f t="shared" ref="I14:M14" si="12">I145</f>
        <v>5223723.2630402166</v>
      </c>
      <c r="J14" s="191">
        <f t="shared" si="12"/>
        <v>5516251.7657704689</v>
      </c>
      <c r="K14" s="191">
        <f t="shared" si="12"/>
        <v>2077270.3991854985</v>
      </c>
      <c r="L14" s="191">
        <f t="shared" ref="L14" si="13">L145</f>
        <v>5631085.231475383</v>
      </c>
      <c r="M14" s="191">
        <f t="shared" si="12"/>
        <v>4182736.1188255497</v>
      </c>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row>
    <row r="15" spans="2:46" ht="13.5" thickBot="1" x14ac:dyDescent="0.25">
      <c r="E15" s="4"/>
      <c r="F15" s="4"/>
      <c r="G15" s="4"/>
      <c r="H15" s="208">
        <f>SUM(H10:H14)</f>
        <v>2634762940.3215923</v>
      </c>
      <c r="I15" s="208">
        <f t="shared" ref="I15:M15" si="14">SUM(I10:I14)</f>
        <v>2810350285.4719319</v>
      </c>
      <c r="J15" s="208">
        <f t="shared" si="14"/>
        <v>2985979762.4884081</v>
      </c>
      <c r="K15" s="208">
        <f t="shared" si="14"/>
        <v>1107979575.2778959</v>
      </c>
      <c r="L15" s="208">
        <f t="shared" ref="L15" si="15">SUM(L10:L14)</f>
        <v>2998909719.9777451</v>
      </c>
      <c r="M15" s="208">
        <f t="shared" si="14"/>
        <v>2228265461.2294183</v>
      </c>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row>
    <row r="16" spans="2:46" ht="13.5" thickTop="1" x14ac:dyDescent="0.2">
      <c r="E16" s="4"/>
      <c r="F16" s="4"/>
      <c r="G16" s="4"/>
      <c r="H16" s="4"/>
      <c r="I16" s="4"/>
      <c r="J16" s="4"/>
      <c r="K16" s="4"/>
      <c r="L16" s="4"/>
      <c r="M16" s="4"/>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row>
    <row r="17" spans="1:46" x14ac:dyDescent="0.2">
      <c r="A17" s="78"/>
      <c r="B17" s="78"/>
      <c r="C17" s="78"/>
      <c r="D17" s="78"/>
      <c r="E17" s="78"/>
      <c r="F17" s="78"/>
      <c r="G17" s="78"/>
      <c r="H17" s="78"/>
      <c r="I17" s="78"/>
      <c r="J17" s="78"/>
      <c r="K17" s="78"/>
      <c r="L17" s="78"/>
      <c r="M17" s="78"/>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row>
    <row r="18" spans="1:46" s="311" customFormat="1" x14ac:dyDescent="0.2">
      <c r="C18" s="309" t="s">
        <v>426</v>
      </c>
      <c r="F18" s="324"/>
    </row>
    <row r="19" spans="1:46" x14ac:dyDescent="0.2">
      <c r="D19" s="5" t="s">
        <v>28</v>
      </c>
      <c r="H19" s="120">
        <v>30</v>
      </c>
      <c r="I19" s="120">
        <v>30</v>
      </c>
      <c r="J19" s="120">
        <v>30</v>
      </c>
      <c r="K19" s="120">
        <v>30</v>
      </c>
      <c r="L19" s="120">
        <v>30</v>
      </c>
      <c r="M19" s="120">
        <v>30</v>
      </c>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row>
    <row r="20" spans="1:46" x14ac:dyDescent="0.2">
      <c r="D20" s="5" t="s">
        <v>29</v>
      </c>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row>
    <row r="21" spans="1:46" x14ac:dyDescent="0.2">
      <c r="D21" s="65" t="s">
        <v>428</v>
      </c>
      <c r="H21" s="69">
        <v>0.8</v>
      </c>
      <c r="I21" s="69">
        <v>0.8</v>
      </c>
      <c r="J21" s="69">
        <v>0.8</v>
      </c>
      <c r="K21" s="69">
        <v>0.31</v>
      </c>
      <c r="L21" s="69">
        <v>0.65</v>
      </c>
      <c r="M21" s="578">
        <f>'Budget Choices Workings'!D53</f>
        <v>0.65</v>
      </c>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row>
    <row r="22" spans="1:46" x14ac:dyDescent="0.2">
      <c r="D22" s="65" t="s">
        <v>429</v>
      </c>
      <c r="H22" s="69">
        <v>0.8</v>
      </c>
      <c r="I22" s="69">
        <v>0.8</v>
      </c>
      <c r="J22" s="69">
        <v>0.8</v>
      </c>
      <c r="K22" s="69">
        <v>0.31</v>
      </c>
      <c r="L22" s="69">
        <v>0.65</v>
      </c>
      <c r="M22" s="578">
        <f>'Budget Choices Workings'!D54</f>
        <v>0.65</v>
      </c>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row>
    <row r="23" spans="1:46" x14ac:dyDescent="0.2">
      <c r="D23" s="65" t="s">
        <v>430</v>
      </c>
      <c r="H23" s="69">
        <v>0.35</v>
      </c>
      <c r="I23" s="69">
        <v>0.35</v>
      </c>
      <c r="J23" s="69">
        <v>0.35</v>
      </c>
      <c r="K23" s="69">
        <v>0.2</v>
      </c>
      <c r="L23" s="69">
        <v>0.35</v>
      </c>
      <c r="M23" s="578">
        <f>'Budget Choices Workings'!D55</f>
        <v>0.35</v>
      </c>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row>
    <row r="24" spans="1:46" x14ac:dyDescent="0.2">
      <c r="D24" s="65" t="s">
        <v>431</v>
      </c>
      <c r="H24" s="69">
        <v>0</v>
      </c>
      <c r="I24" s="69">
        <v>0</v>
      </c>
      <c r="J24" s="69">
        <v>0</v>
      </c>
      <c r="K24" s="69">
        <v>0</v>
      </c>
      <c r="L24" s="69">
        <v>0</v>
      </c>
      <c r="M24" s="69">
        <f t="shared" ref="M24:M25" si="16">H24</f>
        <v>0</v>
      </c>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row>
    <row r="25" spans="1:46" x14ac:dyDescent="0.2">
      <c r="D25" s="65" t="s">
        <v>432</v>
      </c>
      <c r="H25" s="69">
        <v>0</v>
      </c>
      <c r="I25" s="69">
        <v>0</v>
      </c>
      <c r="J25" s="69">
        <v>0</v>
      </c>
      <c r="K25" s="69">
        <v>0</v>
      </c>
      <c r="L25" s="69">
        <v>0</v>
      </c>
      <c r="M25" s="69">
        <f t="shared" si="16"/>
        <v>0</v>
      </c>
    </row>
    <row r="26" spans="1:46" x14ac:dyDescent="0.2">
      <c r="D26" s="7" t="s">
        <v>743</v>
      </c>
      <c r="F26" s="27"/>
      <c r="G26" s="6"/>
      <c r="H26" s="6"/>
      <c r="I26" s="6"/>
      <c r="J26" s="6"/>
      <c r="K26" s="6"/>
      <c r="L26" s="6"/>
      <c r="M26" s="6"/>
    </row>
    <row r="27" spans="1:46" x14ac:dyDescent="0.2">
      <c r="D27" s="65" t="s">
        <v>438</v>
      </c>
      <c r="F27" s="27"/>
      <c r="G27" s="6"/>
      <c r="H27" s="166" t="s">
        <v>721</v>
      </c>
      <c r="I27" s="166" t="s">
        <v>721</v>
      </c>
      <c r="J27" s="166" t="s">
        <v>721</v>
      </c>
      <c r="K27" s="166" t="s">
        <v>721</v>
      </c>
      <c r="L27" s="166" t="s">
        <v>721</v>
      </c>
      <c r="M27" s="599" t="str">
        <f>'Budget Choices'!E79</f>
        <v>No</v>
      </c>
    </row>
    <row r="28" spans="1:46" x14ac:dyDescent="0.2">
      <c r="D28" s="65" t="s">
        <v>439</v>
      </c>
      <c r="F28" s="27"/>
      <c r="G28" s="6"/>
      <c r="H28" s="166" t="s">
        <v>721</v>
      </c>
      <c r="I28" s="166" t="s">
        <v>721</v>
      </c>
      <c r="J28" s="166" t="s">
        <v>721</v>
      </c>
      <c r="K28" s="166" t="s">
        <v>721</v>
      </c>
      <c r="L28" s="166" t="s">
        <v>720</v>
      </c>
      <c r="M28" s="599" t="str">
        <f>'Budget Choices'!E80</f>
        <v>No</v>
      </c>
    </row>
    <row r="29" spans="1:46" x14ac:dyDescent="0.2">
      <c r="D29" s="65" t="s">
        <v>440</v>
      </c>
      <c r="F29" s="27"/>
      <c r="G29" s="6"/>
      <c r="H29" s="166" t="s">
        <v>720</v>
      </c>
      <c r="I29" s="166" t="s">
        <v>720</v>
      </c>
      <c r="J29" s="166" t="s">
        <v>720</v>
      </c>
      <c r="K29" s="166" t="s">
        <v>720</v>
      </c>
      <c r="L29" s="166" t="s">
        <v>720</v>
      </c>
      <c r="M29" s="599" t="str">
        <f>'Budget Choices'!E81</f>
        <v>Yes</v>
      </c>
    </row>
    <row r="30" spans="1:46" x14ac:dyDescent="0.2">
      <c r="D30" s="65" t="s">
        <v>441</v>
      </c>
      <c r="F30" s="27"/>
      <c r="G30" s="6"/>
      <c r="H30" s="166" t="s">
        <v>720</v>
      </c>
      <c r="I30" s="166" t="s">
        <v>720</v>
      </c>
      <c r="J30" s="166" t="s">
        <v>720</v>
      </c>
      <c r="K30" s="166" t="s">
        <v>720</v>
      </c>
      <c r="L30" s="166" t="s">
        <v>720</v>
      </c>
      <c r="M30" s="599" t="str">
        <f>'Budget Choices'!E82</f>
        <v>Yes</v>
      </c>
    </row>
    <row r="31" spans="1:46" x14ac:dyDescent="0.2">
      <c r="D31" s="65" t="s">
        <v>1532</v>
      </c>
      <c r="F31" s="27"/>
      <c r="G31" s="6"/>
      <c r="H31" s="166" t="s">
        <v>720</v>
      </c>
      <c r="I31" s="166" t="s">
        <v>720</v>
      </c>
      <c r="J31" s="166" t="s">
        <v>720</v>
      </c>
      <c r="K31" s="166" t="s">
        <v>720</v>
      </c>
      <c r="L31" s="166" t="s">
        <v>720</v>
      </c>
      <c r="M31" s="599" t="str">
        <f>'Budget Choices'!E83</f>
        <v>Yes</v>
      </c>
    </row>
    <row r="32" spans="1:46" x14ac:dyDescent="0.2">
      <c r="D32" s="6" t="s">
        <v>722</v>
      </c>
      <c r="F32" s="27"/>
      <c r="G32" s="6"/>
      <c r="H32" s="188">
        <f>H120</f>
        <v>1325010.9737825226</v>
      </c>
      <c r="I32" s="188">
        <f t="shared" ref="I32:K32" si="17">I120</f>
        <v>1325010.9737825226</v>
      </c>
      <c r="J32" s="188">
        <f t="shared" si="17"/>
        <v>1325010.9737825226</v>
      </c>
      <c r="K32" s="188">
        <f t="shared" si="17"/>
        <v>556411.71406754432</v>
      </c>
      <c r="L32" s="188">
        <f t="shared" ref="L32" si="18">L120</f>
        <v>1508326.4012880491</v>
      </c>
      <c r="M32" s="188">
        <f>M120</f>
        <v>1120375.7461139867</v>
      </c>
    </row>
    <row r="33" spans="3:20" x14ac:dyDescent="0.2">
      <c r="D33" s="6" t="s">
        <v>723</v>
      </c>
      <c r="F33" s="27"/>
      <c r="G33" s="6"/>
      <c r="H33" s="184">
        <f t="shared" ref="H33:M33" si="19">H32/H19</f>
        <v>44167.032459417424</v>
      </c>
      <c r="I33" s="184">
        <f t="shared" si="19"/>
        <v>44167.032459417424</v>
      </c>
      <c r="J33" s="184">
        <f t="shared" si="19"/>
        <v>44167.032459417424</v>
      </c>
      <c r="K33" s="184">
        <f t="shared" si="19"/>
        <v>18547.057135584811</v>
      </c>
      <c r="L33" s="184">
        <f t="shared" si="19"/>
        <v>50277.546709601636</v>
      </c>
      <c r="M33" s="184">
        <f t="shared" si="19"/>
        <v>37345.858203799558</v>
      </c>
    </row>
    <row r="34" spans="3:20" x14ac:dyDescent="0.2">
      <c r="D34" s="6" t="s">
        <v>725</v>
      </c>
      <c r="F34" s="27"/>
      <c r="G34" s="6"/>
      <c r="H34" s="190">
        <v>15</v>
      </c>
      <c r="I34" s="190">
        <v>16</v>
      </c>
      <c r="J34" s="190">
        <v>17</v>
      </c>
      <c r="K34" s="190">
        <v>15</v>
      </c>
      <c r="L34" s="190">
        <v>15</v>
      </c>
      <c r="M34" s="190">
        <f>'Budget Choices'!D67</f>
        <v>15</v>
      </c>
    </row>
    <row r="35" spans="3:20" x14ac:dyDescent="0.2">
      <c r="D35" s="6" t="s">
        <v>450</v>
      </c>
      <c r="F35" s="27"/>
      <c r="G35" s="6"/>
      <c r="H35" s="120">
        <v>264</v>
      </c>
      <c r="I35" s="120">
        <v>264</v>
      </c>
      <c r="J35" s="120">
        <v>264</v>
      </c>
      <c r="K35" s="120">
        <v>264</v>
      </c>
      <c r="L35" s="120">
        <v>264</v>
      </c>
      <c r="M35" s="190">
        <f t="shared" ref="M35:M38" si="20">H35</f>
        <v>264</v>
      </c>
    </row>
    <row r="36" spans="3:20" x14ac:dyDescent="0.2">
      <c r="D36" s="6" t="s">
        <v>449</v>
      </c>
      <c r="F36" s="27"/>
      <c r="G36" s="6"/>
      <c r="H36" s="69">
        <v>0.5</v>
      </c>
      <c r="I36" s="69">
        <v>0.5</v>
      </c>
      <c r="J36" s="69">
        <v>0.5</v>
      </c>
      <c r="K36" s="69">
        <v>0.5</v>
      </c>
      <c r="L36" s="69">
        <v>0.5</v>
      </c>
      <c r="M36" s="190">
        <f t="shared" si="20"/>
        <v>0.5</v>
      </c>
    </row>
    <row r="37" spans="3:20" x14ac:dyDescent="0.2">
      <c r="D37" s="7" t="s">
        <v>744</v>
      </c>
      <c r="F37" s="27"/>
      <c r="G37" s="6"/>
      <c r="H37" s="69">
        <v>0.02</v>
      </c>
      <c r="I37" s="69">
        <v>0.02</v>
      </c>
      <c r="J37" s="69">
        <v>0.02</v>
      </c>
      <c r="K37" s="69">
        <v>0.02</v>
      </c>
      <c r="L37" s="69">
        <v>0.02</v>
      </c>
      <c r="M37" s="190">
        <f t="shared" si="20"/>
        <v>0.02</v>
      </c>
    </row>
    <row r="38" spans="3:20" x14ac:dyDescent="0.2">
      <c r="D38" s="7" t="s">
        <v>745</v>
      </c>
      <c r="F38" s="27"/>
      <c r="G38" s="6"/>
      <c r="H38" s="69">
        <v>0.03</v>
      </c>
      <c r="I38" s="69">
        <v>0.03</v>
      </c>
      <c r="J38" s="69">
        <v>0.03</v>
      </c>
      <c r="K38" s="69">
        <v>0.03</v>
      </c>
      <c r="L38" s="69">
        <v>0.03</v>
      </c>
      <c r="M38" s="190">
        <f t="shared" si="20"/>
        <v>0.03</v>
      </c>
    </row>
    <row r="40" spans="3:20" s="311" customFormat="1" x14ac:dyDescent="0.2">
      <c r="C40" s="309" t="s">
        <v>853</v>
      </c>
      <c r="F40" s="324"/>
      <c r="G40" s="324"/>
      <c r="H40" s="324"/>
      <c r="I40" s="324"/>
      <c r="J40" s="324"/>
      <c r="K40" s="324"/>
      <c r="L40" s="324"/>
      <c r="M40" s="324"/>
      <c r="N40" s="324"/>
      <c r="O40" s="324"/>
      <c r="P40" s="324"/>
      <c r="Q40" s="324"/>
      <c r="R40" s="324"/>
      <c r="S40" s="324"/>
      <c r="T40" s="324"/>
    </row>
    <row r="41" spans="3:20" s="79" customFormat="1" x14ac:dyDescent="0.2">
      <c r="C41" s="77"/>
      <c r="D41" s="323" t="s">
        <v>454</v>
      </c>
      <c r="F41" s="328"/>
      <c r="G41" s="328"/>
      <c r="H41" s="328"/>
      <c r="I41" s="328"/>
      <c r="J41" s="328"/>
      <c r="K41" s="328"/>
      <c r="L41" s="328"/>
      <c r="M41" s="328"/>
      <c r="N41" s="328"/>
      <c r="O41" s="328"/>
      <c r="P41" s="328"/>
      <c r="Q41" s="328"/>
      <c r="R41" s="328"/>
      <c r="S41" s="328"/>
      <c r="T41" s="328"/>
    </row>
    <row r="42" spans="3:20" x14ac:dyDescent="0.2">
      <c r="D42" s="65" t="s">
        <v>2</v>
      </c>
      <c r="E42" s="5" t="s">
        <v>443</v>
      </c>
      <c r="H42" s="69">
        <v>0.02</v>
      </c>
      <c r="I42" s="69">
        <v>0.02</v>
      </c>
      <c r="J42" s="69">
        <v>0.02</v>
      </c>
      <c r="K42" s="69">
        <v>0.02</v>
      </c>
      <c r="L42" s="69">
        <v>0.02</v>
      </c>
      <c r="M42" s="69">
        <f>H42</f>
        <v>0.02</v>
      </c>
    </row>
    <row r="43" spans="3:20" x14ac:dyDescent="0.2">
      <c r="D43" s="65" t="s">
        <v>3</v>
      </c>
      <c r="E43" s="5" t="s">
        <v>443</v>
      </c>
      <c r="H43" s="69">
        <v>0.05</v>
      </c>
      <c r="I43" s="69">
        <v>0.05</v>
      </c>
      <c r="J43" s="69">
        <v>0.05</v>
      </c>
      <c r="K43" s="69">
        <v>0.05</v>
      </c>
      <c r="L43" s="69">
        <v>0.05</v>
      </c>
      <c r="M43" s="69">
        <f t="shared" ref="M43:M49" si="21">H43</f>
        <v>0.05</v>
      </c>
    </row>
    <row r="44" spans="3:20" x14ac:dyDescent="0.2">
      <c r="D44" s="65"/>
      <c r="G44" s="25"/>
      <c r="H44" s="25"/>
      <c r="I44" s="25"/>
      <c r="J44" s="25"/>
      <c r="K44" s="25"/>
      <c r="L44" s="25"/>
      <c r="M44" s="25"/>
      <c r="N44" s="25"/>
      <c r="O44" s="25"/>
      <c r="P44" s="25"/>
      <c r="Q44" s="25"/>
    </row>
    <row r="45" spans="3:20" x14ac:dyDescent="0.2">
      <c r="D45" s="65" t="s">
        <v>5</v>
      </c>
      <c r="E45" s="5" t="s">
        <v>727</v>
      </c>
      <c r="H45" s="120">
        <v>15</v>
      </c>
      <c r="I45" s="120">
        <v>15</v>
      </c>
      <c r="J45" s="120">
        <v>15</v>
      </c>
      <c r="K45" s="120">
        <v>15</v>
      </c>
      <c r="L45" s="120">
        <v>15</v>
      </c>
      <c r="M45" s="120">
        <f t="shared" si="21"/>
        <v>15</v>
      </c>
    </row>
    <row r="46" spans="3:20" x14ac:dyDescent="0.2">
      <c r="E46" s="5" t="s">
        <v>447</v>
      </c>
      <c r="H46" s="69">
        <v>0.03</v>
      </c>
      <c r="I46" s="69">
        <v>0.03</v>
      </c>
      <c r="J46" s="69">
        <v>0.03</v>
      </c>
      <c r="K46" s="69">
        <v>0.03</v>
      </c>
      <c r="L46" s="69">
        <v>0.03</v>
      </c>
      <c r="M46" s="69">
        <f t="shared" si="21"/>
        <v>0.03</v>
      </c>
    </row>
    <row r="47" spans="3:20" x14ac:dyDescent="0.2">
      <c r="E47" s="5" t="s">
        <v>728</v>
      </c>
      <c r="H47" s="120">
        <v>60</v>
      </c>
      <c r="I47" s="120">
        <v>60</v>
      </c>
      <c r="J47" s="120">
        <v>60</v>
      </c>
      <c r="K47" s="120">
        <v>60</v>
      </c>
      <c r="L47" s="120">
        <v>60</v>
      </c>
      <c r="M47" s="120">
        <f t="shared" si="21"/>
        <v>60</v>
      </c>
    </row>
    <row r="48" spans="3:20" x14ac:dyDescent="0.2">
      <c r="E48" s="5" t="s">
        <v>729</v>
      </c>
      <c r="H48" s="120">
        <v>15</v>
      </c>
      <c r="I48" s="120">
        <v>15</v>
      </c>
      <c r="J48" s="120">
        <v>15</v>
      </c>
      <c r="K48" s="120">
        <v>15</v>
      </c>
      <c r="L48" s="120">
        <v>15</v>
      </c>
      <c r="M48" s="120">
        <f t="shared" si="21"/>
        <v>15</v>
      </c>
    </row>
    <row r="49" spans="3:25" x14ac:dyDescent="0.2">
      <c r="E49" s="5" t="s">
        <v>448</v>
      </c>
      <c r="H49" s="69">
        <v>0.15</v>
      </c>
      <c r="I49" s="69">
        <v>0.15</v>
      </c>
      <c r="J49" s="69">
        <v>0.15</v>
      </c>
      <c r="K49" s="69">
        <v>0.15</v>
      </c>
      <c r="L49" s="69">
        <v>0.15</v>
      </c>
      <c r="M49" s="69">
        <f t="shared" si="21"/>
        <v>0.15</v>
      </c>
    </row>
    <row r="50" spans="3:25" x14ac:dyDescent="0.2">
      <c r="F50" s="5"/>
      <c r="N50" s="5"/>
      <c r="O50" s="5"/>
      <c r="P50" s="5"/>
      <c r="Q50" s="5"/>
      <c r="R50" s="5"/>
      <c r="S50" s="5"/>
      <c r="T50" s="5"/>
    </row>
    <row r="51" spans="3:25" x14ac:dyDescent="0.2">
      <c r="G51" s="25"/>
      <c r="H51" s="25"/>
      <c r="I51" s="25"/>
      <c r="J51" s="25"/>
      <c r="K51" s="25"/>
      <c r="L51" s="25"/>
      <c r="M51" s="25"/>
      <c r="N51" s="25"/>
      <c r="O51" s="25"/>
      <c r="P51" s="25"/>
      <c r="Q51" s="25"/>
      <c r="R51" s="25"/>
      <c r="S51" s="25"/>
      <c r="T51" s="25"/>
      <c r="U51" s="25"/>
      <c r="V51" s="25"/>
      <c r="W51" s="25"/>
      <c r="X51" s="25"/>
      <c r="Y51" s="25"/>
    </row>
    <row r="52" spans="3:25" s="314" customFormat="1" x14ac:dyDescent="0.2">
      <c r="C52" s="315" t="s">
        <v>929</v>
      </c>
      <c r="F52" s="325"/>
      <c r="G52" s="325"/>
      <c r="H52" s="325"/>
      <c r="I52" s="325"/>
      <c r="J52" s="325"/>
      <c r="K52" s="325"/>
      <c r="L52" s="325"/>
      <c r="M52" s="325"/>
    </row>
    <row r="53" spans="3:25" x14ac:dyDescent="0.2">
      <c r="D53" s="198" t="s">
        <v>456</v>
      </c>
    </row>
    <row r="54" spans="3:25" x14ac:dyDescent="0.2">
      <c r="D54" s="65" t="s">
        <v>735</v>
      </c>
      <c r="E54" s="5" t="s">
        <v>451</v>
      </c>
      <c r="H54" s="69">
        <v>0.08</v>
      </c>
      <c r="I54" s="69">
        <v>0.08</v>
      </c>
      <c r="J54" s="69">
        <v>0.08</v>
      </c>
      <c r="K54" s="69">
        <v>0.08</v>
      </c>
      <c r="L54" s="69">
        <v>0.08</v>
      </c>
      <c r="M54" s="69">
        <f>H54</f>
        <v>0.08</v>
      </c>
    </row>
    <row r="55" spans="3:25" x14ac:dyDescent="0.2">
      <c r="D55" s="65" t="s">
        <v>26</v>
      </c>
      <c r="E55" s="5" t="s">
        <v>741</v>
      </c>
      <c r="H55" s="69">
        <v>0.15</v>
      </c>
      <c r="I55" s="69">
        <v>0.15</v>
      </c>
      <c r="J55" s="69">
        <v>0.15</v>
      </c>
      <c r="K55" s="69">
        <v>0.15</v>
      </c>
      <c r="L55" s="69">
        <v>0.15</v>
      </c>
      <c r="M55" s="69">
        <f t="shared" ref="M55:M58" si="22">H55</f>
        <v>0.15</v>
      </c>
    </row>
    <row r="56" spans="3:25" x14ac:dyDescent="0.2">
      <c r="E56" s="5" t="s">
        <v>740</v>
      </c>
      <c r="H56" s="120">
        <v>60</v>
      </c>
      <c r="I56" s="120">
        <v>60</v>
      </c>
      <c r="J56" s="120">
        <v>60</v>
      </c>
      <c r="K56" s="120">
        <v>60</v>
      </c>
      <c r="L56" s="120">
        <v>60</v>
      </c>
      <c r="M56" s="120">
        <f t="shared" si="22"/>
        <v>60</v>
      </c>
    </row>
    <row r="57" spans="3:25" x14ac:dyDescent="0.2">
      <c r="E57" s="5" t="s">
        <v>27</v>
      </c>
      <c r="H57" s="120">
        <v>15</v>
      </c>
      <c r="I57" s="120">
        <v>15</v>
      </c>
      <c r="J57" s="120">
        <v>15</v>
      </c>
      <c r="K57" s="120">
        <v>15</v>
      </c>
      <c r="L57" s="120">
        <v>15</v>
      </c>
      <c r="M57" s="120">
        <f t="shared" si="22"/>
        <v>15</v>
      </c>
    </row>
    <row r="58" spans="3:25" x14ac:dyDescent="0.2">
      <c r="E58" s="5" t="s">
        <v>451</v>
      </c>
      <c r="H58" s="69">
        <v>0.3</v>
      </c>
      <c r="I58" s="69">
        <v>0.3</v>
      </c>
      <c r="J58" s="69">
        <v>0.3</v>
      </c>
      <c r="K58" s="69">
        <v>0.3</v>
      </c>
      <c r="L58" s="69">
        <v>0.3</v>
      </c>
      <c r="M58" s="69">
        <f t="shared" si="22"/>
        <v>0.3</v>
      </c>
    </row>
    <row r="60" spans="3:25" x14ac:dyDescent="0.2">
      <c r="D60" s="198" t="s">
        <v>455</v>
      </c>
    </row>
    <row r="61" spans="3:25" x14ac:dyDescent="0.2">
      <c r="D61" s="65" t="s">
        <v>30</v>
      </c>
      <c r="E61" s="5" t="s">
        <v>742</v>
      </c>
      <c r="H61" s="120">
        <v>15</v>
      </c>
      <c r="I61" s="120">
        <v>15</v>
      </c>
      <c r="J61" s="120">
        <v>15</v>
      </c>
      <c r="K61" s="120">
        <v>15</v>
      </c>
      <c r="L61" s="120">
        <v>15</v>
      </c>
      <c r="M61" s="120">
        <f>H61</f>
        <v>15</v>
      </c>
    </row>
    <row r="62" spans="3:25" x14ac:dyDescent="0.2">
      <c r="E62" s="5" t="s">
        <v>374</v>
      </c>
      <c r="H62" s="120">
        <v>60</v>
      </c>
      <c r="I62" s="120">
        <v>60</v>
      </c>
      <c r="J62" s="120">
        <v>60</v>
      </c>
      <c r="K62" s="120">
        <v>60</v>
      </c>
      <c r="L62" s="120">
        <v>60</v>
      </c>
      <c r="M62" s="120">
        <f>H62</f>
        <v>60</v>
      </c>
    </row>
    <row r="64" spans="3:25" x14ac:dyDescent="0.2">
      <c r="D64" s="198" t="s">
        <v>543</v>
      </c>
    </row>
    <row r="65" spans="3:46" x14ac:dyDescent="0.2">
      <c r="E65" s="5" t="s">
        <v>751</v>
      </c>
      <c r="H65" s="191">
        <f>H66*H67*H33/GenAssumptions!D73</f>
        <v>1545.8461360796096</v>
      </c>
      <c r="I65" s="191">
        <f>I66*I67*I33/GenAssumptions!E73</f>
        <v>1545.8461360796096</v>
      </c>
      <c r="J65" s="191">
        <f>J66*J67*J33/GenAssumptions!F73</f>
        <v>1545.8461360796096</v>
      </c>
      <c r="K65" s="191">
        <f>K66*K67*K33/GenAssumptions!G73</f>
        <v>649.14699974546829</v>
      </c>
      <c r="L65" s="191">
        <f>L66*L67*L33/GenAssumptions!H73</f>
        <v>1759.7141348360569</v>
      </c>
      <c r="M65" s="191">
        <f>M66*M67*M33/GenAssumptions!I73</f>
        <v>1307.1050371329843</v>
      </c>
    </row>
    <row r="66" spans="3:46" x14ac:dyDescent="0.2">
      <c r="E66" s="5" t="s">
        <v>452</v>
      </c>
      <c r="H66" s="69">
        <v>0.35</v>
      </c>
      <c r="I66" s="69">
        <v>0.35</v>
      </c>
      <c r="J66" s="69">
        <v>0.35</v>
      </c>
      <c r="K66" s="69">
        <v>0.35</v>
      </c>
      <c r="L66" s="69">
        <v>0.35</v>
      </c>
      <c r="M66" s="69">
        <f>H66</f>
        <v>0.35</v>
      </c>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row>
    <row r="67" spans="3:46" x14ac:dyDescent="0.2">
      <c r="E67" s="5" t="s">
        <v>453</v>
      </c>
      <c r="H67" s="189">
        <v>3</v>
      </c>
      <c r="I67" s="189">
        <v>3</v>
      </c>
      <c r="J67" s="189">
        <v>3</v>
      </c>
      <c r="K67" s="189">
        <v>3</v>
      </c>
      <c r="L67" s="189">
        <v>3</v>
      </c>
      <c r="M67" s="189">
        <f t="shared" ref="M67:M69" si="23">H67</f>
        <v>3</v>
      </c>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row>
    <row r="68" spans="3:46" x14ac:dyDescent="0.2">
      <c r="E68" s="5" t="s">
        <v>717</v>
      </c>
      <c r="H68" s="120">
        <v>2</v>
      </c>
      <c r="I68" s="120">
        <v>2</v>
      </c>
      <c r="J68" s="120">
        <v>2</v>
      </c>
      <c r="K68" s="120">
        <v>2</v>
      </c>
      <c r="L68" s="120">
        <v>2</v>
      </c>
      <c r="M68" s="120">
        <f t="shared" si="23"/>
        <v>2</v>
      </c>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row>
    <row r="69" spans="3:46" x14ac:dyDescent="0.2">
      <c r="E69" s="5" t="s">
        <v>750</v>
      </c>
      <c r="H69" s="69">
        <v>0.2</v>
      </c>
      <c r="I69" s="69">
        <v>0.2</v>
      </c>
      <c r="J69" s="69">
        <v>0.2</v>
      </c>
      <c r="K69" s="69">
        <v>0.2</v>
      </c>
      <c r="L69" s="69">
        <v>0.2</v>
      </c>
      <c r="M69" s="69">
        <f t="shared" si="23"/>
        <v>0.2</v>
      </c>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row>
    <row r="70" spans="3:46" x14ac:dyDescent="0.2">
      <c r="F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row>
    <row r="72" spans="3:46" s="326" customFormat="1" x14ac:dyDescent="0.2">
      <c r="C72" s="315" t="s">
        <v>693</v>
      </c>
      <c r="F72" s="327"/>
      <c r="G72" s="327"/>
      <c r="H72" s="327"/>
      <c r="I72" s="327"/>
      <c r="J72" s="327"/>
      <c r="K72" s="327"/>
      <c r="L72" s="327"/>
      <c r="M72" s="327"/>
    </row>
    <row r="77" spans="3:46" s="176" customFormat="1" x14ac:dyDescent="0.2">
      <c r="F77" s="177"/>
    </row>
    <row r="80" spans="3:46" x14ac:dyDescent="0.2">
      <c r="E80" s="5" t="s">
        <v>142</v>
      </c>
      <c r="G80" s="25"/>
      <c r="H80" s="25"/>
      <c r="I80" s="25"/>
      <c r="J80" s="25"/>
      <c r="K80" s="25"/>
      <c r="L80" s="25"/>
      <c r="M80" s="25"/>
    </row>
    <row r="81" spans="5:19" x14ac:dyDescent="0.2">
      <c r="E81" s="5" t="str">
        <f>E1</f>
        <v>South Africa</v>
      </c>
      <c r="G81" s="25">
        <f>VLOOKUP(E81,Lists!$D$2:$E$11,2,FALSE)</f>
        <v>10</v>
      </c>
      <c r="H81" s="105"/>
      <c r="I81" s="105"/>
      <c r="J81" s="105"/>
      <c r="K81" s="105"/>
      <c r="L81" s="105"/>
      <c r="M81" s="105"/>
    </row>
    <row r="82" spans="5:19" x14ac:dyDescent="0.2">
      <c r="E82" s="178" t="s">
        <v>438</v>
      </c>
      <c r="F82" s="179"/>
      <c r="G82" s="179"/>
      <c r="H82" s="183">
        <f t="shared" ref="H82:M82" si="24">IF(H27="No",0,1)</f>
        <v>0</v>
      </c>
      <c r="I82" s="183">
        <f t="shared" si="24"/>
        <v>0</v>
      </c>
      <c r="J82" s="183">
        <f t="shared" si="24"/>
        <v>0</v>
      </c>
      <c r="K82" s="183">
        <f t="shared" si="24"/>
        <v>0</v>
      </c>
      <c r="L82" s="183">
        <f t="shared" si="24"/>
        <v>0</v>
      </c>
      <c r="M82" s="185">
        <f t="shared" si="24"/>
        <v>0</v>
      </c>
    </row>
    <row r="83" spans="5:19" x14ac:dyDescent="0.2">
      <c r="E83" s="180" t="s">
        <v>428</v>
      </c>
      <c r="G83" s="25">
        <v>1</v>
      </c>
      <c r="H83" s="184">
        <f>INDEX('H&amp;S Demand'!$K$4:$AN$13,$G$81,$G83)*H$82*H21</f>
        <v>0</v>
      </c>
      <c r="I83" s="184">
        <f>INDEX('H&amp;S Demand'!$K$4:$AN$13,$G$81,$G83)*I$82*I21</f>
        <v>0</v>
      </c>
      <c r="J83" s="184">
        <f>INDEX('H&amp;S Demand'!$K$4:$AN$13,$G$81,$G83)*J$82*J21</f>
        <v>0</v>
      </c>
      <c r="K83" s="184">
        <f>INDEX('H&amp;S Demand'!$K$4:$AN$13,$G$81,$G83)*K$82*K21</f>
        <v>0</v>
      </c>
      <c r="L83" s="184">
        <f>INDEX('H&amp;S Demand'!$K$4:$AN$13,$G$81,$G83)*L$82*L21</f>
        <v>0</v>
      </c>
      <c r="M83" s="184">
        <f>INDEX('H&amp;S Demand'!$K$4:$AN$13,$G$81,$G83)*M$82*M21</f>
        <v>0</v>
      </c>
    </row>
    <row r="84" spans="5:19" x14ac:dyDescent="0.2">
      <c r="E84" s="180" t="s">
        <v>429</v>
      </c>
      <c r="G84" s="25">
        <v>2</v>
      </c>
      <c r="H84" s="184">
        <f>INDEX('H&amp;S Demand'!$K$4:$AN$13,$G$81,$G84)*H$82*H22</f>
        <v>0</v>
      </c>
      <c r="I84" s="184">
        <f>INDEX('H&amp;S Demand'!$K$4:$AN$13,$G$81,$G84)*I$82*I22</f>
        <v>0</v>
      </c>
      <c r="J84" s="184">
        <f>INDEX('H&amp;S Demand'!$K$4:$AN$13,$G$81,$G84)*J$82*J22</f>
        <v>0</v>
      </c>
      <c r="K84" s="184">
        <f>INDEX('H&amp;S Demand'!$K$4:$AN$13,$G$81,$G84)*K$82*K22</f>
        <v>0</v>
      </c>
      <c r="L84" s="184">
        <f>INDEX('H&amp;S Demand'!$K$4:$AN$13,$G$81,$G84)*L$82*L22</f>
        <v>0</v>
      </c>
      <c r="M84" s="184">
        <f>INDEX('H&amp;S Demand'!$K$4:$AN$13,$G$81,$G84)*M$82*M22</f>
        <v>0</v>
      </c>
    </row>
    <row r="85" spans="5:19" x14ac:dyDescent="0.2">
      <c r="E85" s="180" t="s">
        <v>430</v>
      </c>
      <c r="G85" s="25">
        <v>3</v>
      </c>
      <c r="H85" s="184">
        <f>INDEX('H&amp;S Demand'!$K$4:$AN$13,$G$81,$G85)*H$82*H23</f>
        <v>0</v>
      </c>
      <c r="I85" s="184">
        <f>INDEX('H&amp;S Demand'!$K$4:$AN$13,$G$81,$G85)*I$82*I23</f>
        <v>0</v>
      </c>
      <c r="J85" s="184">
        <f>INDEX('H&amp;S Demand'!$K$4:$AN$13,$G$81,$G85)*J$82*J23</f>
        <v>0</v>
      </c>
      <c r="K85" s="184">
        <f>INDEX('H&amp;S Demand'!$K$4:$AN$13,$G$81,$G85)*K$82*K23</f>
        <v>0</v>
      </c>
      <c r="L85" s="184">
        <f>INDEX('H&amp;S Demand'!$K$4:$AN$13,$G$81,$G85)*L$82*L23</f>
        <v>0</v>
      </c>
      <c r="M85" s="184">
        <f>INDEX('H&amp;S Demand'!$K$4:$AN$13,$G$81,$G85)*M$82*M23</f>
        <v>0</v>
      </c>
    </row>
    <row r="86" spans="5:19" x14ac:dyDescent="0.2">
      <c r="E86" s="180" t="s">
        <v>431</v>
      </c>
      <c r="G86" s="25">
        <v>4</v>
      </c>
      <c r="H86" s="184">
        <f>INDEX('H&amp;S Demand'!$K$4:$AN$13,$G$81,$G86)*H$82*H24</f>
        <v>0</v>
      </c>
      <c r="I86" s="184">
        <f>INDEX('H&amp;S Demand'!$K$4:$AN$13,$G$81,$G86)*I$82*I24</f>
        <v>0</v>
      </c>
      <c r="J86" s="184">
        <f>INDEX('H&amp;S Demand'!$K$4:$AN$13,$G$81,$G86)*J$82*J24</f>
        <v>0</v>
      </c>
      <c r="K86" s="184">
        <f>INDEX('H&amp;S Demand'!$K$4:$AN$13,$G$81,$G86)*K$82*K24</f>
        <v>0</v>
      </c>
      <c r="L86" s="184">
        <f>INDEX('H&amp;S Demand'!$K$4:$AN$13,$G$81,$G86)*L$82*L24</f>
        <v>0</v>
      </c>
      <c r="M86" s="184">
        <f>INDEX('H&amp;S Demand'!$K$4:$AN$13,$G$81,$G86)*M$82*M24</f>
        <v>0</v>
      </c>
    </row>
    <row r="87" spans="5:19" x14ac:dyDescent="0.2">
      <c r="E87" s="181" t="s">
        <v>432</v>
      </c>
      <c r="F87" s="182"/>
      <c r="G87" s="25">
        <v>5</v>
      </c>
      <c r="H87" s="184">
        <f>INDEX('H&amp;S Demand'!$K$4:$AN$13,$G$81,$G87)*H$82*H25</f>
        <v>0</v>
      </c>
      <c r="I87" s="184">
        <f>INDEX('H&amp;S Demand'!$K$4:$AN$13,$G$81,$G87)*I$82*I25</f>
        <v>0</v>
      </c>
      <c r="J87" s="184">
        <f>INDEX('H&amp;S Demand'!$K$4:$AN$13,$G$81,$G87)*J$82*J25</f>
        <v>0</v>
      </c>
      <c r="K87" s="184">
        <f>INDEX('H&amp;S Demand'!$K$4:$AN$13,$G$81,$G87)*K$82*K25</f>
        <v>0</v>
      </c>
      <c r="L87" s="184">
        <f>INDEX('H&amp;S Demand'!$K$4:$AN$13,$G$81,$G87)*L$82*L25</f>
        <v>0</v>
      </c>
      <c r="M87" s="184">
        <f>INDEX('H&amp;S Demand'!$K$4:$AN$13,$G$81,$G87)*M$82*M25</f>
        <v>0</v>
      </c>
    </row>
    <row r="88" spans="5:19" x14ac:dyDescent="0.2">
      <c r="E88" s="178" t="s">
        <v>439</v>
      </c>
      <c r="F88" s="179"/>
      <c r="G88" s="179">
        <f>G82+5</f>
        <v>5</v>
      </c>
      <c r="H88" s="183">
        <f t="shared" ref="H88:M88" si="25">IF(H28="No",0,1)</f>
        <v>0</v>
      </c>
      <c r="I88" s="183">
        <f t="shared" si="25"/>
        <v>0</v>
      </c>
      <c r="J88" s="183">
        <f t="shared" si="25"/>
        <v>0</v>
      </c>
      <c r="K88" s="183">
        <f t="shared" si="25"/>
        <v>0</v>
      </c>
      <c r="L88" s="183">
        <f t="shared" si="25"/>
        <v>1</v>
      </c>
      <c r="M88" s="185">
        <f t="shared" si="25"/>
        <v>0</v>
      </c>
    </row>
    <row r="89" spans="5:19" x14ac:dyDescent="0.2">
      <c r="E89" s="180" t="s">
        <v>428</v>
      </c>
      <c r="G89" s="25">
        <v>6</v>
      </c>
      <c r="H89" s="184">
        <f>INDEX('H&amp;S Demand'!$K$4:$AN$13,$G$81,$G89)*H$88*H21</f>
        <v>0</v>
      </c>
      <c r="I89" s="184">
        <f>INDEX('H&amp;S Demand'!$K$4:$AN$13,$G$81,$G89)*I$88*I21</f>
        <v>0</v>
      </c>
      <c r="J89" s="184">
        <f>INDEX('H&amp;S Demand'!$K$4:$AN$13,$G$81,$G89)*J$88*J21</f>
        <v>0</v>
      </c>
      <c r="K89" s="184">
        <f>INDEX('H&amp;S Demand'!$K$4:$AN$13,$G$81,$G89)*K$88*K21</f>
        <v>0</v>
      </c>
      <c r="L89" s="184">
        <f>INDEX('H&amp;S Demand'!$K$4:$AN$13,$G$81,$G89)*L$88*L21</f>
        <v>153577.00812207771</v>
      </c>
      <c r="M89" s="184">
        <f>INDEX('H&amp;S Demand'!$K$4:$AN$13,$G$81,$G89)*M$88*M21</f>
        <v>0</v>
      </c>
    </row>
    <row r="90" spans="5:19" x14ac:dyDescent="0.2">
      <c r="E90" s="180" t="s">
        <v>429</v>
      </c>
      <c r="G90" s="25">
        <v>7</v>
      </c>
      <c r="H90" s="184">
        <f>INDEX('H&amp;S Demand'!$K$4:$AN$13,$G$81,$G90)*H$88*H22</f>
        <v>0</v>
      </c>
      <c r="I90" s="184">
        <f>INDEX('H&amp;S Demand'!$K$4:$AN$13,$G$81,$G90)*I$88*I22</f>
        <v>0</v>
      </c>
      <c r="J90" s="184">
        <f>INDEX('H&amp;S Demand'!$K$4:$AN$13,$G$81,$G90)*J$88*J22</f>
        <v>0</v>
      </c>
      <c r="K90" s="184">
        <f>INDEX('H&amp;S Demand'!$K$4:$AN$13,$G$81,$G90)*K$88*K22</f>
        <v>0</v>
      </c>
      <c r="L90" s="184">
        <f>INDEX('H&amp;S Demand'!$K$4:$AN$13,$G$81,$G90)*L$88*L22</f>
        <v>153027.41906750528</v>
      </c>
      <c r="M90" s="184">
        <f>INDEX('H&amp;S Demand'!$K$4:$AN$13,$G$81,$G90)*M$88*M22</f>
        <v>0</v>
      </c>
    </row>
    <row r="91" spans="5:19" x14ac:dyDescent="0.2">
      <c r="E91" s="180" t="s">
        <v>430</v>
      </c>
      <c r="G91" s="25">
        <v>8</v>
      </c>
      <c r="H91" s="184">
        <f>INDEX('H&amp;S Demand'!$K$4:$AN$13,$G$81,$G91)*H$88*H23</f>
        <v>0</v>
      </c>
      <c r="I91" s="184">
        <f>INDEX('H&amp;S Demand'!$K$4:$AN$13,$G$81,$G91)*I$88*I23</f>
        <v>0</v>
      </c>
      <c r="J91" s="184">
        <f>INDEX('H&amp;S Demand'!$K$4:$AN$13,$G$81,$G91)*J$88*J23</f>
        <v>0</v>
      </c>
      <c r="K91" s="184">
        <f>INDEX('H&amp;S Demand'!$K$4:$AN$13,$G$81,$G91)*K$88*K23</f>
        <v>0</v>
      </c>
      <c r="L91" s="184">
        <f>INDEX('H&amp;S Demand'!$K$4:$AN$13,$G$81,$G91)*L$88*L23</f>
        <v>81346.227984479396</v>
      </c>
      <c r="M91" s="184">
        <f>INDEX('H&amp;S Demand'!$K$4:$AN$13,$G$81,$G91)*M$88*M23</f>
        <v>0</v>
      </c>
    </row>
    <row r="92" spans="5:19" x14ac:dyDescent="0.2">
      <c r="E92" s="180" t="s">
        <v>431</v>
      </c>
      <c r="G92" s="25">
        <v>9</v>
      </c>
      <c r="H92" s="184">
        <f>INDEX('H&amp;S Demand'!$K$4:$AN$13,$G$81,$G92)*H$88*H24</f>
        <v>0</v>
      </c>
      <c r="I92" s="184">
        <f>INDEX('H&amp;S Demand'!$K$4:$AN$13,$G$81,$G92)*I$88*I24</f>
        <v>0</v>
      </c>
      <c r="J92" s="184">
        <f>INDEX('H&amp;S Demand'!$K$4:$AN$13,$G$81,$G92)*J$88*J24</f>
        <v>0</v>
      </c>
      <c r="K92" s="184">
        <f>INDEX('H&amp;S Demand'!$K$4:$AN$13,$G$81,$G92)*K$88*K24</f>
        <v>0</v>
      </c>
      <c r="L92" s="184">
        <f>INDEX('H&amp;S Demand'!$K$4:$AN$13,$G$81,$G92)*L$88*L24</f>
        <v>0</v>
      </c>
      <c r="M92" s="184">
        <f>INDEX('H&amp;S Demand'!$K$4:$AN$13,$G$81,$G92)*M$88*M24</f>
        <v>0</v>
      </c>
    </row>
    <row r="93" spans="5:19" x14ac:dyDescent="0.2">
      <c r="E93" s="181" t="s">
        <v>432</v>
      </c>
      <c r="F93" s="182"/>
      <c r="G93" s="25">
        <v>10</v>
      </c>
      <c r="H93" s="184">
        <f>INDEX('H&amp;S Demand'!$K$4:$AN$13,$G$81,$G93)*H$88*H25</f>
        <v>0</v>
      </c>
      <c r="I93" s="184">
        <f>INDEX('H&amp;S Demand'!$K$4:$AN$13,$G$81,$G93)*I$88*I25</f>
        <v>0</v>
      </c>
      <c r="J93" s="184">
        <f>INDEX('H&amp;S Demand'!$K$4:$AN$13,$G$81,$G93)*J$88*J25</f>
        <v>0</v>
      </c>
      <c r="K93" s="184">
        <f>INDEX('H&amp;S Demand'!$K$4:$AN$13,$G$81,$G93)*K$88*K25</f>
        <v>0</v>
      </c>
      <c r="L93" s="184">
        <f>INDEX('H&amp;S Demand'!$K$4:$AN$13,$G$81,$G93)*L$88*L25</f>
        <v>0</v>
      </c>
      <c r="M93" s="184">
        <f>INDEX('H&amp;S Demand'!$K$4:$AN$13,$G$81,$G93)*M$88*M25</f>
        <v>0</v>
      </c>
    </row>
    <row r="94" spans="5:19" x14ac:dyDescent="0.2">
      <c r="E94" s="178" t="s">
        <v>440</v>
      </c>
      <c r="F94" s="179"/>
      <c r="G94" s="179">
        <f>G88+5</f>
        <v>10</v>
      </c>
      <c r="H94" s="183">
        <f t="shared" ref="H94:M94" si="26">IF(H29="No",0,1)</f>
        <v>1</v>
      </c>
      <c r="I94" s="183">
        <f t="shared" si="26"/>
        <v>1</v>
      </c>
      <c r="J94" s="183">
        <f t="shared" si="26"/>
        <v>1</v>
      </c>
      <c r="K94" s="183">
        <f t="shared" si="26"/>
        <v>1</v>
      </c>
      <c r="L94" s="183">
        <f t="shared" si="26"/>
        <v>1</v>
      </c>
      <c r="M94" s="185">
        <f t="shared" si="26"/>
        <v>1</v>
      </c>
      <c r="Q94" s="79" t="s">
        <v>1277</v>
      </c>
    </row>
    <row r="95" spans="5:19" x14ac:dyDescent="0.2">
      <c r="E95" s="180" t="s">
        <v>428</v>
      </c>
      <c r="G95" s="25">
        <v>11</v>
      </c>
      <c r="H95" s="184">
        <f>INDEX('H&amp;S Demand'!$K$4:$AN$13,$G$81,$G95)*H$94*H21</f>
        <v>187753.50761439267</v>
      </c>
      <c r="I95" s="184">
        <f>INDEX('H&amp;S Demand'!$K$4:$AN$13,$G$81,$G95)*I$94*I21</f>
        <v>187753.50761439267</v>
      </c>
      <c r="J95" s="184">
        <f>INDEX('H&amp;S Demand'!$K$4:$AN$13,$G$81,$G95)*J$94*J21</f>
        <v>187753.50761439267</v>
      </c>
      <c r="K95" s="184">
        <f>INDEX('H&amp;S Demand'!$K$4:$AN$13,$G$81,$G95)*K$94*K21</f>
        <v>72754.484200577164</v>
      </c>
      <c r="L95" s="184">
        <f>INDEX('H&amp;S Demand'!$K$4:$AN$13,$G$81,$G95)*L$94*L21</f>
        <v>152549.72493669405</v>
      </c>
      <c r="M95" s="184">
        <f>INDEX('H&amp;S Demand'!$K$4:$AN$13,$G$81,$G95)*M$94*M21</f>
        <v>152549.72493669405</v>
      </c>
      <c r="P95" s="79" t="s">
        <v>1278</v>
      </c>
      <c r="Q95" s="622">
        <f>H83+H89+H95+H101</f>
        <v>371367.57256055594</v>
      </c>
      <c r="R95" s="622">
        <f>M83+M89+M95+M101</f>
        <v>301736.15270545171</v>
      </c>
      <c r="S95" s="625">
        <f>R95-Q95</f>
        <v>-69631.419855104235</v>
      </c>
    </row>
    <row r="96" spans="5:19" x14ac:dyDescent="0.2">
      <c r="E96" s="180" t="s">
        <v>429</v>
      </c>
      <c r="G96" s="25">
        <v>12</v>
      </c>
      <c r="H96" s="184">
        <f>INDEX('H&amp;S Demand'!$K$4:$AN$13,$G$81,$G96)*H$94*H22</f>
        <v>186769.85237152982</v>
      </c>
      <c r="I96" s="184">
        <f>INDEX('H&amp;S Demand'!$K$4:$AN$13,$G$81,$G96)*I$94*I22</f>
        <v>186769.85237152982</v>
      </c>
      <c r="J96" s="184">
        <f>INDEX('H&amp;S Demand'!$K$4:$AN$13,$G$81,$G96)*J$94*J22</f>
        <v>186769.85237152982</v>
      </c>
      <c r="K96" s="184">
        <f>INDEX('H&amp;S Demand'!$K$4:$AN$13,$G$81,$G96)*K$94*K22</f>
        <v>72373.317793967799</v>
      </c>
      <c r="L96" s="184">
        <f>INDEX('H&amp;S Demand'!$K$4:$AN$13,$G$81,$G96)*L$94*L22</f>
        <v>151750.50505186798</v>
      </c>
      <c r="M96" s="184">
        <f>INDEX('H&amp;S Demand'!$K$4:$AN$13,$G$81,$G96)*M$94*M22</f>
        <v>151750.50505186798</v>
      </c>
      <c r="P96" s="79" t="s">
        <v>1279</v>
      </c>
      <c r="Q96" s="622">
        <f t="shared" ref="Q96" si="27">H84+H90+H96+H102</f>
        <v>369231.83657139586</v>
      </c>
      <c r="R96" s="622">
        <f>M84+M90+M96+M102</f>
        <v>300000.86721425911</v>
      </c>
      <c r="S96" s="625">
        <f t="shared" ref="S96:S97" si="28">R96-Q96</f>
        <v>-69230.969357136753</v>
      </c>
    </row>
    <row r="97" spans="5:19" x14ac:dyDescent="0.2">
      <c r="E97" s="180" t="s">
        <v>430</v>
      </c>
      <c r="G97" s="25">
        <v>13</v>
      </c>
      <c r="H97" s="184">
        <f>INDEX('H&amp;S Demand'!$K$4:$AN$13,$G$81,$G97)*H$94*H23</f>
        <v>80409.557758288123</v>
      </c>
      <c r="I97" s="184">
        <f>INDEX('H&amp;S Demand'!$K$4:$AN$13,$G$81,$G97)*I$94*I23</f>
        <v>80409.557758288123</v>
      </c>
      <c r="J97" s="184">
        <f>INDEX('H&amp;S Demand'!$K$4:$AN$13,$G$81,$G97)*J$94*J23</f>
        <v>80409.557758288123</v>
      </c>
      <c r="K97" s="184">
        <f>INDEX('H&amp;S Demand'!$K$4:$AN$13,$G$81,$G97)*K$94*K23</f>
        <v>45948.318719021794</v>
      </c>
      <c r="L97" s="184">
        <f>INDEX('H&amp;S Demand'!$K$4:$AN$13,$G$81,$G97)*L$94*L23</f>
        <v>80409.557758288123</v>
      </c>
      <c r="M97" s="184">
        <f>INDEX('H&amp;S Demand'!$K$4:$AN$13,$G$81,$G97)*M$94*M23</f>
        <v>80409.557758288123</v>
      </c>
      <c r="P97" s="79" t="s">
        <v>1280</v>
      </c>
      <c r="Q97" s="622">
        <f>H85+H91+H97+H103</f>
        <v>158744.48627807377</v>
      </c>
      <c r="R97" s="622">
        <f>M85+M91+M97+M103</f>
        <v>158744.48627807377</v>
      </c>
      <c r="S97" s="625">
        <f t="shared" si="28"/>
        <v>0</v>
      </c>
    </row>
    <row r="98" spans="5:19" x14ac:dyDescent="0.2">
      <c r="E98" s="180" t="s">
        <v>431</v>
      </c>
      <c r="G98" s="25">
        <v>14</v>
      </c>
      <c r="H98" s="184">
        <f>INDEX('H&amp;S Demand'!$K$4:$AN$13,$G$81,$G98)*H$94*H24</f>
        <v>0</v>
      </c>
      <c r="I98" s="184">
        <f>INDEX('H&amp;S Demand'!$K$4:$AN$13,$G$81,$G98)*I$94*I24</f>
        <v>0</v>
      </c>
      <c r="J98" s="184">
        <f>INDEX('H&amp;S Demand'!$K$4:$AN$13,$G$81,$G98)*J$94*J24</f>
        <v>0</v>
      </c>
      <c r="K98" s="184">
        <f>INDEX('H&amp;S Demand'!$K$4:$AN$13,$G$81,$G98)*K$94*K24</f>
        <v>0</v>
      </c>
      <c r="L98" s="184">
        <f>INDEX('H&amp;S Demand'!$K$4:$AN$13,$G$81,$G98)*L$94*L24</f>
        <v>0</v>
      </c>
      <c r="M98" s="184">
        <f>INDEX('H&amp;S Demand'!$K$4:$AN$13,$G$81,$G98)*M$94*M24</f>
        <v>0</v>
      </c>
    </row>
    <row r="99" spans="5:19" x14ac:dyDescent="0.2">
      <c r="E99" s="181" t="s">
        <v>432</v>
      </c>
      <c r="F99" s="182"/>
      <c r="G99" s="25">
        <v>15</v>
      </c>
      <c r="H99" s="184">
        <f>INDEX('H&amp;S Demand'!$K$4:$AN$13,$G$81,$G99)*H$94*H25</f>
        <v>0</v>
      </c>
      <c r="I99" s="184">
        <f>INDEX('H&amp;S Demand'!$K$4:$AN$13,$G$81,$G99)*I$94*I25</f>
        <v>0</v>
      </c>
      <c r="J99" s="184">
        <f>INDEX('H&amp;S Demand'!$K$4:$AN$13,$G$81,$G99)*J$94*J25</f>
        <v>0</v>
      </c>
      <c r="K99" s="184">
        <f>INDEX('H&amp;S Demand'!$K$4:$AN$13,$G$81,$G99)*K$94*K25</f>
        <v>0</v>
      </c>
      <c r="L99" s="184">
        <f>INDEX('H&amp;S Demand'!$K$4:$AN$13,$G$81,$G99)*L$94*L25</f>
        <v>0</v>
      </c>
      <c r="M99" s="184">
        <f>INDEX('H&amp;S Demand'!$K$4:$AN$13,$G$81,$G99)*M$94*M25</f>
        <v>0</v>
      </c>
    </row>
    <row r="100" spans="5:19" x14ac:dyDescent="0.2">
      <c r="E100" s="178" t="s">
        <v>441</v>
      </c>
      <c r="F100" s="179"/>
      <c r="G100" s="179">
        <f>G94+5</f>
        <v>15</v>
      </c>
      <c r="H100" s="183">
        <f t="shared" ref="H100:M100" si="29">IF(H30="No",0,1)</f>
        <v>1</v>
      </c>
      <c r="I100" s="183">
        <f t="shared" si="29"/>
        <v>1</v>
      </c>
      <c r="J100" s="183">
        <f t="shared" si="29"/>
        <v>1</v>
      </c>
      <c r="K100" s="183">
        <f t="shared" si="29"/>
        <v>1</v>
      </c>
      <c r="L100" s="183">
        <f t="shared" si="29"/>
        <v>1</v>
      </c>
      <c r="M100" s="185">
        <f t="shared" si="29"/>
        <v>1</v>
      </c>
    </row>
    <row r="101" spans="5:19" x14ac:dyDescent="0.2">
      <c r="E101" s="180" t="s">
        <v>428</v>
      </c>
      <c r="G101" s="25">
        <v>16</v>
      </c>
      <c r="H101" s="184">
        <f>INDEX('H&amp;S Demand'!$K$4:$AN$13,$G$81,$G101)*H$100*H21</f>
        <v>183614.06494616327</v>
      </c>
      <c r="I101" s="184">
        <f>INDEX('H&amp;S Demand'!$K$4:$AN$13,$G$81,$G101)*I$100*I21</f>
        <v>183614.06494616327</v>
      </c>
      <c r="J101" s="184">
        <f>INDEX('H&amp;S Demand'!$K$4:$AN$13,$G$81,$G101)*J$100*J21</f>
        <v>183614.06494616327</v>
      </c>
      <c r="K101" s="184">
        <f>INDEX('H&amp;S Demand'!$K$4:$AN$13,$G$81,$G101)*K$100*K21</f>
        <v>71150.450166638257</v>
      </c>
      <c r="L101" s="184">
        <f>INDEX('H&amp;S Demand'!$K$4:$AN$13,$G$81,$G101)*L$100*L21</f>
        <v>149186.42776875765</v>
      </c>
      <c r="M101" s="184">
        <f>INDEX('H&amp;S Demand'!$K$4:$AN$13,$G$81,$G101)*M$100*M21</f>
        <v>149186.42776875765</v>
      </c>
    </row>
    <row r="102" spans="5:19" x14ac:dyDescent="0.2">
      <c r="E102" s="180" t="s">
        <v>429</v>
      </c>
      <c r="G102" s="25">
        <v>17</v>
      </c>
      <c r="H102" s="184">
        <f>INDEX('H&amp;S Demand'!$K$4:$AN$13,$G$81,$G102)*H$100*H22</f>
        <v>182461.98419986604</v>
      </c>
      <c r="I102" s="184">
        <f>INDEX('H&amp;S Demand'!$K$4:$AN$13,$G$81,$G102)*I$100*I22</f>
        <v>182461.98419986604</v>
      </c>
      <c r="J102" s="184">
        <f>INDEX('H&amp;S Demand'!$K$4:$AN$13,$G$81,$G102)*J$100*J22</f>
        <v>182461.98419986604</v>
      </c>
      <c r="K102" s="184">
        <f>INDEX('H&amp;S Demand'!$K$4:$AN$13,$G$81,$G102)*K$100*K22</f>
        <v>70704.018877448078</v>
      </c>
      <c r="L102" s="184">
        <f>INDEX('H&amp;S Demand'!$K$4:$AN$13,$G$81,$G102)*L$100*L22</f>
        <v>148250.36216239116</v>
      </c>
      <c r="M102" s="184">
        <f>INDEX('H&amp;S Demand'!$K$4:$AN$13,$G$81,$G102)*M$100*M22</f>
        <v>148250.36216239116</v>
      </c>
    </row>
    <row r="103" spans="5:19" x14ac:dyDescent="0.2">
      <c r="E103" s="180" t="s">
        <v>430</v>
      </c>
      <c r="G103" s="25">
        <v>18</v>
      </c>
      <c r="H103" s="184">
        <f>INDEX('H&amp;S Demand'!$K$4:$AN$13,$G$81,$G103)*H$100*H23</f>
        <v>78334.928519785652</v>
      </c>
      <c r="I103" s="184">
        <f>INDEX('H&amp;S Demand'!$K$4:$AN$13,$G$81,$G103)*I$100*I23</f>
        <v>78334.928519785652</v>
      </c>
      <c r="J103" s="184">
        <f>INDEX('H&amp;S Demand'!$K$4:$AN$13,$G$81,$G103)*J$100*J23</f>
        <v>78334.928519785652</v>
      </c>
      <c r="K103" s="184">
        <f>INDEX('H&amp;S Demand'!$K$4:$AN$13,$G$81,$G103)*K$100*K23</f>
        <v>44762.816297020378</v>
      </c>
      <c r="L103" s="184">
        <f>INDEX('H&amp;S Demand'!$K$4:$AN$13,$G$81,$G103)*L$100*L23</f>
        <v>78334.928519785652</v>
      </c>
      <c r="M103" s="184">
        <f>INDEX('H&amp;S Demand'!$K$4:$AN$13,$G$81,$G103)*M$100*M23</f>
        <v>78334.928519785652</v>
      </c>
    </row>
    <row r="104" spans="5:19" x14ac:dyDescent="0.2">
      <c r="E104" s="180" t="s">
        <v>431</v>
      </c>
      <c r="G104" s="25">
        <v>19</v>
      </c>
      <c r="H104" s="184">
        <f>INDEX('H&amp;S Demand'!$K$4:$AN$13,$G$81,$G104)*H$100*H24</f>
        <v>0</v>
      </c>
      <c r="I104" s="184">
        <f>INDEX('H&amp;S Demand'!$K$4:$AN$13,$G$81,$G104)*I$100*I24</f>
        <v>0</v>
      </c>
      <c r="J104" s="184">
        <f>INDEX('H&amp;S Demand'!$K$4:$AN$13,$G$81,$G104)*J$100*J24</f>
        <v>0</v>
      </c>
      <c r="K104" s="184">
        <f>INDEX('H&amp;S Demand'!$K$4:$AN$13,$G$81,$G104)*K$100*K24</f>
        <v>0</v>
      </c>
      <c r="L104" s="184">
        <f>INDEX('H&amp;S Demand'!$K$4:$AN$13,$G$81,$G104)*L$100*L24</f>
        <v>0</v>
      </c>
      <c r="M104" s="184">
        <f>INDEX('H&amp;S Demand'!$K$4:$AN$13,$G$81,$G104)*M$100*M24</f>
        <v>0</v>
      </c>
    </row>
    <row r="105" spans="5:19" x14ac:dyDescent="0.2">
      <c r="E105" s="181" t="s">
        <v>432</v>
      </c>
      <c r="F105" s="182"/>
      <c r="G105" s="25">
        <v>20</v>
      </c>
      <c r="H105" s="184">
        <f>INDEX('H&amp;S Demand'!$K$4:$AN$13,$G$81,$G105)*H$100*H25</f>
        <v>0</v>
      </c>
      <c r="I105" s="184">
        <f>INDEX('H&amp;S Demand'!$K$4:$AN$13,$G$81,$G105)*I$100*I25</f>
        <v>0</v>
      </c>
      <c r="J105" s="184">
        <f>INDEX('H&amp;S Demand'!$K$4:$AN$13,$G$81,$G105)*J$100*J25</f>
        <v>0</v>
      </c>
      <c r="K105" s="184">
        <f>INDEX('H&amp;S Demand'!$K$4:$AN$13,$G$81,$G105)*K$100*K25</f>
        <v>0</v>
      </c>
      <c r="L105" s="184">
        <f>INDEX('H&amp;S Demand'!$K$4:$AN$13,$G$81,$G105)*L$100*L25</f>
        <v>0</v>
      </c>
      <c r="M105" s="184">
        <f>INDEX('H&amp;S Demand'!$K$4:$AN$13,$G$81,$G105)*M$100*M25</f>
        <v>0</v>
      </c>
    </row>
    <row r="106" spans="5:19" x14ac:dyDescent="0.2">
      <c r="E106" s="178" t="s">
        <v>1015</v>
      </c>
      <c r="G106" s="25">
        <v>20</v>
      </c>
      <c r="H106" s="183">
        <f>IF(H31="No",0,1)</f>
        <v>1</v>
      </c>
      <c r="I106" s="183">
        <f t="shared" ref="I106:M106" si="30">IF(I31="No",0,1)</f>
        <v>1</v>
      </c>
      <c r="J106" s="183">
        <f t="shared" si="30"/>
        <v>1</v>
      </c>
      <c r="K106" s="183">
        <f t="shared" si="30"/>
        <v>1</v>
      </c>
      <c r="L106" s="183">
        <f t="shared" si="30"/>
        <v>1</v>
      </c>
      <c r="M106" s="183">
        <f t="shared" si="30"/>
        <v>1</v>
      </c>
    </row>
    <row r="107" spans="5:19" x14ac:dyDescent="0.2">
      <c r="E107" s="180" t="s">
        <v>428</v>
      </c>
      <c r="G107" s="25">
        <v>21</v>
      </c>
      <c r="H107" s="436">
        <f>INDEX('H&amp;S Demand'!$K$4:$AN$13,$G$81,$G107)*H$106*H21</f>
        <v>176033.10563683047</v>
      </c>
      <c r="I107" s="436">
        <f>INDEX('H&amp;S Demand'!$K$4:$AN$13,$G$81,$G107)*I$106*I21</f>
        <v>176033.10563683047</v>
      </c>
      <c r="J107" s="436">
        <f>INDEX('H&amp;S Demand'!$K$4:$AN$13,$G$81,$G107)*J$106*J21</f>
        <v>176033.10563683047</v>
      </c>
      <c r="K107" s="436">
        <f>INDEX('H&amp;S Demand'!$K$4:$AN$13,$G$81,$G107)*K$106*K21</f>
        <v>68212.828434271811</v>
      </c>
      <c r="L107" s="436">
        <f>INDEX('H&amp;S Demand'!$K$4:$AN$13,$G$81,$G107)*L$106*L21</f>
        <v>143026.89832992476</v>
      </c>
      <c r="M107" s="436">
        <f>INDEX('H&amp;S Demand'!$K$4:$AN$13,$G$81,$G107)*M$106*M21</f>
        <v>143026.89832992476</v>
      </c>
    </row>
    <row r="108" spans="5:19" x14ac:dyDescent="0.2">
      <c r="E108" s="180" t="s">
        <v>429</v>
      </c>
      <c r="G108" s="25">
        <v>22</v>
      </c>
      <c r="H108" s="436">
        <f>INDEX('H&amp;S Demand'!$K$4:$AN$13,$G$81,$G108)*H$106*H22</f>
        <v>174755.36613007673</v>
      </c>
      <c r="I108" s="436">
        <f>INDEX('H&amp;S Demand'!$K$4:$AN$13,$G$81,$G108)*I$106*I22</f>
        <v>174755.36613007673</v>
      </c>
      <c r="J108" s="436">
        <f>INDEX('H&amp;S Demand'!$K$4:$AN$13,$G$81,$G108)*J$106*J22</f>
        <v>174755.36613007673</v>
      </c>
      <c r="K108" s="436">
        <f>INDEX('H&amp;S Demand'!$K$4:$AN$13,$G$81,$G108)*K$106*K22</f>
        <v>67717.704375404734</v>
      </c>
      <c r="L108" s="436">
        <f>INDEX('H&amp;S Demand'!$K$4:$AN$13,$G$81,$G108)*L$106*L22</f>
        <v>141988.73498068735</v>
      </c>
      <c r="M108" s="436">
        <f>INDEX('H&amp;S Demand'!$K$4:$AN$13,$G$81,$G108)*M$106*M22</f>
        <v>141988.73498068735</v>
      </c>
    </row>
    <row r="109" spans="5:19" x14ac:dyDescent="0.2">
      <c r="E109" s="180" t="s">
        <v>430</v>
      </c>
      <c r="G109" s="25">
        <v>23</v>
      </c>
      <c r="H109" s="436">
        <f>INDEX('H&amp;S Demand'!$K$4:$AN$13,$G$81,$G109)*H$106*H23</f>
        <v>74878.606605589986</v>
      </c>
      <c r="I109" s="436">
        <f>INDEX('H&amp;S Demand'!$K$4:$AN$13,$G$81,$G109)*I$106*I23</f>
        <v>74878.606605589986</v>
      </c>
      <c r="J109" s="436">
        <f>INDEX('H&amp;S Demand'!$K$4:$AN$13,$G$81,$G109)*J$106*J23</f>
        <v>74878.606605589986</v>
      </c>
      <c r="K109" s="436">
        <f>INDEX('H&amp;S Demand'!$K$4:$AN$13,$G$81,$G109)*K$106*K23</f>
        <v>42787.775203194287</v>
      </c>
      <c r="L109" s="436">
        <f>INDEX('H&amp;S Demand'!$K$4:$AN$13,$G$81,$G109)*L$106*L23</f>
        <v>74878.606605589986</v>
      </c>
      <c r="M109" s="436">
        <f>INDEX('H&amp;S Demand'!$K$4:$AN$13,$G$81,$G109)*M$106*M23</f>
        <v>74878.606605589986</v>
      </c>
    </row>
    <row r="110" spans="5:19" x14ac:dyDescent="0.2">
      <c r="E110" s="180" t="s">
        <v>431</v>
      </c>
      <c r="G110" s="25">
        <v>24</v>
      </c>
      <c r="H110" s="436">
        <f>INDEX('H&amp;S Demand'!$K$4:$AN$13,$G$81,$G110)*H$106*H24</f>
        <v>0</v>
      </c>
      <c r="I110" s="436">
        <f>INDEX('H&amp;S Demand'!$K$4:$AN$13,$G$81,$G110)*I$106*I24</f>
        <v>0</v>
      </c>
      <c r="J110" s="436">
        <f>INDEX('H&amp;S Demand'!$K$4:$AN$13,$G$81,$G110)*J$106*J24</f>
        <v>0</v>
      </c>
      <c r="K110" s="436">
        <f>INDEX('H&amp;S Demand'!$K$4:$AN$13,$G$81,$G110)*K$106*K24</f>
        <v>0</v>
      </c>
      <c r="L110" s="436">
        <f>INDEX('H&amp;S Demand'!$K$4:$AN$13,$G$81,$G110)*L$106*L24</f>
        <v>0</v>
      </c>
      <c r="M110" s="436">
        <f>INDEX('H&amp;S Demand'!$K$4:$AN$13,$G$81,$G110)*M$106*M24</f>
        <v>0</v>
      </c>
    </row>
    <row r="111" spans="5:19" x14ac:dyDescent="0.2">
      <c r="E111" s="181" t="s">
        <v>432</v>
      </c>
      <c r="G111" s="25">
        <v>25</v>
      </c>
      <c r="H111" s="436">
        <f>INDEX('H&amp;S Demand'!$K$4:$AN$13,$G$81,$G111)*H$106*H25</f>
        <v>0</v>
      </c>
      <c r="I111" s="436">
        <f>INDEX('H&amp;S Demand'!$K$4:$AN$13,$G$81,$G111)*I$106*I25</f>
        <v>0</v>
      </c>
      <c r="J111" s="436">
        <f>INDEX('H&amp;S Demand'!$K$4:$AN$13,$G$81,$G111)*J$106*J25</f>
        <v>0</v>
      </c>
      <c r="K111" s="436">
        <f>INDEX('H&amp;S Demand'!$K$4:$AN$13,$G$81,$G111)*K$106*K25</f>
        <v>0</v>
      </c>
      <c r="L111" s="436">
        <f>INDEX('H&amp;S Demand'!$K$4:$AN$13,$G$81,$G111)*L$106*L25</f>
        <v>0</v>
      </c>
      <c r="M111" s="436">
        <f>INDEX('H&amp;S Demand'!$K$4:$AN$13,$G$81,$G111)*M$106*M25</f>
        <v>0</v>
      </c>
    </row>
    <row r="112" spans="5:19" x14ac:dyDescent="0.2">
      <c r="E112" s="72"/>
      <c r="G112" s="25"/>
      <c r="H112" s="399"/>
      <c r="I112" s="399"/>
      <c r="J112" s="399"/>
      <c r="K112" s="399"/>
      <c r="L112" s="399"/>
      <c r="M112" s="399"/>
    </row>
    <row r="114" spans="4:19" x14ac:dyDescent="0.2">
      <c r="E114" s="5" t="s">
        <v>598</v>
      </c>
      <c r="Q114" s="79" t="s">
        <v>1281</v>
      </c>
    </row>
    <row r="115" spans="4:19" x14ac:dyDescent="0.2">
      <c r="E115" s="65" t="s">
        <v>438</v>
      </c>
      <c r="H115" s="184">
        <f>SUM(H83:H87)</f>
        <v>0</v>
      </c>
      <c r="I115" s="184">
        <f t="shared" ref="I115:M115" si="31">SUM(I83:I87)</f>
        <v>0</v>
      </c>
      <c r="J115" s="184">
        <f t="shared" si="31"/>
        <v>0</v>
      </c>
      <c r="K115" s="184">
        <f t="shared" si="31"/>
        <v>0</v>
      </c>
      <c r="L115" s="184">
        <f t="shared" ref="L115" si="32">SUM(L83:L87)</f>
        <v>0</v>
      </c>
      <c r="M115" s="184">
        <f t="shared" si="31"/>
        <v>0</v>
      </c>
      <c r="Q115" s="626">
        <f>H115-M115</f>
        <v>0</v>
      </c>
    </row>
    <row r="116" spans="4:19" x14ac:dyDescent="0.2">
      <c r="E116" s="65" t="s">
        <v>439</v>
      </c>
      <c r="H116" s="184">
        <f>SUM(H89:H93)</f>
        <v>0</v>
      </c>
      <c r="I116" s="184">
        <f t="shared" ref="I116:M116" si="33">SUM(I89:I93)</f>
        <v>0</v>
      </c>
      <c r="J116" s="184">
        <f t="shared" si="33"/>
        <v>0</v>
      </c>
      <c r="K116" s="184">
        <f t="shared" si="33"/>
        <v>0</v>
      </c>
      <c r="L116" s="184">
        <f t="shared" ref="L116" si="34">SUM(L89:L93)</f>
        <v>387950.65517406235</v>
      </c>
      <c r="M116" s="184">
        <f t="shared" si="33"/>
        <v>0</v>
      </c>
      <c r="Q116" s="626">
        <f>H116-M116</f>
        <v>0</v>
      </c>
    </row>
    <row r="117" spans="4:19" x14ac:dyDescent="0.2">
      <c r="E117" s="65" t="s">
        <v>440</v>
      </c>
      <c r="H117" s="184">
        <f>SUM(H95:H99)</f>
        <v>454932.91774421057</v>
      </c>
      <c r="I117" s="184">
        <f t="shared" ref="I117:M117" si="35">SUM(I95:I99)</f>
        <v>454932.91774421057</v>
      </c>
      <c r="J117" s="184">
        <f t="shared" si="35"/>
        <v>454932.91774421057</v>
      </c>
      <c r="K117" s="184">
        <f t="shared" si="35"/>
        <v>191076.12071356678</v>
      </c>
      <c r="L117" s="184">
        <f t="shared" ref="L117" si="36">SUM(L95:L99)</f>
        <v>384709.78774685017</v>
      </c>
      <c r="M117" s="184">
        <f t="shared" si="35"/>
        <v>384709.78774685017</v>
      </c>
      <c r="Q117" s="626">
        <f>H117-M117</f>
        <v>70223.129997360404</v>
      </c>
    </row>
    <row r="118" spans="4:19" x14ac:dyDescent="0.2">
      <c r="E118" s="65" t="s">
        <v>441</v>
      </c>
      <c r="H118" s="184">
        <f>SUM(H101:H105)</f>
        <v>444410.97766581492</v>
      </c>
      <c r="I118" s="184">
        <f t="shared" ref="I118:M118" si="37">SUM(I101:I105)</f>
        <v>444410.97766581492</v>
      </c>
      <c r="J118" s="184">
        <f t="shared" si="37"/>
        <v>444410.97766581492</v>
      </c>
      <c r="K118" s="184">
        <f t="shared" si="37"/>
        <v>186617.28534110673</v>
      </c>
      <c r="L118" s="184">
        <f t="shared" ref="L118" si="38">SUM(L101:L105)</f>
        <v>375771.71845093445</v>
      </c>
      <c r="M118" s="184">
        <f t="shared" si="37"/>
        <v>375771.71845093445</v>
      </c>
      <c r="Q118" s="626">
        <f>H118-M118</f>
        <v>68639.259214880469</v>
      </c>
    </row>
    <row r="119" spans="4:19" x14ac:dyDescent="0.2">
      <c r="E119" s="623" t="s">
        <v>1015</v>
      </c>
      <c r="F119" s="177"/>
      <c r="G119" s="176"/>
      <c r="H119" s="624">
        <f>SUM(H107:H111)</f>
        <v>425667.07837249717</v>
      </c>
      <c r="I119" s="624">
        <f t="shared" ref="I119:K119" si="39">SUM(I107:I111)</f>
        <v>425667.07837249717</v>
      </c>
      <c r="J119" s="624">
        <f t="shared" si="39"/>
        <v>425667.07837249717</v>
      </c>
      <c r="K119" s="624">
        <f t="shared" si="39"/>
        <v>178718.30801287084</v>
      </c>
      <c r="L119" s="624">
        <f t="shared" ref="L119" si="40">SUM(L107:L111)</f>
        <v>359894.23991620209</v>
      </c>
      <c r="M119" s="624">
        <f>SUM(M107:M111)</f>
        <v>359894.23991620209</v>
      </c>
    </row>
    <row r="120" spans="4:19" x14ac:dyDescent="0.2">
      <c r="H120" s="187">
        <f>SUM(H115:H119)</f>
        <v>1325010.9737825226</v>
      </c>
      <c r="I120" s="187">
        <f t="shared" ref="I120:L120" si="41">SUM(I115:I119)</f>
        <v>1325010.9737825226</v>
      </c>
      <c r="J120" s="187">
        <f t="shared" si="41"/>
        <v>1325010.9737825226</v>
      </c>
      <c r="K120" s="187">
        <f t="shared" si="41"/>
        <v>556411.71406754432</v>
      </c>
      <c r="L120" s="187">
        <f t="shared" si="41"/>
        <v>1508326.4012880491</v>
      </c>
      <c r="M120" s="187">
        <f>SUM(M115:M119)</f>
        <v>1120375.7461139867</v>
      </c>
    </row>
    <row r="122" spans="4:19" x14ac:dyDescent="0.2">
      <c r="D122" s="77" t="s">
        <v>454</v>
      </c>
    </row>
    <row r="123" spans="4:19" x14ac:dyDescent="0.2">
      <c r="E123" s="206" t="s">
        <v>755</v>
      </c>
      <c r="H123" s="206">
        <f t="shared" ref="H123:M123" si="42">IF($E$1="South Africa",9,1)</f>
        <v>9</v>
      </c>
      <c r="I123" s="206">
        <f t="shared" si="42"/>
        <v>9</v>
      </c>
      <c r="J123" s="206">
        <f t="shared" si="42"/>
        <v>9</v>
      </c>
      <c r="K123" s="206">
        <f t="shared" si="42"/>
        <v>9</v>
      </c>
      <c r="L123" s="206">
        <f t="shared" si="42"/>
        <v>9</v>
      </c>
      <c r="M123" s="206">
        <f t="shared" si="42"/>
        <v>9</v>
      </c>
    </row>
    <row r="124" spans="4:19" x14ac:dyDescent="0.2">
      <c r="E124" s="206" t="s">
        <v>2</v>
      </c>
      <c r="H124" s="184">
        <f>GenAssumptions!D16*PDSD!H42*H123</f>
        <v>212664.42</v>
      </c>
      <c r="I124" s="184">
        <f>GenAssumptions!E16*PDSD!I42*I123</f>
        <v>226700.27172000002</v>
      </c>
      <c r="J124" s="184">
        <f>GenAssumptions!F16*PDSD!J42*J123</f>
        <v>241662.48965352005</v>
      </c>
      <c r="K124" s="184">
        <f>GenAssumptions!G16*PDSD!K42*K123</f>
        <v>212664.42</v>
      </c>
      <c r="L124" s="184">
        <f>GenAssumptions!H16*PDSD!L42*L123</f>
        <v>212664.42</v>
      </c>
      <c r="M124" s="184">
        <f>GenAssumptions!I16*PDSD!M42*M123</f>
        <v>212664.42</v>
      </c>
      <c r="P124" s="79" t="s">
        <v>865</v>
      </c>
      <c r="R124" s="356" t="s">
        <v>984</v>
      </c>
      <c r="S124" s="359" t="str">
        <f>CONCATENATE(P124,R124)</f>
        <v>COEPM</v>
      </c>
    </row>
    <row r="125" spans="4:19" x14ac:dyDescent="0.2">
      <c r="E125" s="206" t="s">
        <v>3</v>
      </c>
      <c r="H125" s="184">
        <f>GenAssumptions!D17*PDSD!H43*H123</f>
        <v>434205.9</v>
      </c>
      <c r="I125" s="184">
        <f>GenAssumptions!E17*PDSD!I43*I123</f>
        <v>462863.48940000002</v>
      </c>
      <c r="J125" s="184">
        <f>GenAssumptions!F17*PDSD!J43*J123</f>
        <v>493412.47970040003</v>
      </c>
      <c r="K125" s="184">
        <f>GenAssumptions!G17*PDSD!K43*K123</f>
        <v>434205.9</v>
      </c>
      <c r="L125" s="184">
        <f>GenAssumptions!H17*PDSD!L43*L123</f>
        <v>434205.9</v>
      </c>
      <c r="M125" s="184">
        <f>GenAssumptions!I17*PDSD!M43*M123</f>
        <v>434205.9</v>
      </c>
      <c r="P125" s="79" t="s">
        <v>865</v>
      </c>
      <c r="R125" s="356" t="s">
        <v>984</v>
      </c>
      <c r="S125" s="359" t="str">
        <f t="shared" ref="S125:S148" si="43">CONCATENATE(P125,R125)</f>
        <v>COEPM</v>
      </c>
    </row>
    <row r="126" spans="4:19" x14ac:dyDescent="0.2">
      <c r="E126" s="5" t="s">
        <v>732</v>
      </c>
      <c r="H126" s="184">
        <f>SUM(H127:H128)/GenAssumptions!$E$47*GenAssumptions!D19</f>
        <v>2700221.7173262839</v>
      </c>
      <c r="I126" s="184">
        <f>SUM(I127:I128)/GenAssumptions!$E$47*GenAssumptions!E19</f>
        <v>2878436.3506698189</v>
      </c>
      <c r="J126" s="184">
        <f>SUM(J127:J128)/GenAssumptions!$E$47*GenAssumptions!F19</f>
        <v>3068413.1498140269</v>
      </c>
      <c r="K126" s="184">
        <f>SUM(K127:K128)/GenAssumptions!$E$47*GenAssumptions!G19</f>
        <v>1133903.811989503</v>
      </c>
      <c r="L126" s="184">
        <f>SUM(L127:L128)/GenAssumptions!$E$47*GenAssumptions!H19</f>
        <v>3073797.7165184375</v>
      </c>
      <c r="M126" s="184">
        <f>SUM(M127:M128)/GenAssumptions!$E$47*GenAssumptions!I19</f>
        <v>2283198.3893585247</v>
      </c>
      <c r="P126" s="79" t="s">
        <v>865</v>
      </c>
      <c r="R126" s="356" t="s">
        <v>984</v>
      </c>
      <c r="S126" s="359" t="str">
        <f t="shared" si="43"/>
        <v>COEPM</v>
      </c>
    </row>
    <row r="127" spans="4:19" x14ac:dyDescent="0.2">
      <c r="E127" s="79" t="s">
        <v>730</v>
      </c>
      <c r="F127" s="328"/>
      <c r="G127" s="79"/>
      <c r="H127" s="357">
        <f t="shared" ref="H127:M127" si="44">H45*H33</f>
        <v>662505.4868912613</v>
      </c>
      <c r="I127" s="357">
        <f t="shared" si="44"/>
        <v>662505.4868912613</v>
      </c>
      <c r="J127" s="357">
        <f t="shared" si="44"/>
        <v>662505.4868912613</v>
      </c>
      <c r="K127" s="357">
        <f t="shared" si="44"/>
        <v>278205.85703377216</v>
      </c>
      <c r="L127" s="357">
        <f t="shared" si="44"/>
        <v>754163.20064402453</v>
      </c>
      <c r="M127" s="357">
        <f t="shared" si="44"/>
        <v>560187.87305699335</v>
      </c>
      <c r="S127" s="359" t="str">
        <f t="shared" si="43"/>
        <v/>
      </c>
    </row>
    <row r="128" spans="4:19" x14ac:dyDescent="0.2">
      <c r="E128" s="5" t="s">
        <v>731</v>
      </c>
      <c r="H128" s="193">
        <f t="shared" ref="H128:M128" si="45">H47*H46*H33</f>
        <v>79500.658426951355</v>
      </c>
      <c r="I128" s="193">
        <f t="shared" si="45"/>
        <v>79500.658426951355</v>
      </c>
      <c r="J128" s="193">
        <f t="shared" si="45"/>
        <v>79500.658426951355</v>
      </c>
      <c r="K128" s="193">
        <f t="shared" si="45"/>
        <v>33384.702844052656</v>
      </c>
      <c r="L128" s="193">
        <f t="shared" si="45"/>
        <v>90499.58407728294</v>
      </c>
      <c r="M128" s="193">
        <f t="shared" si="45"/>
        <v>67222.544766839201</v>
      </c>
      <c r="S128" s="359" t="str">
        <f t="shared" si="43"/>
        <v/>
      </c>
    </row>
    <row r="129" spans="4:19" x14ac:dyDescent="0.2">
      <c r="E129" s="5" t="s">
        <v>737</v>
      </c>
      <c r="H129" s="184">
        <f>H48*H46*H33*GenAssumptions!D60*H49</f>
        <v>9689.1427457846967</v>
      </c>
      <c r="I129" s="184">
        <f>I48*I46*I33*GenAssumptions!E60*I49</f>
        <v>10231.734739548639</v>
      </c>
      <c r="J129" s="184">
        <f>J48*J46*J33*GenAssumptions!F60*J49</f>
        <v>10804.711884963366</v>
      </c>
      <c r="K129" s="184">
        <f>K48*K46*K33*GenAssumptions!G60*K49</f>
        <v>4068.7606591189174</v>
      </c>
      <c r="L129" s="184">
        <f>L48*L46*L33*GenAssumptions!H60*L49</f>
        <v>11029.636809418857</v>
      </c>
      <c r="M129" s="184">
        <f>M48*M46*M33*GenAssumptions!I60*M49</f>
        <v>8192.7476434585278</v>
      </c>
      <c r="P129" s="79" t="s">
        <v>866</v>
      </c>
      <c r="R129" s="356" t="s">
        <v>984</v>
      </c>
      <c r="S129" s="359" t="str">
        <f t="shared" si="43"/>
        <v>GSPM</v>
      </c>
    </row>
    <row r="130" spans="4:19" x14ac:dyDescent="0.2">
      <c r="D130" s="4" t="s">
        <v>456</v>
      </c>
      <c r="S130" s="359" t="str">
        <f t="shared" si="43"/>
        <v/>
      </c>
    </row>
    <row r="131" spans="4:19" x14ac:dyDescent="0.2">
      <c r="E131" s="206" t="s">
        <v>736</v>
      </c>
      <c r="F131" s="207"/>
      <c r="G131" s="206"/>
      <c r="H131" s="184">
        <f>H54*GenAssumptions!D17*H123</f>
        <v>694729.44000000006</v>
      </c>
      <c r="I131" s="184">
        <f>I54*GenAssumptions!E17*I123</f>
        <v>740581.58304000006</v>
      </c>
      <c r="J131" s="184">
        <f>J54*GenAssumptions!F17*J123</f>
        <v>789459.96752064012</v>
      </c>
      <c r="K131" s="184">
        <f>K54*GenAssumptions!G17*K123</f>
        <v>694729.44000000006</v>
      </c>
      <c r="L131" s="184">
        <f>L54*GenAssumptions!H17*L123</f>
        <v>694729.44000000006</v>
      </c>
      <c r="M131" s="184">
        <f>M54*GenAssumptions!I17*M123</f>
        <v>694729.44000000006</v>
      </c>
      <c r="P131" s="79" t="s">
        <v>865</v>
      </c>
      <c r="R131" s="356" t="s">
        <v>984</v>
      </c>
      <c r="S131" s="359" t="str">
        <f t="shared" si="43"/>
        <v>COEPM</v>
      </c>
    </row>
    <row r="132" spans="4:19" x14ac:dyDescent="0.2">
      <c r="E132" s="5" t="s">
        <v>26</v>
      </c>
      <c r="H132" s="184">
        <f>H133/GenAssumptions!$E$47*GenAssumptions!D26</f>
        <v>242665.74523044389</v>
      </c>
      <c r="I132" s="184">
        <f>I133/GenAssumptions!$E$47*GenAssumptions!E26</f>
        <v>258681.6844156532</v>
      </c>
      <c r="J132" s="184">
        <f>J133/GenAssumptions!$E$47*GenAssumptions!F26</f>
        <v>275754.67558708636</v>
      </c>
      <c r="K132" s="184">
        <f>K133/GenAssumptions!$E$47*GenAssumptions!G26</f>
        <v>101902.59999409698</v>
      </c>
      <c r="L132" s="184">
        <f>L133/GenAssumptions!$E$47*GenAssumptions!H26</f>
        <v>276238.58025450114</v>
      </c>
      <c r="M132" s="184">
        <f>M133/GenAssumptions!$E$47*GenAssumptions!I26</f>
        <v>205188.34994455607</v>
      </c>
      <c r="P132" s="79" t="s">
        <v>865</v>
      </c>
      <c r="R132" s="356" t="s">
        <v>984</v>
      </c>
      <c r="S132" s="359" t="str">
        <f t="shared" si="43"/>
        <v>COEPM</v>
      </c>
    </row>
    <row r="133" spans="4:19" x14ac:dyDescent="0.2">
      <c r="E133" s="5" t="s">
        <v>739</v>
      </c>
      <c r="H133" s="186">
        <f t="shared" ref="H133:M133" si="46">H55*H56*H33*H58</f>
        <v>119250.98764042703</v>
      </c>
      <c r="I133" s="186">
        <f t="shared" si="46"/>
        <v>119250.98764042703</v>
      </c>
      <c r="J133" s="186">
        <f t="shared" si="46"/>
        <v>119250.98764042703</v>
      </c>
      <c r="K133" s="186">
        <f t="shared" si="46"/>
        <v>50077.054266078994</v>
      </c>
      <c r="L133" s="186">
        <f t="shared" si="46"/>
        <v>135749.37611592442</v>
      </c>
      <c r="M133" s="186">
        <f t="shared" si="46"/>
        <v>100833.81715025881</v>
      </c>
      <c r="S133" s="359" t="str">
        <f t="shared" si="43"/>
        <v/>
      </c>
    </row>
    <row r="134" spans="4:19" x14ac:dyDescent="0.2">
      <c r="E134" s="5" t="s">
        <v>737</v>
      </c>
      <c r="H134" s="184">
        <f>H58*H57*H33*GenAssumptions!D60</f>
        <v>645942.84971897979</v>
      </c>
      <c r="I134" s="184">
        <f>I58*I57*I33*GenAssumptions!E60</f>
        <v>682115.6493032428</v>
      </c>
      <c r="J134" s="184">
        <f>J58*J57*J33*GenAssumptions!F60</f>
        <v>720314.12566422438</v>
      </c>
      <c r="K134" s="184">
        <f>K58*K57*K33*GenAssumptions!G60</f>
        <v>271250.71060792787</v>
      </c>
      <c r="L134" s="184">
        <f>L58*L57*L33*GenAssumptions!H60</f>
        <v>735309.12062792399</v>
      </c>
      <c r="M134" s="184">
        <f>M58*M57*M33*GenAssumptions!I60</f>
        <v>546183.17623056856</v>
      </c>
      <c r="P134" s="79" t="s">
        <v>866</v>
      </c>
      <c r="R134" s="356" t="s">
        <v>984</v>
      </c>
      <c r="S134" s="359" t="str">
        <f t="shared" si="43"/>
        <v>GSPM</v>
      </c>
    </row>
    <row r="135" spans="4:19" x14ac:dyDescent="0.2">
      <c r="S135" s="359" t="str">
        <f t="shared" si="43"/>
        <v/>
      </c>
    </row>
    <row r="136" spans="4:19" x14ac:dyDescent="0.2">
      <c r="S136" s="359" t="str">
        <f t="shared" si="43"/>
        <v/>
      </c>
    </row>
    <row r="137" spans="4:19" x14ac:dyDescent="0.2">
      <c r="D137" s="4" t="s">
        <v>455</v>
      </c>
      <c r="S137" s="359" t="str">
        <f t="shared" si="43"/>
        <v/>
      </c>
    </row>
    <row r="138" spans="4:19" x14ac:dyDescent="0.2">
      <c r="E138" s="5" t="s">
        <v>13</v>
      </c>
      <c r="H138" s="193">
        <f>INDEX('H&amp;S Demand'!$AJ$4:$AJ$13,PDSD!$G$81)</f>
        <v>1168882.7786409459</v>
      </c>
      <c r="I138" s="193">
        <f>INDEX('H&amp;S Demand'!$AJ$4:$AJ$13,PDSD!$G$81)</f>
        <v>1168882.7786409459</v>
      </c>
      <c r="J138" s="193">
        <f>INDEX('H&amp;S Demand'!$AJ$4:$AJ$13,PDSD!$G$81)</f>
        <v>1168882.7786409459</v>
      </c>
      <c r="K138" s="193">
        <f>INDEX('H&amp;S Demand'!$AJ$4:$AJ$13,PDSD!$G$81)</f>
        <v>1168882.7786409459</v>
      </c>
      <c r="L138" s="193">
        <f>INDEX('H&amp;S Demand'!$AJ$4:$AJ$13,PDSD!$G$81)</f>
        <v>1168882.7786409459</v>
      </c>
      <c r="M138" s="193">
        <f>INDEX('H&amp;S Demand'!$AJ$4:$AJ$13,PDSD!$G$81)</f>
        <v>1168882.7786409459</v>
      </c>
      <c r="S138" s="359" t="str">
        <f t="shared" si="43"/>
        <v/>
      </c>
    </row>
    <row r="139" spans="4:19" x14ac:dyDescent="0.2">
      <c r="E139" s="198" t="s">
        <v>746</v>
      </c>
      <c r="H139" s="193">
        <f t="shared" ref="H139:M139" si="47">H138*H37</f>
        <v>23377.65557281892</v>
      </c>
      <c r="I139" s="193">
        <f t="shared" si="47"/>
        <v>23377.65557281892</v>
      </c>
      <c r="J139" s="193">
        <f t="shared" si="47"/>
        <v>23377.65557281892</v>
      </c>
      <c r="K139" s="193">
        <f t="shared" si="47"/>
        <v>23377.65557281892</v>
      </c>
      <c r="L139" s="193">
        <f t="shared" si="47"/>
        <v>23377.65557281892</v>
      </c>
      <c r="M139" s="193">
        <f t="shared" si="47"/>
        <v>23377.65557281892</v>
      </c>
      <c r="S139" s="359" t="str">
        <f t="shared" si="43"/>
        <v/>
      </c>
    </row>
    <row r="140" spans="4:19" x14ac:dyDescent="0.2">
      <c r="E140" s="198" t="s">
        <v>747</v>
      </c>
      <c r="H140" s="193">
        <f t="shared" ref="H140:M140" si="48">H38*H139</f>
        <v>701.3296671845676</v>
      </c>
      <c r="I140" s="193">
        <f t="shared" si="48"/>
        <v>701.3296671845676</v>
      </c>
      <c r="J140" s="193">
        <f t="shared" si="48"/>
        <v>701.3296671845676</v>
      </c>
      <c r="K140" s="193">
        <f t="shared" si="48"/>
        <v>701.3296671845676</v>
      </c>
      <c r="L140" s="193">
        <f t="shared" si="48"/>
        <v>701.3296671845676</v>
      </c>
      <c r="M140" s="193">
        <f t="shared" si="48"/>
        <v>701.3296671845676</v>
      </c>
      <c r="S140" s="359" t="str">
        <f t="shared" si="43"/>
        <v/>
      </c>
    </row>
    <row r="141" spans="4:19" x14ac:dyDescent="0.2">
      <c r="E141" s="5" t="s">
        <v>30</v>
      </c>
      <c r="S141" s="359" t="str">
        <f t="shared" si="43"/>
        <v/>
      </c>
    </row>
    <row r="142" spans="4:19" x14ac:dyDescent="0.2">
      <c r="E142" s="65" t="s">
        <v>748</v>
      </c>
      <c r="H142" s="184">
        <f>(H139*H61+H140*H62)/Minutes_per_Year*GenAssumptions!D28</f>
        <v>1354385.3817219452</v>
      </c>
      <c r="I142" s="184">
        <f>(I139*I61+I140*I62)/Minutes_per_Year*GenAssumptions!E28</f>
        <v>1443774.8169155936</v>
      </c>
      <c r="J142" s="184">
        <f>(J139*J61+J140*J62)/Minutes_per_Year*GenAssumptions!F28</f>
        <v>1539063.954832023</v>
      </c>
      <c r="K142" s="184">
        <f>(K139*K61+K140*K62)/Minutes_per_Year*GenAssumptions!G28</f>
        <v>1354385.3817219452</v>
      </c>
      <c r="L142" s="184">
        <f>(L139*L61+L140*L62)/Minutes_per_Year*GenAssumptions!H28</f>
        <v>1354385.3817219452</v>
      </c>
      <c r="M142" s="184">
        <f>(M139*M61+M140*M62)/Minutes_per_Year*GenAssumptions!I28</f>
        <v>1354385.3817219452</v>
      </c>
      <c r="P142" s="79" t="s">
        <v>865</v>
      </c>
      <c r="R142" s="356" t="s">
        <v>985</v>
      </c>
      <c r="S142" s="359" t="str">
        <f t="shared" si="43"/>
        <v>COEEC</v>
      </c>
    </row>
    <row r="143" spans="4:19" x14ac:dyDescent="0.2">
      <c r="E143" s="5" t="s">
        <v>749</v>
      </c>
      <c r="S143" s="359" t="str">
        <f t="shared" si="43"/>
        <v/>
      </c>
    </row>
    <row r="144" spans="4:19" x14ac:dyDescent="0.2">
      <c r="S144" s="359" t="str">
        <f t="shared" si="43"/>
        <v/>
      </c>
    </row>
    <row r="145" spans="4:19" x14ac:dyDescent="0.2">
      <c r="D145" s="4" t="s">
        <v>543</v>
      </c>
      <c r="H145" s="184">
        <f>H65*GenAssumptions!D76*PDSD!H69</f>
        <v>4946707.6354547506</v>
      </c>
      <c r="I145" s="184">
        <f>I65*GenAssumptions!E76*PDSD!I69</f>
        <v>5223723.2630402166</v>
      </c>
      <c r="J145" s="184">
        <f>J65*GenAssumptions!F76*PDSD!J69</f>
        <v>5516251.7657704689</v>
      </c>
      <c r="K145" s="184">
        <f>K65*GenAssumptions!G76*PDSD!K69</f>
        <v>2077270.3991854985</v>
      </c>
      <c r="L145" s="184">
        <f>L65*GenAssumptions!H76*PDSD!L69</f>
        <v>5631085.231475383</v>
      </c>
      <c r="M145" s="184">
        <f>M65*GenAssumptions!I76*PDSD!M69</f>
        <v>4182736.1188255497</v>
      </c>
      <c r="P145" s="79" t="s">
        <v>866</v>
      </c>
      <c r="R145" s="356" t="s">
        <v>985</v>
      </c>
      <c r="S145" s="359" t="str">
        <f t="shared" si="43"/>
        <v>GSEC</v>
      </c>
    </row>
    <row r="146" spans="4:19" x14ac:dyDescent="0.2">
      <c r="S146" s="359" t="str">
        <f t="shared" si="43"/>
        <v/>
      </c>
    </row>
    <row r="147" spans="4:19" x14ac:dyDescent="0.2">
      <c r="S147" s="359" t="str">
        <f t="shared" si="43"/>
        <v/>
      </c>
    </row>
    <row r="148" spans="4:19" ht="13.5" thickBot="1" x14ac:dyDescent="0.25">
      <c r="D148" s="4" t="s">
        <v>991</v>
      </c>
      <c r="H148" s="350">
        <f>H10</f>
        <v>2623521728.0893946</v>
      </c>
      <c r="I148" s="350">
        <f t="shared" ref="I148:M148" si="49">I10</f>
        <v>2798423176.6286879</v>
      </c>
      <c r="J148" s="350">
        <f t="shared" si="49"/>
        <v>2973324625.1679807</v>
      </c>
      <c r="K148" s="350">
        <f t="shared" si="49"/>
        <v>1101695193.8537378</v>
      </c>
      <c r="L148" s="350">
        <f t="shared" ref="L148" si="50">L10</f>
        <v>2986486274.5503373</v>
      </c>
      <c r="M148" s="350">
        <f t="shared" si="49"/>
        <v>2218343977.3056936</v>
      </c>
      <c r="P148" s="79" t="s">
        <v>992</v>
      </c>
      <c r="R148" s="356" t="s">
        <v>986</v>
      </c>
      <c r="S148" s="359" t="str">
        <f t="shared" si="43"/>
        <v>TSPI</v>
      </c>
    </row>
    <row r="149" spans="4:19" ht="13.5" thickTop="1" x14ac:dyDescent="0.2"/>
  </sheetData>
  <mergeCells count="1">
    <mergeCell ref="H2:J2"/>
  </mergeCells>
  <dataValidations count="2">
    <dataValidation type="list" allowBlank="1" showInputMessage="1" showErrorMessage="1" sqref="H27:L31">
      <formula1>List_YesNO</formula1>
    </dataValidation>
    <dataValidation type="list" allowBlank="1" showInputMessage="1" showErrorMessage="1" sqref="R145 R142 R129 R131:R132 R134 R124:R126">
      <formula1>$B$17:$B$24</formula1>
    </dataValidation>
  </dataValidations>
  <pageMargins left="0.7" right="0.7" top="0.75" bottom="0.75" header="0.3" footer="0.3"/>
  <pageSetup paperSize="9"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14:formula1>
            <xm:f>Scenario!$B$16:$B$36</xm:f>
          </x14:formula1>
          <xm:sqref>R148</xm:sqref>
        </x14:dataValidation>
      </x14:dataValidations>
    </ex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AT149"/>
  <sheetViews>
    <sheetView showGridLines="0" topLeftCell="C1" workbookViewId="0">
      <pane xSplit="2" ySplit="3" topLeftCell="E4" activePane="bottomRight" state="frozen"/>
      <selection activeCell="H37" sqref="H37"/>
      <selection pane="topRight" activeCell="H37" sqref="H37"/>
      <selection pane="bottomLeft" activeCell="H37" sqref="H37"/>
      <selection pane="bottomRight" activeCell="E2" sqref="E2:L36"/>
    </sheetView>
  </sheetViews>
  <sheetFormatPr defaultColWidth="8.85546875" defaultRowHeight="12.75" x14ac:dyDescent="0.2"/>
  <cols>
    <col min="1" max="1" width="2.28515625" style="5" customWidth="1"/>
    <col min="2" max="2" width="2.42578125" style="5" customWidth="1"/>
    <col min="3" max="3" width="2.7109375" style="5" customWidth="1"/>
    <col min="4" max="4" width="46.42578125" style="5" customWidth="1"/>
    <col min="5" max="5" width="19.7109375" style="5" customWidth="1"/>
    <col min="6" max="6" width="20" style="25" customWidth="1"/>
    <col min="7" max="7" width="15" style="5" customWidth="1"/>
    <col min="8" max="8" width="14.28515625" style="5" customWidth="1"/>
    <col min="9" max="10" width="14" style="5" hidden="1" customWidth="1"/>
    <col min="11" max="12" width="14" style="5" bestFit="1" customWidth="1"/>
    <col min="13" max="13" width="14" style="5" hidden="1" customWidth="1"/>
    <col min="14" max="16" width="8.85546875" style="79" customWidth="1"/>
    <col min="17" max="17" width="20" style="79" customWidth="1"/>
    <col min="18" max="18" width="11.28515625" style="79" customWidth="1"/>
    <col min="19" max="19" width="15.7109375" style="79" customWidth="1"/>
    <col min="20" max="20" width="11.28515625" style="79" customWidth="1"/>
    <col min="21" max="21" width="8.85546875" style="79"/>
    <col min="22" max="22" width="11.28515625" style="79" bestFit="1" customWidth="1"/>
    <col min="23" max="46" width="8.85546875" style="79"/>
    <col min="47" max="16384" width="8.85546875" style="5"/>
  </cols>
  <sheetData>
    <row r="1" spans="2:46" s="3" customFormat="1" ht="15.75" x14ac:dyDescent="0.25">
      <c r="B1" s="306" t="s">
        <v>446</v>
      </c>
      <c r="E1" s="1012" t="str">
        <f>Summary!B4</f>
        <v>South Africa</v>
      </c>
      <c r="F1" s="3" t="s">
        <v>1337</v>
      </c>
      <c r="G1" s="80"/>
      <c r="H1" s="80"/>
      <c r="I1" s="80"/>
      <c r="J1" s="80"/>
      <c r="K1" s="80"/>
      <c r="L1" s="80"/>
      <c r="M1" s="80"/>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row>
    <row r="2" spans="2:46" ht="25.5" x14ac:dyDescent="0.2">
      <c r="E2" s="25"/>
      <c r="H2" s="1138" t="s">
        <v>1816</v>
      </c>
      <c r="I2" s="1138"/>
      <c r="J2" s="1138"/>
      <c r="K2" s="28" t="s">
        <v>1814</v>
      </c>
      <c r="L2" s="715" t="s">
        <v>1759</v>
      </c>
      <c r="M2" s="607" t="s">
        <v>1796</v>
      </c>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row>
    <row r="3" spans="2:46" x14ac:dyDescent="0.2">
      <c r="E3" s="73" t="s">
        <v>595</v>
      </c>
      <c r="H3" s="1008" t="s">
        <v>385</v>
      </c>
      <c r="I3" s="1008" t="s">
        <v>386</v>
      </c>
      <c r="J3" s="1008" t="s">
        <v>1033</v>
      </c>
      <c r="K3" s="28" t="s">
        <v>385</v>
      </c>
      <c r="L3" s="29" t="s">
        <v>385</v>
      </c>
      <c r="M3" s="29" t="s">
        <v>385</v>
      </c>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row>
    <row r="4" spans="2:46" hidden="1" x14ac:dyDescent="0.2">
      <c r="E4" s="27" t="s">
        <v>596</v>
      </c>
      <c r="H4" s="191">
        <f t="shared" ref="H4:M6" si="0">SUMIF($P$124:$P$148,$P4,H$124:H$148)</f>
        <v>5638872.6042786734</v>
      </c>
      <c r="I4" s="191">
        <f t="shared" si="0"/>
        <v>6011038.1961610653</v>
      </c>
      <c r="J4" s="191">
        <f t="shared" si="0"/>
        <v>6407766.7171076965</v>
      </c>
      <c r="K4" s="191">
        <f t="shared" si="0"/>
        <v>3931791.5537055451</v>
      </c>
      <c r="L4" s="191">
        <f t="shared" si="0"/>
        <v>6046021.4384948844</v>
      </c>
      <c r="M4" s="191">
        <f t="shared" si="0"/>
        <v>5184371.8810250256</v>
      </c>
      <c r="N4" s="5"/>
      <c r="O4" s="5"/>
      <c r="P4" s="5" t="s">
        <v>865</v>
      </c>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row>
    <row r="5" spans="2:46" hidden="1" x14ac:dyDescent="0.2">
      <c r="E5" s="27" t="s">
        <v>597</v>
      </c>
      <c r="H5" s="191">
        <f t="shared" si="0"/>
        <v>5602339.6279195156</v>
      </c>
      <c r="I5" s="191">
        <f t="shared" si="0"/>
        <v>5916070.6470830077</v>
      </c>
      <c r="J5" s="191">
        <f t="shared" si="0"/>
        <v>6247370.6033196561</v>
      </c>
      <c r="K5" s="191">
        <f t="shared" si="0"/>
        <v>2352589.8704525451</v>
      </c>
      <c r="L5" s="191">
        <f t="shared" si="0"/>
        <v>6377423.9889127258</v>
      </c>
      <c r="M5" s="191">
        <f t="shared" si="0"/>
        <v>4737112.0426995773</v>
      </c>
      <c r="N5" s="5"/>
      <c r="O5" s="5"/>
      <c r="P5" s="5" t="s">
        <v>866</v>
      </c>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row>
    <row r="6" spans="2:46" hidden="1" x14ac:dyDescent="0.2">
      <c r="E6" s="27" t="s">
        <v>756</v>
      </c>
      <c r="H6" s="191">
        <f t="shared" si="0"/>
        <v>2623521728.0893946</v>
      </c>
      <c r="I6" s="191">
        <f t="shared" si="0"/>
        <v>2623521728.0893946</v>
      </c>
      <c r="J6" s="191">
        <f t="shared" si="0"/>
        <v>2623521728.0893946</v>
      </c>
      <c r="K6" s="191">
        <f t="shared" si="0"/>
        <v>1101695193.8537378</v>
      </c>
      <c r="L6" s="191">
        <f t="shared" si="0"/>
        <v>2986486274.5503373</v>
      </c>
      <c r="M6" s="191">
        <f t="shared" si="0"/>
        <v>2218343977.3056936</v>
      </c>
      <c r="N6" s="5"/>
      <c r="O6" s="5"/>
      <c r="P6" s="5" t="s">
        <v>992</v>
      </c>
      <c r="Q6" s="191">
        <f>M6-H6</f>
        <v>-405177750.78370094</v>
      </c>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row>
    <row r="7" spans="2:46" ht="13.5" hidden="1" thickBot="1" x14ac:dyDescent="0.25">
      <c r="E7" s="73" t="s">
        <v>598</v>
      </c>
      <c r="F7" s="73"/>
      <c r="G7" s="4"/>
      <c r="H7" s="208">
        <f>SUM(H4:H6)</f>
        <v>2634762940.3215928</v>
      </c>
      <c r="I7" s="208">
        <f t="shared" ref="I7:M7" si="1">SUM(I4:I6)</f>
        <v>2635448836.9326386</v>
      </c>
      <c r="J7" s="208">
        <f t="shared" si="1"/>
        <v>2636176865.409822</v>
      </c>
      <c r="K7" s="208">
        <f t="shared" si="1"/>
        <v>1107979575.2778959</v>
      </c>
      <c r="L7" s="208">
        <f t="shared" si="1"/>
        <v>2998909719.9777451</v>
      </c>
      <c r="M7" s="208">
        <f t="shared" si="1"/>
        <v>2228265461.2294183</v>
      </c>
      <c r="N7" s="5"/>
      <c r="O7" s="5"/>
      <c r="P7" s="5"/>
      <c r="Q7" s="191"/>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row>
    <row r="8" spans="2:46" ht="13.5" hidden="1" thickTop="1" x14ac:dyDescent="0.2">
      <c r="E8" s="25"/>
      <c r="N8" s="5"/>
      <c r="O8" s="5"/>
      <c r="P8" s="5"/>
      <c r="Q8" s="191"/>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row>
    <row r="9" spans="2:46" x14ac:dyDescent="0.2">
      <c r="E9" s="25" t="s">
        <v>1256</v>
      </c>
      <c r="H9" s="191">
        <f>H32*H34*H35</f>
        <v>5247043456.1787891</v>
      </c>
      <c r="I9" s="191">
        <f t="shared" ref="I9:L9" si="2">I32*I34*I35</f>
        <v>5247043456.1787891</v>
      </c>
      <c r="J9" s="191">
        <f t="shared" si="2"/>
        <v>5247043456.1787891</v>
      </c>
      <c r="K9" s="191">
        <f t="shared" si="2"/>
        <v>2203390387.7074752</v>
      </c>
      <c r="L9" s="191">
        <f t="shared" si="2"/>
        <v>5972972549.1006746</v>
      </c>
      <c r="M9" s="191">
        <f>M32*M34*M35</f>
        <v>4436687954.6113873</v>
      </c>
      <c r="N9" s="5"/>
      <c r="O9" s="5"/>
      <c r="P9" s="5"/>
      <c r="Q9" s="191">
        <f>M9-H9</f>
        <v>-810355501.56740189</v>
      </c>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row>
    <row r="10" spans="2:46" x14ac:dyDescent="0.2">
      <c r="E10" s="25" t="s">
        <v>1762</v>
      </c>
      <c r="H10" s="191">
        <f t="shared" ref="H10:M10" si="3">H36*H35*H34*H32</f>
        <v>2623521728.0893946</v>
      </c>
      <c r="I10" s="191">
        <f t="shared" si="3"/>
        <v>2623521728.0893946</v>
      </c>
      <c r="J10" s="191">
        <f t="shared" si="3"/>
        <v>2623521728.0893946</v>
      </c>
      <c r="K10" s="191">
        <f t="shared" si="3"/>
        <v>1101695193.8537378</v>
      </c>
      <c r="L10" s="191">
        <f t="shared" si="3"/>
        <v>2986486274.5503373</v>
      </c>
      <c r="M10" s="191">
        <f t="shared" si="3"/>
        <v>2218343977.3056936</v>
      </c>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row>
    <row r="11" spans="2:46" hidden="1" x14ac:dyDescent="0.2">
      <c r="E11" s="25" t="str">
        <f>D41</f>
        <v>Oversight of nutrition in ECD centres</v>
      </c>
      <c r="F11" s="73"/>
      <c r="G11" s="4"/>
      <c r="H11" s="191">
        <f>H124+H125+H126+H129</f>
        <v>3356781.1800720682</v>
      </c>
      <c r="I11" s="191">
        <f t="shared" ref="I11:M11" si="4">I124+I125+I126+I129</f>
        <v>3578231.8465293674</v>
      </c>
      <c r="J11" s="191">
        <f t="shared" si="4"/>
        <v>3814292.8310529105</v>
      </c>
      <c r="K11" s="191">
        <f t="shared" si="4"/>
        <v>1784842.8926486219</v>
      </c>
      <c r="L11" s="191">
        <f t="shared" si="4"/>
        <v>3731697.6733278567</v>
      </c>
      <c r="M11" s="191">
        <f t="shared" si="4"/>
        <v>2938261.4570019832</v>
      </c>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row>
    <row r="12" spans="2:46" hidden="1" x14ac:dyDescent="0.2">
      <c r="E12" s="25" t="str">
        <f>D53</f>
        <v>District Management of ECD Nutrition</v>
      </c>
      <c r="F12" s="73"/>
      <c r="G12" s="4"/>
      <c r="H12" s="191">
        <f>H131+H132+H134</f>
        <v>1583338.0349494237</v>
      </c>
      <c r="I12" s="191">
        <f t="shared" ref="I12:M12" si="5">I131+I132+I134</f>
        <v>1681378.9167588961</v>
      </c>
      <c r="J12" s="191">
        <f t="shared" si="5"/>
        <v>1785528.7687719509</v>
      </c>
      <c r="K12" s="191">
        <f t="shared" si="5"/>
        <v>1067882.7506020251</v>
      </c>
      <c r="L12" s="191">
        <f t="shared" si="5"/>
        <v>1706277.140882425</v>
      </c>
      <c r="M12" s="191">
        <f t="shared" si="5"/>
        <v>1446100.9661751245</v>
      </c>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row>
    <row r="13" spans="2:46" hidden="1" x14ac:dyDescent="0.2">
      <c r="E13" s="25" t="str">
        <f>D60</f>
        <v>Counselling/investigating children with malnourished children</v>
      </c>
      <c r="F13" s="73"/>
      <c r="G13" s="4"/>
      <c r="H13" s="191">
        <f>H142</f>
        <v>1354385.3817219452</v>
      </c>
      <c r="I13" s="191">
        <f t="shared" ref="I13:M13" si="6">I142</f>
        <v>1443774.8169155936</v>
      </c>
      <c r="J13" s="191">
        <f t="shared" si="6"/>
        <v>1539063.954832023</v>
      </c>
      <c r="K13" s="191">
        <f t="shared" si="6"/>
        <v>1354385.3817219452</v>
      </c>
      <c r="L13" s="191">
        <f t="shared" si="6"/>
        <v>1354385.3817219452</v>
      </c>
      <c r="M13" s="191">
        <f t="shared" si="6"/>
        <v>1354385.3817219452</v>
      </c>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row>
    <row r="14" spans="2:46" hidden="1" x14ac:dyDescent="0.2">
      <c r="E14" s="25" t="str">
        <f>D64</f>
        <v>Training staff at ECD facilities on nutrition for young children</v>
      </c>
      <c r="F14" s="73"/>
      <c r="G14" s="4"/>
      <c r="H14" s="191">
        <f>H145</f>
        <v>4946707.6354547506</v>
      </c>
      <c r="I14" s="191">
        <f t="shared" ref="I14:M14" si="7">I145</f>
        <v>5223723.2630402166</v>
      </c>
      <c r="J14" s="191">
        <f t="shared" si="7"/>
        <v>5516251.7657704689</v>
      </c>
      <c r="K14" s="191">
        <f t="shared" si="7"/>
        <v>2077270.3991854985</v>
      </c>
      <c r="L14" s="191">
        <f t="shared" si="7"/>
        <v>5631085.231475383</v>
      </c>
      <c r="M14" s="191">
        <f t="shared" si="7"/>
        <v>4182736.1188255497</v>
      </c>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row>
    <row r="15" spans="2:46" ht="13.5" hidden="1" thickBot="1" x14ac:dyDescent="0.25">
      <c r="E15" s="73"/>
      <c r="F15" s="73"/>
      <c r="G15" s="4"/>
      <c r="H15" s="208">
        <f>SUM(H10:H14)</f>
        <v>2634762940.3215923</v>
      </c>
      <c r="I15" s="208">
        <f t="shared" ref="I15:M15" si="8">SUM(I10:I14)</f>
        <v>2635448836.9326386</v>
      </c>
      <c r="J15" s="208">
        <f t="shared" si="8"/>
        <v>2636176865.409822</v>
      </c>
      <c r="K15" s="208">
        <f t="shared" si="8"/>
        <v>1107979575.2778959</v>
      </c>
      <c r="L15" s="208">
        <f t="shared" si="8"/>
        <v>2998909719.9777451</v>
      </c>
      <c r="M15" s="208">
        <f t="shared" si="8"/>
        <v>2228265461.2294183</v>
      </c>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row>
    <row r="16" spans="2:46" ht="13.5" hidden="1" thickTop="1" x14ac:dyDescent="0.2">
      <c r="E16" s="73"/>
      <c r="F16" s="73"/>
      <c r="G16" s="4"/>
      <c r="H16" s="4"/>
      <c r="I16" s="4"/>
      <c r="J16" s="4"/>
      <c r="K16" s="4"/>
      <c r="L16" s="4"/>
      <c r="M16" s="4"/>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row>
    <row r="17" spans="1:46" hidden="1" x14ac:dyDescent="0.2">
      <c r="A17" s="78"/>
      <c r="B17" s="78"/>
      <c r="C17" s="78"/>
      <c r="D17" s="78"/>
      <c r="E17" s="1013"/>
      <c r="F17" s="1013"/>
      <c r="G17" s="78"/>
      <c r="H17" s="78"/>
      <c r="I17" s="78"/>
      <c r="J17" s="78"/>
      <c r="K17" s="78"/>
      <c r="L17" s="78"/>
      <c r="M17" s="78"/>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row>
    <row r="18" spans="1:46" s="311" customFormat="1" x14ac:dyDescent="0.2">
      <c r="C18" s="309" t="s">
        <v>426</v>
      </c>
      <c r="E18" s="324"/>
      <c r="F18" s="324"/>
    </row>
    <row r="19" spans="1:46" x14ac:dyDescent="0.2">
      <c r="E19" s="5" t="s">
        <v>28</v>
      </c>
      <c r="H19" s="120">
        <v>30</v>
      </c>
      <c r="I19" s="120">
        <v>30</v>
      </c>
      <c r="J19" s="120">
        <v>30</v>
      </c>
      <c r="K19" s="120">
        <v>30</v>
      </c>
      <c r="L19" s="120">
        <v>30</v>
      </c>
      <c r="M19" s="120">
        <v>30</v>
      </c>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row>
    <row r="20" spans="1:46" x14ac:dyDescent="0.2">
      <c r="E20" s="5" t="s">
        <v>29</v>
      </c>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row>
    <row r="21" spans="1:46" x14ac:dyDescent="0.2">
      <c r="E21" s="65" t="s">
        <v>428</v>
      </c>
      <c r="H21" s="69">
        <v>0.8</v>
      </c>
      <c r="I21" s="69">
        <v>0.8</v>
      </c>
      <c r="J21" s="69">
        <v>0.8</v>
      </c>
      <c r="K21" s="69">
        <v>0.31</v>
      </c>
      <c r="L21" s="69">
        <v>0.65</v>
      </c>
      <c r="M21" s="578">
        <f>'Budget Choices Workings'!D53</f>
        <v>0.65</v>
      </c>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row>
    <row r="22" spans="1:46" x14ac:dyDescent="0.2">
      <c r="E22" s="65" t="s">
        <v>429</v>
      </c>
      <c r="H22" s="69">
        <v>0.8</v>
      </c>
      <c r="I22" s="69">
        <v>0.8</v>
      </c>
      <c r="J22" s="69">
        <v>0.8</v>
      </c>
      <c r="K22" s="69">
        <v>0.31</v>
      </c>
      <c r="L22" s="69">
        <v>0.65</v>
      </c>
      <c r="M22" s="578">
        <f>'Budget Choices Workings'!D54</f>
        <v>0.65</v>
      </c>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row>
    <row r="23" spans="1:46" x14ac:dyDescent="0.2">
      <c r="E23" s="65" t="s">
        <v>430</v>
      </c>
      <c r="H23" s="69">
        <v>0.35</v>
      </c>
      <c r="I23" s="69">
        <v>0.35</v>
      </c>
      <c r="J23" s="69">
        <v>0.35</v>
      </c>
      <c r="K23" s="69">
        <v>0.2</v>
      </c>
      <c r="L23" s="69">
        <v>0.35</v>
      </c>
      <c r="M23" s="578">
        <f>'Budget Choices Workings'!D55</f>
        <v>0.35</v>
      </c>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row>
    <row r="24" spans="1:46" x14ac:dyDescent="0.2">
      <c r="E24" s="65" t="s">
        <v>431</v>
      </c>
      <c r="H24" s="69">
        <v>0</v>
      </c>
      <c r="I24" s="69">
        <v>0</v>
      </c>
      <c r="J24" s="69">
        <v>0</v>
      </c>
      <c r="K24" s="69">
        <v>0</v>
      </c>
      <c r="L24" s="69">
        <v>0</v>
      </c>
      <c r="M24" s="69">
        <f t="shared" ref="M24:M25" si="9">H24</f>
        <v>0</v>
      </c>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row>
    <row r="25" spans="1:46" x14ac:dyDescent="0.2">
      <c r="E25" s="65" t="s">
        <v>432</v>
      </c>
      <c r="H25" s="69">
        <v>0</v>
      </c>
      <c r="I25" s="69">
        <v>0</v>
      </c>
      <c r="J25" s="69">
        <v>0</v>
      </c>
      <c r="K25" s="69">
        <v>0</v>
      </c>
      <c r="L25" s="69">
        <v>0</v>
      </c>
      <c r="M25" s="69">
        <f t="shared" si="9"/>
        <v>0</v>
      </c>
    </row>
    <row r="26" spans="1:46" x14ac:dyDescent="0.2">
      <c r="E26" s="7" t="s">
        <v>743</v>
      </c>
      <c r="F26" s="27"/>
      <c r="G26" s="6"/>
      <c r="H26" s="6"/>
      <c r="I26" s="6"/>
      <c r="J26" s="6"/>
      <c r="K26" s="6"/>
      <c r="L26" s="6"/>
      <c r="M26" s="6"/>
    </row>
    <row r="27" spans="1:46" x14ac:dyDescent="0.2">
      <c r="E27" s="65" t="s">
        <v>438</v>
      </c>
      <c r="F27" s="27"/>
      <c r="G27" s="6"/>
      <c r="H27" s="166" t="s">
        <v>721</v>
      </c>
      <c r="I27" s="166" t="s">
        <v>721</v>
      </c>
      <c r="J27" s="166" t="s">
        <v>721</v>
      </c>
      <c r="K27" s="166" t="s">
        <v>721</v>
      </c>
      <c r="L27" s="166" t="s">
        <v>721</v>
      </c>
      <c r="M27" s="599" t="str">
        <f>'Budget Choices'!E79</f>
        <v>No</v>
      </c>
    </row>
    <row r="28" spans="1:46" x14ac:dyDescent="0.2">
      <c r="E28" s="65" t="s">
        <v>439</v>
      </c>
      <c r="F28" s="27"/>
      <c r="G28" s="6"/>
      <c r="H28" s="166" t="s">
        <v>721</v>
      </c>
      <c r="I28" s="166" t="s">
        <v>721</v>
      </c>
      <c r="J28" s="166" t="s">
        <v>721</v>
      </c>
      <c r="K28" s="166" t="s">
        <v>721</v>
      </c>
      <c r="L28" s="166" t="s">
        <v>720</v>
      </c>
      <c r="M28" s="599" t="str">
        <f>'Budget Choices'!E80</f>
        <v>No</v>
      </c>
    </row>
    <row r="29" spans="1:46" x14ac:dyDescent="0.2">
      <c r="E29" s="65" t="s">
        <v>440</v>
      </c>
      <c r="F29" s="27"/>
      <c r="G29" s="6"/>
      <c r="H29" s="166" t="s">
        <v>720</v>
      </c>
      <c r="I29" s="166" t="s">
        <v>720</v>
      </c>
      <c r="J29" s="166" t="s">
        <v>720</v>
      </c>
      <c r="K29" s="166" t="s">
        <v>720</v>
      </c>
      <c r="L29" s="166" t="s">
        <v>720</v>
      </c>
      <c r="M29" s="599" t="str">
        <f>'Budget Choices'!E81</f>
        <v>Yes</v>
      </c>
    </row>
    <row r="30" spans="1:46" x14ac:dyDescent="0.2">
      <c r="E30" s="65" t="s">
        <v>441</v>
      </c>
      <c r="F30" s="27"/>
      <c r="G30" s="6"/>
      <c r="H30" s="166" t="s">
        <v>720</v>
      </c>
      <c r="I30" s="166" t="s">
        <v>720</v>
      </c>
      <c r="J30" s="166" t="s">
        <v>720</v>
      </c>
      <c r="K30" s="166" t="s">
        <v>720</v>
      </c>
      <c r="L30" s="166" t="s">
        <v>720</v>
      </c>
      <c r="M30" s="599" t="str">
        <f>'Budget Choices'!E82</f>
        <v>Yes</v>
      </c>
    </row>
    <row r="31" spans="1:46" x14ac:dyDescent="0.2">
      <c r="E31" s="65" t="s">
        <v>1532</v>
      </c>
      <c r="F31" s="27"/>
      <c r="G31" s="6"/>
      <c r="H31" s="166" t="s">
        <v>720</v>
      </c>
      <c r="I31" s="166" t="s">
        <v>720</v>
      </c>
      <c r="J31" s="166" t="s">
        <v>720</v>
      </c>
      <c r="K31" s="166" t="s">
        <v>720</v>
      </c>
      <c r="L31" s="166" t="s">
        <v>720</v>
      </c>
      <c r="M31" s="599" t="str">
        <f>'Budget Choices'!E83</f>
        <v>Yes</v>
      </c>
    </row>
    <row r="32" spans="1:46" x14ac:dyDescent="0.2">
      <c r="E32" s="6" t="s">
        <v>722</v>
      </c>
      <c r="F32" s="27"/>
      <c r="G32" s="6"/>
      <c r="H32" s="188">
        <f>H120</f>
        <v>1325010.9737825226</v>
      </c>
      <c r="I32" s="188">
        <f t="shared" ref="I32:L32" si="10">I120</f>
        <v>1325010.9737825226</v>
      </c>
      <c r="J32" s="188">
        <f t="shared" si="10"/>
        <v>1325010.9737825226</v>
      </c>
      <c r="K32" s="188">
        <f t="shared" si="10"/>
        <v>556411.71406754432</v>
      </c>
      <c r="L32" s="188">
        <f t="shared" si="10"/>
        <v>1508326.4012880491</v>
      </c>
      <c r="M32" s="188">
        <f>M120</f>
        <v>1120375.7461139867</v>
      </c>
    </row>
    <row r="33" spans="3:20" x14ac:dyDescent="0.2">
      <c r="E33" s="6" t="s">
        <v>723</v>
      </c>
      <c r="F33" s="27"/>
      <c r="G33" s="6"/>
      <c r="H33" s="184">
        <f t="shared" ref="H33:M33" si="11">H32/H19</f>
        <v>44167.032459417424</v>
      </c>
      <c r="I33" s="184">
        <f t="shared" si="11"/>
        <v>44167.032459417424</v>
      </c>
      <c r="J33" s="184">
        <f t="shared" si="11"/>
        <v>44167.032459417424</v>
      </c>
      <c r="K33" s="184">
        <f t="shared" si="11"/>
        <v>18547.057135584811</v>
      </c>
      <c r="L33" s="184">
        <f t="shared" si="11"/>
        <v>50277.546709601636</v>
      </c>
      <c r="M33" s="184">
        <f t="shared" si="11"/>
        <v>37345.858203799558</v>
      </c>
    </row>
    <row r="34" spans="3:20" x14ac:dyDescent="0.2">
      <c r="E34" s="6" t="s">
        <v>725</v>
      </c>
      <c r="F34" s="27"/>
      <c r="G34" s="6"/>
      <c r="H34" s="190">
        <v>15</v>
      </c>
      <c r="I34" s="190">
        <v>15</v>
      </c>
      <c r="J34" s="190">
        <v>15</v>
      </c>
      <c r="K34" s="190">
        <v>15</v>
      </c>
      <c r="L34" s="190">
        <v>15</v>
      </c>
      <c r="M34" s="190">
        <f>'Budget Choices'!D67</f>
        <v>15</v>
      </c>
    </row>
    <row r="35" spans="3:20" x14ac:dyDescent="0.2">
      <c r="E35" s="6" t="s">
        <v>450</v>
      </c>
      <c r="F35" s="27"/>
      <c r="G35" s="6"/>
      <c r="H35" s="120">
        <v>264</v>
      </c>
      <c r="I35" s="120">
        <v>264</v>
      </c>
      <c r="J35" s="120">
        <v>264</v>
      </c>
      <c r="K35" s="120">
        <v>264</v>
      </c>
      <c r="L35" s="120">
        <v>264</v>
      </c>
      <c r="M35" s="190">
        <f t="shared" ref="M35:M38" si="12">H35</f>
        <v>264</v>
      </c>
    </row>
    <row r="36" spans="3:20" x14ac:dyDescent="0.2">
      <c r="E36" s="6" t="s">
        <v>449</v>
      </c>
      <c r="F36" s="27"/>
      <c r="G36" s="6"/>
      <c r="H36" s="69">
        <v>0.5</v>
      </c>
      <c r="I36" s="69">
        <v>0.5</v>
      </c>
      <c r="J36" s="69">
        <v>0.5</v>
      </c>
      <c r="K36" s="69">
        <v>0.5</v>
      </c>
      <c r="L36" s="69">
        <v>0.5</v>
      </c>
      <c r="M36" s="190">
        <f t="shared" si="12"/>
        <v>0.5</v>
      </c>
    </row>
    <row r="37" spans="3:20" x14ac:dyDescent="0.2">
      <c r="D37" s="7" t="s">
        <v>744</v>
      </c>
      <c r="F37" s="27"/>
      <c r="G37" s="6"/>
      <c r="H37" s="69">
        <v>0.02</v>
      </c>
      <c r="I37" s="69">
        <v>0.02</v>
      </c>
      <c r="J37" s="69">
        <v>0.02</v>
      </c>
      <c r="K37" s="69">
        <v>0.02</v>
      </c>
      <c r="L37" s="69">
        <v>0.02</v>
      </c>
      <c r="M37" s="190">
        <f t="shared" si="12"/>
        <v>0.02</v>
      </c>
    </row>
    <row r="38" spans="3:20" x14ac:dyDescent="0.2">
      <c r="D38" s="7" t="s">
        <v>745</v>
      </c>
      <c r="F38" s="27"/>
      <c r="G38" s="6"/>
      <c r="H38" s="69">
        <v>0.03</v>
      </c>
      <c r="I38" s="69">
        <v>0.03</v>
      </c>
      <c r="J38" s="69">
        <v>0.03</v>
      </c>
      <c r="K38" s="69">
        <v>0.03</v>
      </c>
      <c r="L38" s="69">
        <v>0.03</v>
      </c>
      <c r="M38" s="190">
        <f t="shared" si="12"/>
        <v>0.03</v>
      </c>
    </row>
    <row r="40" spans="3:20" s="311" customFormat="1" x14ac:dyDescent="0.2">
      <c r="C40" s="309" t="s">
        <v>853</v>
      </c>
      <c r="F40" s="324"/>
      <c r="G40" s="324"/>
      <c r="H40" s="324"/>
      <c r="I40" s="324"/>
      <c r="J40" s="324"/>
      <c r="K40" s="324"/>
      <c r="L40" s="324"/>
      <c r="M40" s="324"/>
      <c r="N40" s="324"/>
      <c r="O40" s="324"/>
      <c r="P40" s="324"/>
      <c r="Q40" s="324"/>
      <c r="R40" s="324"/>
      <c r="S40" s="324"/>
      <c r="T40" s="324"/>
    </row>
    <row r="41" spans="3:20" s="79" customFormat="1" x14ac:dyDescent="0.2">
      <c r="C41" s="77"/>
      <c r="D41" s="323" t="s">
        <v>454</v>
      </c>
      <c r="F41" s="328"/>
      <c r="G41" s="328"/>
      <c r="H41" s="328"/>
      <c r="I41" s="328"/>
      <c r="J41" s="328"/>
      <c r="K41" s="328"/>
      <c r="L41" s="328"/>
      <c r="M41" s="328"/>
      <c r="N41" s="328"/>
      <c r="O41" s="328"/>
      <c r="P41" s="328"/>
      <c r="Q41" s="328"/>
      <c r="R41" s="328"/>
      <c r="S41" s="328"/>
      <c r="T41" s="328"/>
    </row>
    <row r="42" spans="3:20" x14ac:dyDescent="0.2">
      <c r="D42" s="65" t="s">
        <v>2</v>
      </c>
      <c r="E42" s="5" t="s">
        <v>443</v>
      </c>
      <c r="H42" s="69">
        <v>0.02</v>
      </c>
      <c r="I42" s="69">
        <v>0.02</v>
      </c>
      <c r="J42" s="69">
        <v>0.02</v>
      </c>
      <c r="K42" s="69">
        <v>0.02</v>
      </c>
      <c r="L42" s="69">
        <v>0.02</v>
      </c>
      <c r="M42" s="69">
        <f>H42</f>
        <v>0.02</v>
      </c>
    </row>
    <row r="43" spans="3:20" x14ac:dyDescent="0.2">
      <c r="D43" s="65" t="s">
        <v>3</v>
      </c>
      <c r="E43" s="5" t="s">
        <v>443</v>
      </c>
      <c r="H43" s="69">
        <v>0.05</v>
      </c>
      <c r="I43" s="69">
        <v>0.05</v>
      </c>
      <c r="J43" s="69">
        <v>0.05</v>
      </c>
      <c r="K43" s="69">
        <v>0.05</v>
      </c>
      <c r="L43" s="69">
        <v>0.05</v>
      </c>
      <c r="M43" s="69">
        <f t="shared" ref="M43:M49" si="13">H43</f>
        <v>0.05</v>
      </c>
    </row>
    <row r="44" spans="3:20" x14ac:dyDescent="0.2">
      <c r="D44" s="65"/>
      <c r="G44" s="25"/>
      <c r="H44" s="25"/>
      <c r="I44" s="25"/>
      <c r="J44" s="25"/>
      <c r="K44" s="25"/>
      <c r="L44" s="25"/>
      <c r="M44" s="25"/>
      <c r="N44" s="25"/>
      <c r="O44" s="25"/>
      <c r="P44" s="25"/>
      <c r="Q44" s="25"/>
    </row>
    <row r="45" spans="3:20" x14ac:dyDescent="0.2">
      <c r="D45" s="65" t="s">
        <v>5</v>
      </c>
      <c r="E45" s="5" t="s">
        <v>727</v>
      </c>
      <c r="H45" s="120">
        <v>15</v>
      </c>
      <c r="I45" s="120">
        <v>15</v>
      </c>
      <c r="J45" s="120">
        <v>15</v>
      </c>
      <c r="K45" s="120">
        <v>15</v>
      </c>
      <c r="L45" s="120">
        <v>15</v>
      </c>
      <c r="M45" s="120">
        <f t="shared" si="13"/>
        <v>15</v>
      </c>
    </row>
    <row r="46" spans="3:20" x14ac:dyDescent="0.2">
      <c r="E46" s="5" t="s">
        <v>447</v>
      </c>
      <c r="H46" s="69">
        <v>0.03</v>
      </c>
      <c r="I46" s="69">
        <v>0.03</v>
      </c>
      <c r="J46" s="69">
        <v>0.03</v>
      </c>
      <c r="K46" s="69">
        <v>0.03</v>
      </c>
      <c r="L46" s="69">
        <v>0.03</v>
      </c>
      <c r="M46" s="69">
        <f t="shared" si="13"/>
        <v>0.03</v>
      </c>
    </row>
    <row r="47" spans="3:20" x14ac:dyDescent="0.2">
      <c r="E47" s="5" t="s">
        <v>728</v>
      </c>
      <c r="H47" s="120">
        <v>60</v>
      </c>
      <c r="I47" s="120">
        <v>60</v>
      </c>
      <c r="J47" s="120">
        <v>60</v>
      </c>
      <c r="K47" s="120">
        <v>60</v>
      </c>
      <c r="L47" s="120">
        <v>60</v>
      </c>
      <c r="M47" s="120">
        <f t="shared" si="13"/>
        <v>60</v>
      </c>
    </row>
    <row r="48" spans="3:20" x14ac:dyDescent="0.2">
      <c r="E48" s="5" t="s">
        <v>729</v>
      </c>
      <c r="H48" s="120">
        <v>15</v>
      </c>
      <c r="I48" s="120">
        <v>15</v>
      </c>
      <c r="J48" s="120">
        <v>15</v>
      </c>
      <c r="K48" s="120">
        <v>15</v>
      </c>
      <c r="L48" s="120">
        <v>15</v>
      </c>
      <c r="M48" s="120">
        <f t="shared" si="13"/>
        <v>15</v>
      </c>
    </row>
    <row r="49" spans="3:25" x14ac:dyDescent="0.2">
      <c r="E49" s="5" t="s">
        <v>448</v>
      </c>
      <c r="H49" s="69">
        <v>0.15</v>
      </c>
      <c r="I49" s="69">
        <v>0.15</v>
      </c>
      <c r="J49" s="69">
        <v>0.15</v>
      </c>
      <c r="K49" s="69">
        <v>0.15</v>
      </c>
      <c r="L49" s="69">
        <v>0.15</v>
      </c>
      <c r="M49" s="69">
        <f t="shared" si="13"/>
        <v>0.15</v>
      </c>
    </row>
    <row r="50" spans="3:25" x14ac:dyDescent="0.2">
      <c r="F50" s="5"/>
      <c r="N50" s="5"/>
      <c r="O50" s="5"/>
      <c r="P50" s="5"/>
      <c r="Q50" s="5"/>
      <c r="R50" s="5"/>
      <c r="S50" s="5"/>
      <c r="T50" s="5"/>
    </row>
    <row r="51" spans="3:25" x14ac:dyDescent="0.2">
      <c r="G51" s="25"/>
      <c r="H51" s="25"/>
      <c r="I51" s="25"/>
      <c r="J51" s="25"/>
      <c r="K51" s="25"/>
      <c r="L51" s="25"/>
      <c r="M51" s="25"/>
      <c r="N51" s="25"/>
      <c r="O51" s="25"/>
      <c r="P51" s="25"/>
      <c r="Q51" s="25"/>
      <c r="R51" s="25"/>
      <c r="S51" s="25"/>
      <c r="T51" s="25"/>
      <c r="U51" s="25"/>
      <c r="V51" s="25"/>
      <c r="W51" s="25"/>
      <c r="X51" s="25"/>
      <c r="Y51" s="25"/>
    </row>
    <row r="52" spans="3:25" s="314" customFormat="1" x14ac:dyDescent="0.2">
      <c r="C52" s="315" t="s">
        <v>929</v>
      </c>
      <c r="F52" s="325"/>
      <c r="G52" s="325"/>
      <c r="H52" s="325"/>
      <c r="I52" s="325"/>
      <c r="J52" s="325"/>
      <c r="K52" s="325"/>
      <c r="L52" s="325"/>
      <c r="M52" s="325"/>
    </row>
    <row r="53" spans="3:25" x14ac:dyDescent="0.2">
      <c r="D53" s="198" t="s">
        <v>456</v>
      </c>
    </row>
    <row r="54" spans="3:25" x14ac:dyDescent="0.2">
      <c r="D54" s="65" t="s">
        <v>735</v>
      </c>
      <c r="E54" s="5" t="s">
        <v>451</v>
      </c>
      <c r="H54" s="69">
        <v>0.08</v>
      </c>
      <c r="I54" s="69">
        <v>0.08</v>
      </c>
      <c r="J54" s="69">
        <v>0.08</v>
      </c>
      <c r="K54" s="69">
        <v>0.08</v>
      </c>
      <c r="L54" s="69">
        <v>0.08</v>
      </c>
      <c r="M54" s="69">
        <f>H54</f>
        <v>0.08</v>
      </c>
    </row>
    <row r="55" spans="3:25" x14ac:dyDescent="0.2">
      <c r="D55" s="65" t="s">
        <v>26</v>
      </c>
      <c r="E55" s="5" t="s">
        <v>741</v>
      </c>
      <c r="H55" s="69">
        <v>0.15</v>
      </c>
      <c r="I55" s="69">
        <v>0.15</v>
      </c>
      <c r="J55" s="69">
        <v>0.15</v>
      </c>
      <c r="K55" s="69">
        <v>0.15</v>
      </c>
      <c r="L55" s="69">
        <v>0.15</v>
      </c>
      <c r="M55" s="69">
        <f t="shared" ref="M55:M58" si="14">H55</f>
        <v>0.15</v>
      </c>
    </row>
    <row r="56" spans="3:25" x14ac:dyDescent="0.2">
      <c r="E56" s="5" t="s">
        <v>740</v>
      </c>
      <c r="H56" s="120">
        <v>60</v>
      </c>
      <c r="I56" s="120">
        <v>60</v>
      </c>
      <c r="J56" s="120">
        <v>60</v>
      </c>
      <c r="K56" s="120">
        <v>60</v>
      </c>
      <c r="L56" s="120">
        <v>60</v>
      </c>
      <c r="M56" s="120">
        <f t="shared" si="14"/>
        <v>60</v>
      </c>
    </row>
    <row r="57" spans="3:25" x14ac:dyDescent="0.2">
      <c r="E57" s="5" t="s">
        <v>27</v>
      </c>
      <c r="H57" s="120">
        <v>15</v>
      </c>
      <c r="I57" s="120">
        <v>15</v>
      </c>
      <c r="J57" s="120">
        <v>15</v>
      </c>
      <c r="K57" s="120">
        <v>15</v>
      </c>
      <c r="L57" s="120">
        <v>15</v>
      </c>
      <c r="M57" s="120">
        <f t="shared" si="14"/>
        <v>15</v>
      </c>
    </row>
    <row r="58" spans="3:25" x14ac:dyDescent="0.2">
      <c r="E58" s="5" t="s">
        <v>451</v>
      </c>
      <c r="H58" s="69">
        <v>0.3</v>
      </c>
      <c r="I58" s="69">
        <v>0.3</v>
      </c>
      <c r="J58" s="69">
        <v>0.3</v>
      </c>
      <c r="K58" s="69">
        <v>0.3</v>
      </c>
      <c r="L58" s="69">
        <v>0.3</v>
      </c>
      <c r="M58" s="69">
        <f t="shared" si="14"/>
        <v>0.3</v>
      </c>
    </row>
    <row r="60" spans="3:25" x14ac:dyDescent="0.2">
      <c r="D60" s="198" t="s">
        <v>455</v>
      </c>
    </row>
    <row r="61" spans="3:25" x14ac:dyDescent="0.2">
      <c r="D61" s="65" t="s">
        <v>30</v>
      </c>
      <c r="E61" s="5" t="s">
        <v>742</v>
      </c>
      <c r="H61" s="120">
        <v>15</v>
      </c>
      <c r="I61" s="120">
        <v>15</v>
      </c>
      <c r="J61" s="120">
        <v>15</v>
      </c>
      <c r="K61" s="120">
        <v>15</v>
      </c>
      <c r="L61" s="120">
        <v>15</v>
      </c>
      <c r="M61" s="120">
        <f>H61</f>
        <v>15</v>
      </c>
    </row>
    <row r="62" spans="3:25" x14ac:dyDescent="0.2">
      <c r="E62" s="5" t="s">
        <v>374</v>
      </c>
      <c r="H62" s="120">
        <v>60</v>
      </c>
      <c r="I62" s="120">
        <v>60</v>
      </c>
      <c r="J62" s="120">
        <v>60</v>
      </c>
      <c r="K62" s="120">
        <v>60</v>
      </c>
      <c r="L62" s="120">
        <v>60</v>
      </c>
      <c r="M62" s="120">
        <f>H62</f>
        <v>60</v>
      </c>
    </row>
    <row r="64" spans="3:25" x14ac:dyDescent="0.2">
      <c r="D64" s="198" t="s">
        <v>543</v>
      </c>
    </row>
    <row r="65" spans="3:46" x14ac:dyDescent="0.2">
      <c r="E65" s="5" t="s">
        <v>751</v>
      </c>
      <c r="H65" s="191">
        <f>H66*H67*H33/GenAssumptions!D73</f>
        <v>1545.8461360796096</v>
      </c>
      <c r="I65" s="191">
        <f>I66*I67*I33/GenAssumptions!E73</f>
        <v>1545.8461360796096</v>
      </c>
      <c r="J65" s="191">
        <f>J66*J67*J33/GenAssumptions!F73</f>
        <v>1545.8461360796096</v>
      </c>
      <c r="K65" s="191">
        <f>K66*K67*K33/GenAssumptions!G73</f>
        <v>649.14699974546829</v>
      </c>
      <c r="L65" s="191">
        <f>L66*L67*L33/GenAssumptions!H73</f>
        <v>1759.7141348360569</v>
      </c>
      <c r="M65" s="191">
        <f>M66*M67*M33/GenAssumptions!I73</f>
        <v>1307.1050371329843</v>
      </c>
    </row>
    <row r="66" spans="3:46" x14ac:dyDescent="0.2">
      <c r="E66" s="5" t="s">
        <v>452</v>
      </c>
      <c r="H66" s="69">
        <v>0.35</v>
      </c>
      <c r="I66" s="69">
        <v>0.35</v>
      </c>
      <c r="J66" s="69">
        <v>0.35</v>
      </c>
      <c r="K66" s="69">
        <v>0.35</v>
      </c>
      <c r="L66" s="69">
        <v>0.35</v>
      </c>
      <c r="M66" s="69">
        <f>H66</f>
        <v>0.35</v>
      </c>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row>
    <row r="67" spans="3:46" x14ac:dyDescent="0.2">
      <c r="E67" s="5" t="s">
        <v>453</v>
      </c>
      <c r="H67" s="189">
        <v>3</v>
      </c>
      <c r="I67" s="189">
        <v>3</v>
      </c>
      <c r="J67" s="189">
        <v>3</v>
      </c>
      <c r="K67" s="189">
        <v>3</v>
      </c>
      <c r="L67" s="189">
        <v>3</v>
      </c>
      <c r="M67" s="189">
        <f t="shared" ref="M67:M69" si="15">H67</f>
        <v>3</v>
      </c>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row>
    <row r="68" spans="3:46" x14ac:dyDescent="0.2">
      <c r="E68" s="5" t="s">
        <v>717</v>
      </c>
      <c r="H68" s="120">
        <v>2</v>
      </c>
      <c r="I68" s="120">
        <v>2</v>
      </c>
      <c r="J68" s="120">
        <v>2</v>
      </c>
      <c r="K68" s="120">
        <v>2</v>
      </c>
      <c r="L68" s="120">
        <v>2</v>
      </c>
      <c r="M68" s="120">
        <f t="shared" si="15"/>
        <v>2</v>
      </c>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row>
    <row r="69" spans="3:46" x14ac:dyDescent="0.2">
      <c r="E69" s="5" t="s">
        <v>750</v>
      </c>
      <c r="H69" s="69">
        <v>0.2</v>
      </c>
      <c r="I69" s="69">
        <v>0.2</v>
      </c>
      <c r="J69" s="69">
        <v>0.2</v>
      </c>
      <c r="K69" s="69">
        <v>0.2</v>
      </c>
      <c r="L69" s="69">
        <v>0.2</v>
      </c>
      <c r="M69" s="69">
        <f t="shared" si="15"/>
        <v>0.2</v>
      </c>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row>
    <row r="70" spans="3:46" x14ac:dyDescent="0.2">
      <c r="F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row>
    <row r="72" spans="3:46" s="326" customFormat="1" x14ac:dyDescent="0.2">
      <c r="C72" s="315" t="s">
        <v>693</v>
      </c>
      <c r="F72" s="327"/>
      <c r="G72" s="327"/>
      <c r="H72" s="327"/>
      <c r="I72" s="327"/>
      <c r="J72" s="327"/>
      <c r="K72" s="327"/>
      <c r="L72" s="327"/>
      <c r="M72" s="327"/>
    </row>
    <row r="77" spans="3:46" s="176" customFormat="1" x14ac:dyDescent="0.2">
      <c r="F77" s="177"/>
    </row>
    <row r="80" spans="3:46" x14ac:dyDescent="0.2">
      <c r="E80" s="5" t="s">
        <v>142</v>
      </c>
      <c r="G80" s="25"/>
      <c r="H80" s="25"/>
      <c r="I80" s="25"/>
      <c r="J80" s="25"/>
      <c r="K80" s="25"/>
      <c r="L80" s="25"/>
      <c r="M80" s="25"/>
    </row>
    <row r="81" spans="5:19" x14ac:dyDescent="0.2">
      <c r="E81" s="5" t="str">
        <f>E1</f>
        <v>South Africa</v>
      </c>
      <c r="G81" s="25">
        <f>VLOOKUP(E81,Lists!$D$2:$E$11,2,FALSE)</f>
        <v>10</v>
      </c>
      <c r="H81" s="105"/>
      <c r="I81" s="105"/>
      <c r="J81" s="105"/>
      <c r="K81" s="105"/>
      <c r="L81" s="105"/>
      <c r="M81" s="105"/>
    </row>
    <row r="82" spans="5:19" x14ac:dyDescent="0.2">
      <c r="E82" s="178" t="s">
        <v>438</v>
      </c>
      <c r="F82" s="179"/>
      <c r="G82" s="179"/>
      <c r="H82" s="183">
        <f t="shared" ref="H82:M82" si="16">IF(H27="No",0,1)</f>
        <v>0</v>
      </c>
      <c r="I82" s="183">
        <f t="shared" si="16"/>
        <v>0</v>
      </c>
      <c r="J82" s="183">
        <f t="shared" si="16"/>
        <v>0</v>
      </c>
      <c r="K82" s="183">
        <f t="shared" si="16"/>
        <v>0</v>
      </c>
      <c r="L82" s="183">
        <f t="shared" si="16"/>
        <v>0</v>
      </c>
      <c r="M82" s="185">
        <f t="shared" si="16"/>
        <v>0</v>
      </c>
    </row>
    <row r="83" spans="5:19" x14ac:dyDescent="0.2">
      <c r="E83" s="180" t="s">
        <v>428</v>
      </c>
      <c r="G83" s="25">
        <v>1</v>
      </c>
      <c r="H83" s="184">
        <f>INDEX('H&amp;S Demand'!$K$4:$AN$13,$G$81,$G83)*H$82*H21</f>
        <v>0</v>
      </c>
      <c r="I83" s="184">
        <f>INDEX('H&amp;S Demand'!$K$4:$AN$13,$G$81,$G83)*I$82*I21</f>
        <v>0</v>
      </c>
      <c r="J83" s="184">
        <f>INDEX('H&amp;S Demand'!$K$4:$AN$13,$G$81,$G83)*J$82*J21</f>
        <v>0</v>
      </c>
      <c r="K83" s="184">
        <f>INDEX('H&amp;S Demand'!$K$4:$AN$13,$G$81,$G83)*K$82*K21</f>
        <v>0</v>
      </c>
      <c r="L83" s="184">
        <f>INDEX('H&amp;S Demand'!$K$4:$AN$13,$G$81,$G83)*L$82*L21</f>
        <v>0</v>
      </c>
      <c r="M83" s="184">
        <f>INDEX('H&amp;S Demand'!$K$4:$AN$13,$G$81,$G83)*M$82*M21</f>
        <v>0</v>
      </c>
    </row>
    <row r="84" spans="5:19" x14ac:dyDescent="0.2">
      <c r="E84" s="180" t="s">
        <v>429</v>
      </c>
      <c r="G84" s="25">
        <v>2</v>
      </c>
      <c r="H84" s="184">
        <f>INDEX('H&amp;S Demand'!$K$4:$AN$13,$G$81,$G84)*H$82*H22</f>
        <v>0</v>
      </c>
      <c r="I84" s="184">
        <f>INDEX('H&amp;S Demand'!$K$4:$AN$13,$G$81,$G84)*I$82*I22</f>
        <v>0</v>
      </c>
      <c r="J84" s="184">
        <f>INDEX('H&amp;S Demand'!$K$4:$AN$13,$G$81,$G84)*J$82*J22</f>
        <v>0</v>
      </c>
      <c r="K84" s="184">
        <f>INDEX('H&amp;S Demand'!$K$4:$AN$13,$G$81,$G84)*K$82*K22</f>
        <v>0</v>
      </c>
      <c r="L84" s="184">
        <f>INDEX('H&amp;S Demand'!$K$4:$AN$13,$G$81,$G84)*L$82*L22</f>
        <v>0</v>
      </c>
      <c r="M84" s="184">
        <f>INDEX('H&amp;S Demand'!$K$4:$AN$13,$G$81,$G84)*M$82*M22</f>
        <v>0</v>
      </c>
    </row>
    <row r="85" spans="5:19" x14ac:dyDescent="0.2">
      <c r="E85" s="180" t="s">
        <v>430</v>
      </c>
      <c r="G85" s="25">
        <v>3</v>
      </c>
      <c r="H85" s="184">
        <f>INDEX('H&amp;S Demand'!$K$4:$AN$13,$G$81,$G85)*H$82*H23</f>
        <v>0</v>
      </c>
      <c r="I85" s="184">
        <f>INDEX('H&amp;S Demand'!$K$4:$AN$13,$G$81,$G85)*I$82*I23</f>
        <v>0</v>
      </c>
      <c r="J85" s="184">
        <f>INDEX('H&amp;S Demand'!$K$4:$AN$13,$G$81,$G85)*J$82*J23</f>
        <v>0</v>
      </c>
      <c r="K85" s="184">
        <f>INDEX('H&amp;S Demand'!$K$4:$AN$13,$G$81,$G85)*K$82*K23</f>
        <v>0</v>
      </c>
      <c r="L85" s="184">
        <f>INDEX('H&amp;S Demand'!$K$4:$AN$13,$G$81,$G85)*L$82*L23</f>
        <v>0</v>
      </c>
      <c r="M85" s="184">
        <f>INDEX('H&amp;S Demand'!$K$4:$AN$13,$G$81,$G85)*M$82*M23</f>
        <v>0</v>
      </c>
    </row>
    <row r="86" spans="5:19" x14ac:dyDescent="0.2">
      <c r="E86" s="180" t="s">
        <v>431</v>
      </c>
      <c r="G86" s="25">
        <v>4</v>
      </c>
      <c r="H86" s="184">
        <f>INDEX('H&amp;S Demand'!$K$4:$AN$13,$G$81,$G86)*H$82*H24</f>
        <v>0</v>
      </c>
      <c r="I86" s="184">
        <f>INDEX('H&amp;S Demand'!$K$4:$AN$13,$G$81,$G86)*I$82*I24</f>
        <v>0</v>
      </c>
      <c r="J86" s="184">
        <f>INDEX('H&amp;S Demand'!$K$4:$AN$13,$G$81,$G86)*J$82*J24</f>
        <v>0</v>
      </c>
      <c r="K86" s="184">
        <f>INDEX('H&amp;S Demand'!$K$4:$AN$13,$G$81,$G86)*K$82*K24</f>
        <v>0</v>
      </c>
      <c r="L86" s="184">
        <f>INDEX('H&amp;S Demand'!$K$4:$AN$13,$G$81,$G86)*L$82*L24</f>
        <v>0</v>
      </c>
      <c r="M86" s="184">
        <f>INDEX('H&amp;S Demand'!$K$4:$AN$13,$G$81,$G86)*M$82*M24</f>
        <v>0</v>
      </c>
    </row>
    <row r="87" spans="5:19" x14ac:dyDescent="0.2">
      <c r="E87" s="181" t="s">
        <v>432</v>
      </c>
      <c r="F87" s="182"/>
      <c r="G87" s="25">
        <v>5</v>
      </c>
      <c r="H87" s="184">
        <f>INDEX('H&amp;S Demand'!$K$4:$AN$13,$G$81,$G87)*H$82*H25</f>
        <v>0</v>
      </c>
      <c r="I87" s="184">
        <f>INDEX('H&amp;S Demand'!$K$4:$AN$13,$G$81,$G87)*I$82*I25</f>
        <v>0</v>
      </c>
      <c r="J87" s="184">
        <f>INDEX('H&amp;S Demand'!$K$4:$AN$13,$G$81,$G87)*J$82*J25</f>
        <v>0</v>
      </c>
      <c r="K87" s="184">
        <f>INDEX('H&amp;S Demand'!$K$4:$AN$13,$G$81,$G87)*K$82*K25</f>
        <v>0</v>
      </c>
      <c r="L87" s="184">
        <f>INDEX('H&amp;S Demand'!$K$4:$AN$13,$G$81,$G87)*L$82*L25</f>
        <v>0</v>
      </c>
      <c r="M87" s="184">
        <f>INDEX('H&amp;S Demand'!$K$4:$AN$13,$G$81,$G87)*M$82*M25</f>
        <v>0</v>
      </c>
    </row>
    <row r="88" spans="5:19" x14ac:dyDescent="0.2">
      <c r="E88" s="178" t="s">
        <v>439</v>
      </c>
      <c r="F88" s="179"/>
      <c r="G88" s="179">
        <f>G82+5</f>
        <v>5</v>
      </c>
      <c r="H88" s="183">
        <f t="shared" ref="H88:M88" si="17">IF(H28="No",0,1)</f>
        <v>0</v>
      </c>
      <c r="I88" s="183">
        <f t="shared" si="17"/>
        <v>0</v>
      </c>
      <c r="J88" s="183">
        <f t="shared" si="17"/>
        <v>0</v>
      </c>
      <c r="K88" s="183">
        <f t="shared" si="17"/>
        <v>0</v>
      </c>
      <c r="L88" s="183">
        <f t="shared" si="17"/>
        <v>1</v>
      </c>
      <c r="M88" s="185">
        <f t="shared" si="17"/>
        <v>0</v>
      </c>
    </row>
    <row r="89" spans="5:19" x14ac:dyDescent="0.2">
      <c r="E89" s="180" t="s">
        <v>428</v>
      </c>
      <c r="G89" s="25">
        <v>6</v>
      </c>
      <c r="H89" s="184">
        <f>INDEX('H&amp;S Demand'!$K$4:$AN$13,$G$81,$G89)*H$88*H21</f>
        <v>0</v>
      </c>
      <c r="I89" s="184">
        <f>INDEX('H&amp;S Demand'!$K$4:$AN$13,$G$81,$G89)*I$88*I21</f>
        <v>0</v>
      </c>
      <c r="J89" s="184">
        <f>INDEX('H&amp;S Demand'!$K$4:$AN$13,$G$81,$G89)*J$88*J21</f>
        <v>0</v>
      </c>
      <c r="K89" s="184">
        <f>INDEX('H&amp;S Demand'!$K$4:$AN$13,$G$81,$G89)*K$88*K21</f>
        <v>0</v>
      </c>
      <c r="L89" s="184">
        <f>INDEX('H&amp;S Demand'!$K$4:$AN$13,$G$81,$G89)*L$88*L21</f>
        <v>153577.00812207771</v>
      </c>
      <c r="M89" s="184">
        <f>INDEX('H&amp;S Demand'!$K$4:$AN$13,$G$81,$G89)*M$88*M21</f>
        <v>0</v>
      </c>
    </row>
    <row r="90" spans="5:19" x14ac:dyDescent="0.2">
      <c r="E90" s="180" t="s">
        <v>429</v>
      </c>
      <c r="G90" s="25">
        <v>7</v>
      </c>
      <c r="H90" s="184">
        <f>INDEX('H&amp;S Demand'!$K$4:$AN$13,$G$81,$G90)*H$88*H22</f>
        <v>0</v>
      </c>
      <c r="I90" s="184">
        <f>INDEX('H&amp;S Demand'!$K$4:$AN$13,$G$81,$G90)*I$88*I22</f>
        <v>0</v>
      </c>
      <c r="J90" s="184">
        <f>INDEX('H&amp;S Demand'!$K$4:$AN$13,$G$81,$G90)*J$88*J22</f>
        <v>0</v>
      </c>
      <c r="K90" s="184">
        <f>INDEX('H&amp;S Demand'!$K$4:$AN$13,$G$81,$G90)*K$88*K22</f>
        <v>0</v>
      </c>
      <c r="L90" s="184">
        <f>INDEX('H&amp;S Demand'!$K$4:$AN$13,$G$81,$G90)*L$88*L22</f>
        <v>153027.41906750528</v>
      </c>
      <c r="M90" s="184">
        <f>INDEX('H&amp;S Demand'!$K$4:$AN$13,$G$81,$G90)*M$88*M22</f>
        <v>0</v>
      </c>
    </row>
    <row r="91" spans="5:19" x14ac:dyDescent="0.2">
      <c r="E91" s="180" t="s">
        <v>430</v>
      </c>
      <c r="G91" s="25">
        <v>8</v>
      </c>
      <c r="H91" s="184">
        <f>INDEX('H&amp;S Demand'!$K$4:$AN$13,$G$81,$G91)*H$88*H23</f>
        <v>0</v>
      </c>
      <c r="I91" s="184">
        <f>INDEX('H&amp;S Demand'!$K$4:$AN$13,$G$81,$G91)*I$88*I23</f>
        <v>0</v>
      </c>
      <c r="J91" s="184">
        <f>INDEX('H&amp;S Demand'!$K$4:$AN$13,$G$81,$G91)*J$88*J23</f>
        <v>0</v>
      </c>
      <c r="K91" s="184">
        <f>INDEX('H&amp;S Demand'!$K$4:$AN$13,$G$81,$G91)*K$88*K23</f>
        <v>0</v>
      </c>
      <c r="L91" s="184">
        <f>INDEX('H&amp;S Demand'!$K$4:$AN$13,$G$81,$G91)*L$88*L23</f>
        <v>81346.227984479396</v>
      </c>
      <c r="M91" s="184">
        <f>INDEX('H&amp;S Demand'!$K$4:$AN$13,$G$81,$G91)*M$88*M23</f>
        <v>0</v>
      </c>
    </row>
    <row r="92" spans="5:19" x14ac:dyDescent="0.2">
      <c r="E92" s="180" t="s">
        <v>431</v>
      </c>
      <c r="G92" s="25">
        <v>9</v>
      </c>
      <c r="H92" s="184">
        <f>INDEX('H&amp;S Demand'!$K$4:$AN$13,$G$81,$G92)*H$88*H24</f>
        <v>0</v>
      </c>
      <c r="I92" s="184">
        <f>INDEX('H&amp;S Demand'!$K$4:$AN$13,$G$81,$G92)*I$88*I24</f>
        <v>0</v>
      </c>
      <c r="J92" s="184">
        <f>INDEX('H&amp;S Demand'!$K$4:$AN$13,$G$81,$G92)*J$88*J24</f>
        <v>0</v>
      </c>
      <c r="K92" s="184">
        <f>INDEX('H&amp;S Demand'!$K$4:$AN$13,$G$81,$G92)*K$88*K24</f>
        <v>0</v>
      </c>
      <c r="L92" s="184">
        <f>INDEX('H&amp;S Demand'!$K$4:$AN$13,$G$81,$G92)*L$88*L24</f>
        <v>0</v>
      </c>
      <c r="M92" s="184">
        <f>INDEX('H&amp;S Demand'!$K$4:$AN$13,$G$81,$G92)*M$88*M24</f>
        <v>0</v>
      </c>
    </row>
    <row r="93" spans="5:19" x14ac:dyDescent="0.2">
      <c r="E93" s="181" t="s">
        <v>432</v>
      </c>
      <c r="F93" s="182"/>
      <c r="G93" s="25">
        <v>10</v>
      </c>
      <c r="H93" s="184">
        <f>INDEX('H&amp;S Demand'!$K$4:$AN$13,$G$81,$G93)*H$88*H25</f>
        <v>0</v>
      </c>
      <c r="I93" s="184">
        <f>INDEX('H&amp;S Demand'!$K$4:$AN$13,$G$81,$G93)*I$88*I25</f>
        <v>0</v>
      </c>
      <c r="J93" s="184">
        <f>INDEX('H&amp;S Demand'!$K$4:$AN$13,$G$81,$G93)*J$88*J25</f>
        <v>0</v>
      </c>
      <c r="K93" s="184">
        <f>INDEX('H&amp;S Demand'!$K$4:$AN$13,$G$81,$G93)*K$88*K25</f>
        <v>0</v>
      </c>
      <c r="L93" s="184">
        <f>INDEX('H&amp;S Demand'!$K$4:$AN$13,$G$81,$G93)*L$88*L25</f>
        <v>0</v>
      </c>
      <c r="M93" s="184">
        <f>INDEX('H&amp;S Demand'!$K$4:$AN$13,$G$81,$G93)*M$88*M25</f>
        <v>0</v>
      </c>
    </row>
    <row r="94" spans="5:19" x14ac:dyDescent="0.2">
      <c r="E94" s="178" t="s">
        <v>440</v>
      </c>
      <c r="F94" s="179"/>
      <c r="G94" s="179">
        <f>G88+5</f>
        <v>10</v>
      </c>
      <c r="H94" s="183">
        <f t="shared" ref="H94:M94" si="18">IF(H29="No",0,1)</f>
        <v>1</v>
      </c>
      <c r="I94" s="183">
        <f t="shared" si="18"/>
        <v>1</v>
      </c>
      <c r="J94" s="183">
        <f t="shared" si="18"/>
        <v>1</v>
      </c>
      <c r="K94" s="183">
        <f t="shared" si="18"/>
        <v>1</v>
      </c>
      <c r="L94" s="183">
        <f t="shared" si="18"/>
        <v>1</v>
      </c>
      <c r="M94" s="185">
        <f t="shared" si="18"/>
        <v>1</v>
      </c>
      <c r="Q94" s="79" t="s">
        <v>1277</v>
      </c>
    </row>
    <row r="95" spans="5:19" x14ac:dyDescent="0.2">
      <c r="E95" s="180" t="s">
        <v>428</v>
      </c>
      <c r="G95" s="25">
        <v>11</v>
      </c>
      <c r="H95" s="184">
        <f>INDEX('H&amp;S Demand'!$K$4:$AN$13,$G$81,$G95)*H$94*H21</f>
        <v>187753.50761439267</v>
      </c>
      <c r="I95" s="184">
        <f>INDEX('H&amp;S Demand'!$K$4:$AN$13,$G$81,$G95)*I$94*I21</f>
        <v>187753.50761439267</v>
      </c>
      <c r="J95" s="184">
        <f>INDEX('H&amp;S Demand'!$K$4:$AN$13,$G$81,$G95)*J$94*J21</f>
        <v>187753.50761439267</v>
      </c>
      <c r="K95" s="184">
        <f>INDEX('H&amp;S Demand'!$K$4:$AN$13,$G$81,$G95)*K$94*K21</f>
        <v>72754.484200577164</v>
      </c>
      <c r="L95" s="184">
        <f>INDEX('H&amp;S Demand'!$K$4:$AN$13,$G$81,$G95)*L$94*L21</f>
        <v>152549.72493669405</v>
      </c>
      <c r="M95" s="184">
        <f>INDEX('H&amp;S Demand'!$K$4:$AN$13,$G$81,$G95)*M$94*M21</f>
        <v>152549.72493669405</v>
      </c>
      <c r="P95" s="79" t="s">
        <v>1278</v>
      </c>
      <c r="Q95" s="622">
        <f>H83+H89+H95+H101</f>
        <v>371367.57256055594</v>
      </c>
      <c r="R95" s="622">
        <f>M83+M89+M95+M101</f>
        <v>301736.15270545171</v>
      </c>
      <c r="S95" s="625">
        <f>R95-Q95</f>
        <v>-69631.419855104235</v>
      </c>
    </row>
    <row r="96" spans="5:19" x14ac:dyDescent="0.2">
      <c r="E96" s="180" t="s">
        <v>429</v>
      </c>
      <c r="G96" s="25">
        <v>12</v>
      </c>
      <c r="H96" s="184">
        <f>INDEX('H&amp;S Demand'!$K$4:$AN$13,$G$81,$G96)*H$94*H22</f>
        <v>186769.85237152982</v>
      </c>
      <c r="I96" s="184">
        <f>INDEX('H&amp;S Demand'!$K$4:$AN$13,$G$81,$G96)*I$94*I22</f>
        <v>186769.85237152982</v>
      </c>
      <c r="J96" s="184">
        <f>INDEX('H&amp;S Demand'!$K$4:$AN$13,$G$81,$G96)*J$94*J22</f>
        <v>186769.85237152982</v>
      </c>
      <c r="K96" s="184">
        <f>INDEX('H&amp;S Demand'!$K$4:$AN$13,$G$81,$G96)*K$94*K22</f>
        <v>72373.317793967799</v>
      </c>
      <c r="L96" s="184">
        <f>INDEX('H&amp;S Demand'!$K$4:$AN$13,$G$81,$G96)*L$94*L22</f>
        <v>151750.50505186798</v>
      </c>
      <c r="M96" s="184">
        <f>INDEX('H&amp;S Demand'!$K$4:$AN$13,$G$81,$G96)*M$94*M22</f>
        <v>151750.50505186798</v>
      </c>
      <c r="P96" s="79" t="s">
        <v>1279</v>
      </c>
      <c r="Q96" s="622">
        <f t="shared" ref="Q96" si="19">H84+H90+H96+H102</f>
        <v>369231.83657139586</v>
      </c>
      <c r="R96" s="622">
        <f>M84+M90+M96+M102</f>
        <v>300000.86721425911</v>
      </c>
      <c r="S96" s="625">
        <f t="shared" ref="S96:S97" si="20">R96-Q96</f>
        <v>-69230.969357136753</v>
      </c>
    </row>
    <row r="97" spans="5:19" x14ac:dyDescent="0.2">
      <c r="E97" s="180" t="s">
        <v>430</v>
      </c>
      <c r="G97" s="25">
        <v>13</v>
      </c>
      <c r="H97" s="184">
        <f>INDEX('H&amp;S Demand'!$K$4:$AN$13,$G$81,$G97)*H$94*H23</f>
        <v>80409.557758288123</v>
      </c>
      <c r="I97" s="184">
        <f>INDEX('H&amp;S Demand'!$K$4:$AN$13,$G$81,$G97)*I$94*I23</f>
        <v>80409.557758288123</v>
      </c>
      <c r="J97" s="184">
        <f>INDEX('H&amp;S Demand'!$K$4:$AN$13,$G$81,$G97)*J$94*J23</f>
        <v>80409.557758288123</v>
      </c>
      <c r="K97" s="184">
        <f>INDEX('H&amp;S Demand'!$K$4:$AN$13,$G$81,$G97)*K$94*K23</f>
        <v>45948.318719021794</v>
      </c>
      <c r="L97" s="184">
        <f>INDEX('H&amp;S Demand'!$K$4:$AN$13,$G$81,$G97)*L$94*L23</f>
        <v>80409.557758288123</v>
      </c>
      <c r="M97" s="184">
        <f>INDEX('H&amp;S Demand'!$K$4:$AN$13,$G$81,$G97)*M$94*M23</f>
        <v>80409.557758288123</v>
      </c>
      <c r="P97" s="79" t="s">
        <v>1280</v>
      </c>
      <c r="Q97" s="622">
        <f>H85+H91+H97+H103</f>
        <v>158744.48627807377</v>
      </c>
      <c r="R97" s="622">
        <f>M85+M91+M97+M103</f>
        <v>158744.48627807377</v>
      </c>
      <c r="S97" s="625">
        <f t="shared" si="20"/>
        <v>0</v>
      </c>
    </row>
    <row r="98" spans="5:19" x14ac:dyDescent="0.2">
      <c r="E98" s="180" t="s">
        <v>431</v>
      </c>
      <c r="G98" s="25">
        <v>14</v>
      </c>
      <c r="H98" s="184">
        <f>INDEX('H&amp;S Demand'!$K$4:$AN$13,$G$81,$G98)*H$94*H24</f>
        <v>0</v>
      </c>
      <c r="I98" s="184">
        <f>INDEX('H&amp;S Demand'!$K$4:$AN$13,$G$81,$G98)*I$94*I24</f>
        <v>0</v>
      </c>
      <c r="J98" s="184">
        <f>INDEX('H&amp;S Demand'!$K$4:$AN$13,$G$81,$G98)*J$94*J24</f>
        <v>0</v>
      </c>
      <c r="K98" s="184">
        <f>INDEX('H&amp;S Demand'!$K$4:$AN$13,$G$81,$G98)*K$94*K24</f>
        <v>0</v>
      </c>
      <c r="L98" s="184">
        <f>INDEX('H&amp;S Demand'!$K$4:$AN$13,$G$81,$G98)*L$94*L24</f>
        <v>0</v>
      </c>
      <c r="M98" s="184">
        <f>INDEX('H&amp;S Demand'!$K$4:$AN$13,$G$81,$G98)*M$94*M24</f>
        <v>0</v>
      </c>
    </row>
    <row r="99" spans="5:19" x14ac:dyDescent="0.2">
      <c r="E99" s="181" t="s">
        <v>432</v>
      </c>
      <c r="F99" s="182"/>
      <c r="G99" s="25">
        <v>15</v>
      </c>
      <c r="H99" s="184">
        <f>INDEX('H&amp;S Demand'!$K$4:$AN$13,$G$81,$G99)*H$94*H25</f>
        <v>0</v>
      </c>
      <c r="I99" s="184">
        <f>INDEX('H&amp;S Demand'!$K$4:$AN$13,$G$81,$G99)*I$94*I25</f>
        <v>0</v>
      </c>
      <c r="J99" s="184">
        <f>INDEX('H&amp;S Demand'!$K$4:$AN$13,$G$81,$G99)*J$94*J25</f>
        <v>0</v>
      </c>
      <c r="K99" s="184">
        <f>INDEX('H&amp;S Demand'!$K$4:$AN$13,$G$81,$G99)*K$94*K25</f>
        <v>0</v>
      </c>
      <c r="L99" s="184">
        <f>INDEX('H&amp;S Demand'!$K$4:$AN$13,$G$81,$G99)*L$94*L25</f>
        <v>0</v>
      </c>
      <c r="M99" s="184">
        <f>INDEX('H&amp;S Demand'!$K$4:$AN$13,$G$81,$G99)*M$94*M25</f>
        <v>0</v>
      </c>
    </row>
    <row r="100" spans="5:19" x14ac:dyDescent="0.2">
      <c r="E100" s="178" t="s">
        <v>441</v>
      </c>
      <c r="F100" s="179"/>
      <c r="G100" s="179">
        <f>G94+5</f>
        <v>15</v>
      </c>
      <c r="H100" s="183">
        <f t="shared" ref="H100:M100" si="21">IF(H30="No",0,1)</f>
        <v>1</v>
      </c>
      <c r="I100" s="183">
        <f t="shared" si="21"/>
        <v>1</v>
      </c>
      <c r="J100" s="183">
        <f t="shared" si="21"/>
        <v>1</v>
      </c>
      <c r="K100" s="183">
        <f t="shared" si="21"/>
        <v>1</v>
      </c>
      <c r="L100" s="183">
        <f t="shared" si="21"/>
        <v>1</v>
      </c>
      <c r="M100" s="185">
        <f t="shared" si="21"/>
        <v>1</v>
      </c>
    </row>
    <row r="101" spans="5:19" x14ac:dyDescent="0.2">
      <c r="E101" s="180" t="s">
        <v>428</v>
      </c>
      <c r="G101" s="25">
        <v>16</v>
      </c>
      <c r="H101" s="184">
        <f>INDEX('H&amp;S Demand'!$K$4:$AN$13,$G$81,$G101)*H$100*H21</f>
        <v>183614.06494616327</v>
      </c>
      <c r="I101" s="184">
        <f>INDEX('H&amp;S Demand'!$K$4:$AN$13,$G$81,$G101)*I$100*I21</f>
        <v>183614.06494616327</v>
      </c>
      <c r="J101" s="184">
        <f>INDEX('H&amp;S Demand'!$K$4:$AN$13,$G$81,$G101)*J$100*J21</f>
        <v>183614.06494616327</v>
      </c>
      <c r="K101" s="184">
        <f>INDEX('H&amp;S Demand'!$K$4:$AN$13,$G$81,$G101)*K$100*K21</f>
        <v>71150.450166638257</v>
      </c>
      <c r="L101" s="184">
        <f>INDEX('H&amp;S Demand'!$K$4:$AN$13,$G$81,$G101)*L$100*L21</f>
        <v>149186.42776875765</v>
      </c>
      <c r="M101" s="184">
        <f>INDEX('H&amp;S Demand'!$K$4:$AN$13,$G$81,$G101)*M$100*M21</f>
        <v>149186.42776875765</v>
      </c>
    </row>
    <row r="102" spans="5:19" x14ac:dyDescent="0.2">
      <c r="E102" s="180" t="s">
        <v>429</v>
      </c>
      <c r="G102" s="25">
        <v>17</v>
      </c>
      <c r="H102" s="184">
        <f>INDEX('H&amp;S Demand'!$K$4:$AN$13,$G$81,$G102)*H$100*H22</f>
        <v>182461.98419986604</v>
      </c>
      <c r="I102" s="184">
        <f>INDEX('H&amp;S Demand'!$K$4:$AN$13,$G$81,$G102)*I$100*I22</f>
        <v>182461.98419986604</v>
      </c>
      <c r="J102" s="184">
        <f>INDEX('H&amp;S Demand'!$K$4:$AN$13,$G$81,$G102)*J$100*J22</f>
        <v>182461.98419986604</v>
      </c>
      <c r="K102" s="184">
        <f>INDEX('H&amp;S Demand'!$K$4:$AN$13,$G$81,$G102)*K$100*K22</f>
        <v>70704.018877448078</v>
      </c>
      <c r="L102" s="184">
        <f>INDEX('H&amp;S Demand'!$K$4:$AN$13,$G$81,$G102)*L$100*L22</f>
        <v>148250.36216239116</v>
      </c>
      <c r="M102" s="184">
        <f>INDEX('H&amp;S Demand'!$K$4:$AN$13,$G$81,$G102)*M$100*M22</f>
        <v>148250.36216239116</v>
      </c>
    </row>
    <row r="103" spans="5:19" x14ac:dyDescent="0.2">
      <c r="E103" s="180" t="s">
        <v>430</v>
      </c>
      <c r="G103" s="25">
        <v>18</v>
      </c>
      <c r="H103" s="184">
        <f>INDEX('H&amp;S Demand'!$K$4:$AN$13,$G$81,$G103)*H$100*H23</f>
        <v>78334.928519785652</v>
      </c>
      <c r="I103" s="184">
        <f>INDEX('H&amp;S Demand'!$K$4:$AN$13,$G$81,$G103)*I$100*I23</f>
        <v>78334.928519785652</v>
      </c>
      <c r="J103" s="184">
        <f>INDEX('H&amp;S Demand'!$K$4:$AN$13,$G$81,$G103)*J$100*J23</f>
        <v>78334.928519785652</v>
      </c>
      <c r="K103" s="184">
        <f>INDEX('H&amp;S Demand'!$K$4:$AN$13,$G$81,$G103)*K$100*K23</f>
        <v>44762.816297020378</v>
      </c>
      <c r="L103" s="184">
        <f>INDEX('H&amp;S Demand'!$K$4:$AN$13,$G$81,$G103)*L$100*L23</f>
        <v>78334.928519785652</v>
      </c>
      <c r="M103" s="184">
        <f>INDEX('H&amp;S Demand'!$K$4:$AN$13,$G$81,$G103)*M$100*M23</f>
        <v>78334.928519785652</v>
      </c>
    </row>
    <row r="104" spans="5:19" x14ac:dyDescent="0.2">
      <c r="E104" s="180" t="s">
        <v>431</v>
      </c>
      <c r="G104" s="25">
        <v>19</v>
      </c>
      <c r="H104" s="184">
        <f>INDEX('H&amp;S Demand'!$K$4:$AN$13,$G$81,$G104)*H$100*H24</f>
        <v>0</v>
      </c>
      <c r="I104" s="184">
        <f>INDEX('H&amp;S Demand'!$K$4:$AN$13,$G$81,$G104)*I$100*I24</f>
        <v>0</v>
      </c>
      <c r="J104" s="184">
        <f>INDEX('H&amp;S Demand'!$K$4:$AN$13,$G$81,$G104)*J$100*J24</f>
        <v>0</v>
      </c>
      <c r="K104" s="184">
        <f>INDEX('H&amp;S Demand'!$K$4:$AN$13,$G$81,$G104)*K$100*K24</f>
        <v>0</v>
      </c>
      <c r="L104" s="184">
        <f>INDEX('H&amp;S Demand'!$K$4:$AN$13,$G$81,$G104)*L$100*L24</f>
        <v>0</v>
      </c>
      <c r="M104" s="184">
        <f>INDEX('H&amp;S Demand'!$K$4:$AN$13,$G$81,$G104)*M$100*M24</f>
        <v>0</v>
      </c>
    </row>
    <row r="105" spans="5:19" x14ac:dyDescent="0.2">
      <c r="E105" s="181" t="s">
        <v>432</v>
      </c>
      <c r="F105" s="182"/>
      <c r="G105" s="25">
        <v>20</v>
      </c>
      <c r="H105" s="184">
        <f>INDEX('H&amp;S Demand'!$K$4:$AN$13,$G$81,$G105)*H$100*H25</f>
        <v>0</v>
      </c>
      <c r="I105" s="184">
        <f>INDEX('H&amp;S Demand'!$K$4:$AN$13,$G$81,$G105)*I$100*I25</f>
        <v>0</v>
      </c>
      <c r="J105" s="184">
        <f>INDEX('H&amp;S Demand'!$K$4:$AN$13,$G$81,$G105)*J$100*J25</f>
        <v>0</v>
      </c>
      <c r="K105" s="184">
        <f>INDEX('H&amp;S Demand'!$K$4:$AN$13,$G$81,$G105)*K$100*K25</f>
        <v>0</v>
      </c>
      <c r="L105" s="184">
        <f>INDEX('H&amp;S Demand'!$K$4:$AN$13,$G$81,$G105)*L$100*L25</f>
        <v>0</v>
      </c>
      <c r="M105" s="184">
        <f>INDEX('H&amp;S Demand'!$K$4:$AN$13,$G$81,$G105)*M$100*M25</f>
        <v>0</v>
      </c>
    </row>
    <row r="106" spans="5:19" x14ac:dyDescent="0.2">
      <c r="E106" s="178" t="s">
        <v>1015</v>
      </c>
      <c r="G106" s="25">
        <v>20</v>
      </c>
      <c r="H106" s="183">
        <f>IF(H31="No",0,1)</f>
        <v>1</v>
      </c>
      <c r="I106" s="183">
        <f t="shared" ref="I106:M106" si="22">IF(I31="No",0,1)</f>
        <v>1</v>
      </c>
      <c r="J106" s="183">
        <f t="shared" si="22"/>
        <v>1</v>
      </c>
      <c r="K106" s="183">
        <f t="shared" si="22"/>
        <v>1</v>
      </c>
      <c r="L106" s="183">
        <f t="shared" si="22"/>
        <v>1</v>
      </c>
      <c r="M106" s="183">
        <f t="shared" si="22"/>
        <v>1</v>
      </c>
    </row>
    <row r="107" spans="5:19" x14ac:dyDescent="0.2">
      <c r="E107" s="180" t="s">
        <v>428</v>
      </c>
      <c r="G107" s="25">
        <v>21</v>
      </c>
      <c r="H107" s="436">
        <f>INDEX('H&amp;S Demand'!$K$4:$AN$13,$G$81,$G107)*H$106*H21</f>
        <v>176033.10563683047</v>
      </c>
      <c r="I107" s="436">
        <f>INDEX('H&amp;S Demand'!$K$4:$AN$13,$G$81,$G107)*I$106*I21</f>
        <v>176033.10563683047</v>
      </c>
      <c r="J107" s="436">
        <f>INDEX('H&amp;S Demand'!$K$4:$AN$13,$G$81,$G107)*J$106*J21</f>
        <v>176033.10563683047</v>
      </c>
      <c r="K107" s="436">
        <f>INDEX('H&amp;S Demand'!$K$4:$AN$13,$G$81,$G107)*K$106*K21</f>
        <v>68212.828434271811</v>
      </c>
      <c r="L107" s="436">
        <f>INDEX('H&amp;S Demand'!$K$4:$AN$13,$G$81,$G107)*L$106*L21</f>
        <v>143026.89832992476</v>
      </c>
      <c r="M107" s="436">
        <f>INDEX('H&amp;S Demand'!$K$4:$AN$13,$G$81,$G107)*M$106*M21</f>
        <v>143026.89832992476</v>
      </c>
    </row>
    <row r="108" spans="5:19" x14ac:dyDescent="0.2">
      <c r="E108" s="180" t="s">
        <v>429</v>
      </c>
      <c r="G108" s="25">
        <v>22</v>
      </c>
      <c r="H108" s="436">
        <f>INDEX('H&amp;S Demand'!$K$4:$AN$13,$G$81,$G108)*H$106*H22</f>
        <v>174755.36613007673</v>
      </c>
      <c r="I108" s="436">
        <f>INDEX('H&amp;S Demand'!$K$4:$AN$13,$G$81,$G108)*I$106*I22</f>
        <v>174755.36613007673</v>
      </c>
      <c r="J108" s="436">
        <f>INDEX('H&amp;S Demand'!$K$4:$AN$13,$G$81,$G108)*J$106*J22</f>
        <v>174755.36613007673</v>
      </c>
      <c r="K108" s="436">
        <f>INDEX('H&amp;S Demand'!$K$4:$AN$13,$G$81,$G108)*K$106*K22</f>
        <v>67717.704375404734</v>
      </c>
      <c r="L108" s="436">
        <f>INDEX('H&amp;S Demand'!$K$4:$AN$13,$G$81,$G108)*L$106*L22</f>
        <v>141988.73498068735</v>
      </c>
      <c r="M108" s="436">
        <f>INDEX('H&amp;S Demand'!$K$4:$AN$13,$G$81,$G108)*M$106*M22</f>
        <v>141988.73498068735</v>
      </c>
    </row>
    <row r="109" spans="5:19" x14ac:dyDescent="0.2">
      <c r="E109" s="180" t="s">
        <v>430</v>
      </c>
      <c r="G109" s="25">
        <v>23</v>
      </c>
      <c r="H109" s="436">
        <f>INDEX('H&amp;S Demand'!$K$4:$AN$13,$G$81,$G109)*H$106*H23</f>
        <v>74878.606605589986</v>
      </c>
      <c r="I109" s="436">
        <f>INDEX('H&amp;S Demand'!$K$4:$AN$13,$G$81,$G109)*I$106*I23</f>
        <v>74878.606605589986</v>
      </c>
      <c r="J109" s="436">
        <f>INDEX('H&amp;S Demand'!$K$4:$AN$13,$G$81,$G109)*J$106*J23</f>
        <v>74878.606605589986</v>
      </c>
      <c r="K109" s="436">
        <f>INDEX('H&amp;S Demand'!$K$4:$AN$13,$G$81,$G109)*K$106*K23</f>
        <v>42787.775203194287</v>
      </c>
      <c r="L109" s="436">
        <f>INDEX('H&amp;S Demand'!$K$4:$AN$13,$G$81,$G109)*L$106*L23</f>
        <v>74878.606605589986</v>
      </c>
      <c r="M109" s="436">
        <f>INDEX('H&amp;S Demand'!$K$4:$AN$13,$G$81,$G109)*M$106*M23</f>
        <v>74878.606605589986</v>
      </c>
    </row>
    <row r="110" spans="5:19" x14ac:dyDescent="0.2">
      <c r="E110" s="180" t="s">
        <v>431</v>
      </c>
      <c r="G110" s="25">
        <v>24</v>
      </c>
      <c r="H110" s="436">
        <f>INDEX('H&amp;S Demand'!$K$4:$AN$13,$G$81,$G110)*H$106*H24</f>
        <v>0</v>
      </c>
      <c r="I110" s="436">
        <f>INDEX('H&amp;S Demand'!$K$4:$AN$13,$G$81,$G110)*I$106*I24</f>
        <v>0</v>
      </c>
      <c r="J110" s="436">
        <f>INDEX('H&amp;S Demand'!$K$4:$AN$13,$G$81,$G110)*J$106*J24</f>
        <v>0</v>
      </c>
      <c r="K110" s="436">
        <f>INDEX('H&amp;S Demand'!$K$4:$AN$13,$G$81,$G110)*K$106*K24</f>
        <v>0</v>
      </c>
      <c r="L110" s="436">
        <f>INDEX('H&amp;S Demand'!$K$4:$AN$13,$G$81,$G110)*L$106*L24</f>
        <v>0</v>
      </c>
      <c r="M110" s="436">
        <f>INDEX('H&amp;S Demand'!$K$4:$AN$13,$G$81,$G110)*M$106*M24</f>
        <v>0</v>
      </c>
    </row>
    <row r="111" spans="5:19" x14ac:dyDescent="0.2">
      <c r="E111" s="181" t="s">
        <v>432</v>
      </c>
      <c r="G111" s="25">
        <v>25</v>
      </c>
      <c r="H111" s="436">
        <f>INDEX('H&amp;S Demand'!$K$4:$AN$13,$G$81,$G111)*H$106*H25</f>
        <v>0</v>
      </c>
      <c r="I111" s="436">
        <f>INDEX('H&amp;S Demand'!$K$4:$AN$13,$G$81,$G111)*I$106*I25</f>
        <v>0</v>
      </c>
      <c r="J111" s="436">
        <f>INDEX('H&amp;S Demand'!$K$4:$AN$13,$G$81,$G111)*J$106*J25</f>
        <v>0</v>
      </c>
      <c r="K111" s="436">
        <f>INDEX('H&amp;S Demand'!$K$4:$AN$13,$G$81,$G111)*K$106*K25</f>
        <v>0</v>
      </c>
      <c r="L111" s="436">
        <f>INDEX('H&amp;S Demand'!$K$4:$AN$13,$G$81,$G111)*L$106*L25</f>
        <v>0</v>
      </c>
      <c r="M111" s="436">
        <f>INDEX('H&amp;S Demand'!$K$4:$AN$13,$G$81,$G111)*M$106*M25</f>
        <v>0</v>
      </c>
    </row>
    <row r="112" spans="5:19" x14ac:dyDescent="0.2">
      <c r="E112" s="72"/>
      <c r="G112" s="25"/>
      <c r="H112" s="399"/>
      <c r="I112" s="399"/>
      <c r="J112" s="399"/>
      <c r="K112" s="399"/>
      <c r="L112" s="399"/>
      <c r="M112" s="399"/>
    </row>
    <row r="114" spans="4:19" x14ac:dyDescent="0.2">
      <c r="E114" s="5" t="s">
        <v>598</v>
      </c>
      <c r="Q114" s="79" t="s">
        <v>1281</v>
      </c>
    </row>
    <row r="115" spans="4:19" x14ac:dyDescent="0.2">
      <c r="E115" s="65" t="s">
        <v>438</v>
      </c>
      <c r="H115" s="184">
        <f>SUM(H83:H87)</f>
        <v>0</v>
      </c>
      <c r="I115" s="184">
        <f t="shared" ref="I115:M115" si="23">SUM(I83:I87)</f>
        <v>0</v>
      </c>
      <c r="J115" s="184">
        <f t="shared" si="23"/>
        <v>0</v>
      </c>
      <c r="K115" s="184">
        <f t="shared" si="23"/>
        <v>0</v>
      </c>
      <c r="L115" s="184">
        <f t="shared" si="23"/>
        <v>0</v>
      </c>
      <c r="M115" s="184">
        <f t="shared" si="23"/>
        <v>0</v>
      </c>
      <c r="Q115" s="626">
        <f>H115-M115</f>
        <v>0</v>
      </c>
    </row>
    <row r="116" spans="4:19" x14ac:dyDescent="0.2">
      <c r="E116" s="65" t="s">
        <v>439</v>
      </c>
      <c r="H116" s="184">
        <f>SUM(H89:H93)</f>
        <v>0</v>
      </c>
      <c r="I116" s="184">
        <f t="shared" ref="I116:M116" si="24">SUM(I89:I93)</f>
        <v>0</v>
      </c>
      <c r="J116" s="184">
        <f t="shared" si="24"/>
        <v>0</v>
      </c>
      <c r="K116" s="184">
        <f t="shared" si="24"/>
        <v>0</v>
      </c>
      <c r="L116" s="184">
        <f t="shared" si="24"/>
        <v>387950.65517406235</v>
      </c>
      <c r="M116" s="184">
        <f t="shared" si="24"/>
        <v>0</v>
      </c>
      <c r="Q116" s="626">
        <f>H116-M116</f>
        <v>0</v>
      </c>
    </row>
    <row r="117" spans="4:19" x14ac:dyDescent="0.2">
      <c r="E117" s="65" t="s">
        <v>440</v>
      </c>
      <c r="H117" s="184">
        <f>SUM(H95:H99)</f>
        <v>454932.91774421057</v>
      </c>
      <c r="I117" s="184">
        <f t="shared" ref="I117:M117" si="25">SUM(I95:I99)</f>
        <v>454932.91774421057</v>
      </c>
      <c r="J117" s="184">
        <f t="shared" si="25"/>
        <v>454932.91774421057</v>
      </c>
      <c r="K117" s="184">
        <f t="shared" si="25"/>
        <v>191076.12071356678</v>
      </c>
      <c r="L117" s="184">
        <f t="shared" si="25"/>
        <v>384709.78774685017</v>
      </c>
      <c r="M117" s="184">
        <f t="shared" si="25"/>
        <v>384709.78774685017</v>
      </c>
      <c r="Q117" s="626">
        <f>H117-M117</f>
        <v>70223.129997360404</v>
      </c>
    </row>
    <row r="118" spans="4:19" x14ac:dyDescent="0.2">
      <c r="E118" s="65" t="s">
        <v>441</v>
      </c>
      <c r="H118" s="184">
        <f>SUM(H101:H105)</f>
        <v>444410.97766581492</v>
      </c>
      <c r="I118" s="184">
        <f t="shared" ref="I118:M118" si="26">SUM(I101:I105)</f>
        <v>444410.97766581492</v>
      </c>
      <c r="J118" s="184">
        <f t="shared" si="26"/>
        <v>444410.97766581492</v>
      </c>
      <c r="K118" s="184">
        <f t="shared" si="26"/>
        <v>186617.28534110673</v>
      </c>
      <c r="L118" s="184">
        <f t="shared" si="26"/>
        <v>375771.71845093445</v>
      </c>
      <c r="M118" s="184">
        <f t="shared" si="26"/>
        <v>375771.71845093445</v>
      </c>
      <c r="Q118" s="626">
        <f>H118-M118</f>
        <v>68639.259214880469</v>
      </c>
    </row>
    <row r="119" spans="4:19" x14ac:dyDescent="0.2">
      <c r="E119" s="623" t="s">
        <v>1015</v>
      </c>
      <c r="F119" s="177"/>
      <c r="G119" s="176"/>
      <c r="H119" s="624">
        <f>SUM(H107:H111)</f>
        <v>425667.07837249717</v>
      </c>
      <c r="I119" s="624">
        <f t="shared" ref="I119:L119" si="27">SUM(I107:I111)</f>
        <v>425667.07837249717</v>
      </c>
      <c r="J119" s="624">
        <f t="shared" si="27"/>
        <v>425667.07837249717</v>
      </c>
      <c r="K119" s="624">
        <f t="shared" si="27"/>
        <v>178718.30801287084</v>
      </c>
      <c r="L119" s="624">
        <f t="shared" si="27"/>
        <v>359894.23991620209</v>
      </c>
      <c r="M119" s="624">
        <f>SUM(M107:M111)</f>
        <v>359894.23991620209</v>
      </c>
    </row>
    <row r="120" spans="4:19" x14ac:dyDescent="0.2">
      <c r="H120" s="187">
        <f>SUM(H115:H119)</f>
        <v>1325010.9737825226</v>
      </c>
      <c r="I120" s="187">
        <f t="shared" ref="I120:L120" si="28">SUM(I115:I119)</f>
        <v>1325010.9737825226</v>
      </c>
      <c r="J120" s="187">
        <f t="shared" si="28"/>
        <v>1325010.9737825226</v>
      </c>
      <c r="K120" s="187">
        <f t="shared" si="28"/>
        <v>556411.71406754432</v>
      </c>
      <c r="L120" s="187">
        <f t="shared" si="28"/>
        <v>1508326.4012880491</v>
      </c>
      <c r="M120" s="187">
        <f>SUM(M115:M119)</f>
        <v>1120375.7461139867</v>
      </c>
    </row>
    <row r="122" spans="4:19" x14ac:dyDescent="0.2">
      <c r="D122" s="77" t="s">
        <v>454</v>
      </c>
    </row>
    <row r="123" spans="4:19" x14ac:dyDescent="0.2">
      <c r="E123" s="206" t="s">
        <v>755</v>
      </c>
      <c r="H123" s="206">
        <f t="shared" ref="H123:M123" si="29">IF($E$1="South Africa",9,1)</f>
        <v>9</v>
      </c>
      <c r="I123" s="206">
        <f t="shared" si="29"/>
        <v>9</v>
      </c>
      <c r="J123" s="206">
        <f t="shared" si="29"/>
        <v>9</v>
      </c>
      <c r="K123" s="206">
        <f t="shared" si="29"/>
        <v>9</v>
      </c>
      <c r="L123" s="206">
        <f t="shared" si="29"/>
        <v>9</v>
      </c>
      <c r="M123" s="206">
        <f t="shared" si="29"/>
        <v>9</v>
      </c>
    </row>
    <row r="124" spans="4:19" x14ac:dyDescent="0.2">
      <c r="E124" s="206" t="s">
        <v>2</v>
      </c>
      <c r="H124" s="184">
        <f>GenAssumptions!D16*'PDSD (2)'!H42*H123</f>
        <v>212664.42</v>
      </c>
      <c r="I124" s="184">
        <f>GenAssumptions!E16*'PDSD (2)'!I42*I123</f>
        <v>226700.27172000002</v>
      </c>
      <c r="J124" s="184">
        <f>GenAssumptions!F16*'PDSD (2)'!J42*J123</f>
        <v>241662.48965352005</v>
      </c>
      <c r="K124" s="184">
        <f>GenAssumptions!G16*'PDSD (2)'!K42*K123</f>
        <v>212664.42</v>
      </c>
      <c r="L124" s="184">
        <f>GenAssumptions!H16*'PDSD (2)'!L42*L123</f>
        <v>212664.42</v>
      </c>
      <c r="M124" s="184">
        <f>GenAssumptions!I16*'PDSD (2)'!M42*M123</f>
        <v>212664.42</v>
      </c>
      <c r="P124" s="79" t="s">
        <v>865</v>
      </c>
      <c r="R124" s="356" t="s">
        <v>984</v>
      </c>
      <c r="S124" s="359" t="str">
        <f>CONCATENATE(P124,R124)</f>
        <v>COEPM</v>
      </c>
    </row>
    <row r="125" spans="4:19" x14ac:dyDescent="0.2">
      <c r="E125" s="206" t="s">
        <v>3</v>
      </c>
      <c r="H125" s="184">
        <f>GenAssumptions!D17*'PDSD (2)'!H43*H123</f>
        <v>434205.9</v>
      </c>
      <c r="I125" s="184">
        <f>GenAssumptions!E17*'PDSD (2)'!I43*I123</f>
        <v>462863.48940000002</v>
      </c>
      <c r="J125" s="184">
        <f>GenAssumptions!F17*'PDSD (2)'!J43*J123</f>
        <v>493412.47970040003</v>
      </c>
      <c r="K125" s="184">
        <f>GenAssumptions!G17*'PDSD (2)'!K43*K123</f>
        <v>434205.9</v>
      </c>
      <c r="L125" s="184">
        <f>GenAssumptions!H17*'PDSD (2)'!L43*L123</f>
        <v>434205.9</v>
      </c>
      <c r="M125" s="184">
        <f>GenAssumptions!I17*'PDSD (2)'!M43*M123</f>
        <v>434205.9</v>
      </c>
      <c r="P125" s="79" t="s">
        <v>865</v>
      </c>
      <c r="R125" s="356" t="s">
        <v>984</v>
      </c>
      <c r="S125" s="359" t="str">
        <f t="shared" ref="S125:S148" si="30">CONCATENATE(P125,R125)</f>
        <v>COEPM</v>
      </c>
    </row>
    <row r="126" spans="4:19" x14ac:dyDescent="0.2">
      <c r="E126" s="5" t="s">
        <v>732</v>
      </c>
      <c r="H126" s="184">
        <f>SUM(H127:H128)/GenAssumptions!$E$47*GenAssumptions!D19</f>
        <v>2700221.7173262839</v>
      </c>
      <c r="I126" s="184">
        <f>SUM(I127:I128)/GenAssumptions!$E$47*GenAssumptions!E19</f>
        <v>2878436.3506698189</v>
      </c>
      <c r="J126" s="184">
        <f>SUM(J127:J128)/GenAssumptions!$E$47*GenAssumptions!F19</f>
        <v>3068413.1498140269</v>
      </c>
      <c r="K126" s="184">
        <f>SUM(K127:K128)/GenAssumptions!$E$47*GenAssumptions!G19</f>
        <v>1133903.811989503</v>
      </c>
      <c r="L126" s="184">
        <f>SUM(L127:L128)/GenAssumptions!$E$47*GenAssumptions!H19</f>
        <v>3073797.7165184375</v>
      </c>
      <c r="M126" s="184">
        <f>SUM(M127:M128)/GenAssumptions!$E$47*GenAssumptions!I19</f>
        <v>2283198.3893585247</v>
      </c>
      <c r="P126" s="79" t="s">
        <v>865</v>
      </c>
      <c r="R126" s="356" t="s">
        <v>984</v>
      </c>
      <c r="S126" s="359" t="str">
        <f t="shared" si="30"/>
        <v>COEPM</v>
      </c>
    </row>
    <row r="127" spans="4:19" x14ac:dyDescent="0.2">
      <c r="E127" s="79" t="s">
        <v>730</v>
      </c>
      <c r="F127" s="328"/>
      <c r="G127" s="79"/>
      <c r="H127" s="357">
        <f t="shared" ref="H127:M127" si="31">H45*H33</f>
        <v>662505.4868912613</v>
      </c>
      <c r="I127" s="357">
        <f t="shared" si="31"/>
        <v>662505.4868912613</v>
      </c>
      <c r="J127" s="357">
        <f t="shared" si="31"/>
        <v>662505.4868912613</v>
      </c>
      <c r="K127" s="357">
        <f t="shared" si="31"/>
        <v>278205.85703377216</v>
      </c>
      <c r="L127" s="357">
        <f t="shared" si="31"/>
        <v>754163.20064402453</v>
      </c>
      <c r="M127" s="357">
        <f t="shared" si="31"/>
        <v>560187.87305699335</v>
      </c>
      <c r="S127" s="359" t="str">
        <f t="shared" si="30"/>
        <v/>
      </c>
    </row>
    <row r="128" spans="4:19" x14ac:dyDescent="0.2">
      <c r="E128" s="5" t="s">
        <v>731</v>
      </c>
      <c r="H128" s="193">
        <f t="shared" ref="H128:M128" si="32">H47*H46*H33</f>
        <v>79500.658426951355</v>
      </c>
      <c r="I128" s="193">
        <f t="shared" si="32"/>
        <v>79500.658426951355</v>
      </c>
      <c r="J128" s="193">
        <f t="shared" si="32"/>
        <v>79500.658426951355</v>
      </c>
      <c r="K128" s="193">
        <f t="shared" si="32"/>
        <v>33384.702844052656</v>
      </c>
      <c r="L128" s="193">
        <f t="shared" si="32"/>
        <v>90499.58407728294</v>
      </c>
      <c r="M128" s="193">
        <f t="shared" si="32"/>
        <v>67222.544766839201</v>
      </c>
      <c r="S128" s="359" t="str">
        <f t="shared" si="30"/>
        <v/>
      </c>
    </row>
    <row r="129" spans="4:19" x14ac:dyDescent="0.2">
      <c r="E129" s="5" t="s">
        <v>737</v>
      </c>
      <c r="H129" s="184">
        <f>H48*H46*H33*GenAssumptions!D60*H49</f>
        <v>9689.1427457846967</v>
      </c>
      <c r="I129" s="184">
        <f>I48*I46*I33*GenAssumptions!E60*I49</f>
        <v>10231.734739548639</v>
      </c>
      <c r="J129" s="184">
        <f>J48*J46*J33*GenAssumptions!F60*J49</f>
        <v>10804.711884963366</v>
      </c>
      <c r="K129" s="184">
        <f>K48*K46*K33*GenAssumptions!G60*K49</f>
        <v>4068.7606591189174</v>
      </c>
      <c r="L129" s="184">
        <f>L48*L46*L33*GenAssumptions!H60*L49</f>
        <v>11029.636809418857</v>
      </c>
      <c r="M129" s="184">
        <f>M48*M46*M33*GenAssumptions!I60*M49</f>
        <v>8192.7476434585278</v>
      </c>
      <c r="P129" s="79" t="s">
        <v>866</v>
      </c>
      <c r="R129" s="356" t="s">
        <v>984</v>
      </c>
      <c r="S129" s="359" t="str">
        <f t="shared" si="30"/>
        <v>GSPM</v>
      </c>
    </row>
    <row r="130" spans="4:19" x14ac:dyDescent="0.2">
      <c r="D130" s="4" t="s">
        <v>456</v>
      </c>
      <c r="S130" s="359" t="str">
        <f t="shared" si="30"/>
        <v/>
      </c>
    </row>
    <row r="131" spans="4:19" x14ac:dyDescent="0.2">
      <c r="E131" s="206" t="s">
        <v>736</v>
      </c>
      <c r="F131" s="207"/>
      <c r="G131" s="206"/>
      <c r="H131" s="184">
        <f>H54*GenAssumptions!D17*H123</f>
        <v>694729.44000000006</v>
      </c>
      <c r="I131" s="184">
        <f>I54*GenAssumptions!E17*I123</f>
        <v>740581.58304000006</v>
      </c>
      <c r="J131" s="184">
        <f>J54*GenAssumptions!F17*J123</f>
        <v>789459.96752064012</v>
      </c>
      <c r="K131" s="184">
        <f>K54*GenAssumptions!G17*K123</f>
        <v>694729.44000000006</v>
      </c>
      <c r="L131" s="184">
        <f>L54*GenAssumptions!H17*L123</f>
        <v>694729.44000000006</v>
      </c>
      <c r="M131" s="184">
        <f>M54*GenAssumptions!I17*M123</f>
        <v>694729.44000000006</v>
      </c>
      <c r="P131" s="79" t="s">
        <v>865</v>
      </c>
      <c r="R131" s="356" t="s">
        <v>984</v>
      </c>
      <c r="S131" s="359" t="str">
        <f t="shared" si="30"/>
        <v>COEPM</v>
      </c>
    </row>
    <row r="132" spans="4:19" x14ac:dyDescent="0.2">
      <c r="E132" s="5" t="s">
        <v>26</v>
      </c>
      <c r="H132" s="184">
        <f>H133/GenAssumptions!$E$47*GenAssumptions!D26</f>
        <v>242665.74523044389</v>
      </c>
      <c r="I132" s="184">
        <f>I133/GenAssumptions!$E$47*GenAssumptions!E26</f>
        <v>258681.6844156532</v>
      </c>
      <c r="J132" s="184">
        <f>J133/GenAssumptions!$E$47*GenAssumptions!F26</f>
        <v>275754.67558708636</v>
      </c>
      <c r="K132" s="184">
        <f>K133/GenAssumptions!$E$47*GenAssumptions!G26</f>
        <v>101902.59999409698</v>
      </c>
      <c r="L132" s="184">
        <f>L133/GenAssumptions!$E$47*GenAssumptions!H26</f>
        <v>276238.58025450114</v>
      </c>
      <c r="M132" s="184">
        <f>M133/GenAssumptions!$E$47*GenAssumptions!I26</f>
        <v>205188.34994455607</v>
      </c>
      <c r="P132" s="79" t="s">
        <v>865</v>
      </c>
      <c r="R132" s="356" t="s">
        <v>984</v>
      </c>
      <c r="S132" s="359" t="str">
        <f t="shared" si="30"/>
        <v>COEPM</v>
      </c>
    </row>
    <row r="133" spans="4:19" x14ac:dyDescent="0.2">
      <c r="E133" s="5" t="s">
        <v>739</v>
      </c>
      <c r="H133" s="186">
        <f t="shared" ref="H133:M133" si="33">H55*H56*H33*H58</f>
        <v>119250.98764042703</v>
      </c>
      <c r="I133" s="186">
        <f t="shared" si="33"/>
        <v>119250.98764042703</v>
      </c>
      <c r="J133" s="186">
        <f t="shared" si="33"/>
        <v>119250.98764042703</v>
      </c>
      <c r="K133" s="186">
        <f t="shared" si="33"/>
        <v>50077.054266078994</v>
      </c>
      <c r="L133" s="186">
        <f t="shared" si="33"/>
        <v>135749.37611592442</v>
      </c>
      <c r="M133" s="186">
        <f t="shared" si="33"/>
        <v>100833.81715025881</v>
      </c>
      <c r="S133" s="359" t="str">
        <f t="shared" si="30"/>
        <v/>
      </c>
    </row>
    <row r="134" spans="4:19" x14ac:dyDescent="0.2">
      <c r="E134" s="5" t="s">
        <v>737</v>
      </c>
      <c r="H134" s="184">
        <f>H58*H57*H33*GenAssumptions!D60</f>
        <v>645942.84971897979</v>
      </c>
      <c r="I134" s="184">
        <f>I58*I57*I33*GenAssumptions!E60</f>
        <v>682115.6493032428</v>
      </c>
      <c r="J134" s="184">
        <f>J58*J57*J33*GenAssumptions!F60</f>
        <v>720314.12566422438</v>
      </c>
      <c r="K134" s="184">
        <f>K58*K57*K33*GenAssumptions!G60</f>
        <v>271250.71060792787</v>
      </c>
      <c r="L134" s="184">
        <f>L58*L57*L33*GenAssumptions!H60</f>
        <v>735309.12062792399</v>
      </c>
      <c r="M134" s="184">
        <f>M58*M57*M33*GenAssumptions!I60</f>
        <v>546183.17623056856</v>
      </c>
      <c r="P134" s="79" t="s">
        <v>866</v>
      </c>
      <c r="R134" s="356" t="s">
        <v>984</v>
      </c>
      <c r="S134" s="359" t="str">
        <f t="shared" si="30"/>
        <v>GSPM</v>
      </c>
    </row>
    <row r="135" spans="4:19" x14ac:dyDescent="0.2">
      <c r="S135" s="359" t="str">
        <f t="shared" si="30"/>
        <v/>
      </c>
    </row>
    <row r="136" spans="4:19" x14ac:dyDescent="0.2">
      <c r="S136" s="359" t="str">
        <f t="shared" si="30"/>
        <v/>
      </c>
    </row>
    <row r="137" spans="4:19" x14ac:dyDescent="0.2">
      <c r="D137" s="4" t="s">
        <v>455</v>
      </c>
      <c r="S137" s="359" t="str">
        <f t="shared" si="30"/>
        <v/>
      </c>
    </row>
    <row r="138" spans="4:19" x14ac:dyDescent="0.2">
      <c r="E138" s="5" t="s">
        <v>13</v>
      </c>
      <c r="H138" s="193">
        <f>INDEX('H&amp;S Demand'!$AJ$4:$AJ$13,'PDSD (2)'!$G$81)</f>
        <v>1168882.7786409459</v>
      </c>
      <c r="I138" s="193">
        <f>INDEX('H&amp;S Demand'!$AJ$4:$AJ$13,'PDSD (2)'!$G$81)</f>
        <v>1168882.7786409459</v>
      </c>
      <c r="J138" s="193">
        <f>INDEX('H&amp;S Demand'!$AJ$4:$AJ$13,'PDSD (2)'!$G$81)</f>
        <v>1168882.7786409459</v>
      </c>
      <c r="K138" s="193">
        <f>INDEX('H&amp;S Demand'!$AJ$4:$AJ$13,'PDSD (2)'!$G$81)</f>
        <v>1168882.7786409459</v>
      </c>
      <c r="L138" s="193">
        <f>INDEX('H&amp;S Demand'!$AJ$4:$AJ$13,'PDSD (2)'!$G$81)</f>
        <v>1168882.7786409459</v>
      </c>
      <c r="M138" s="193">
        <f>INDEX('H&amp;S Demand'!$AJ$4:$AJ$13,'PDSD (2)'!$G$81)</f>
        <v>1168882.7786409459</v>
      </c>
      <c r="S138" s="359" t="str">
        <f t="shared" si="30"/>
        <v/>
      </c>
    </row>
    <row r="139" spans="4:19" x14ac:dyDescent="0.2">
      <c r="E139" s="198" t="s">
        <v>746</v>
      </c>
      <c r="H139" s="193">
        <f t="shared" ref="H139:M139" si="34">H138*H37</f>
        <v>23377.65557281892</v>
      </c>
      <c r="I139" s="193">
        <f t="shared" si="34"/>
        <v>23377.65557281892</v>
      </c>
      <c r="J139" s="193">
        <f t="shared" si="34"/>
        <v>23377.65557281892</v>
      </c>
      <c r="K139" s="193">
        <f t="shared" si="34"/>
        <v>23377.65557281892</v>
      </c>
      <c r="L139" s="193">
        <f t="shared" si="34"/>
        <v>23377.65557281892</v>
      </c>
      <c r="M139" s="193">
        <f t="shared" si="34"/>
        <v>23377.65557281892</v>
      </c>
      <c r="S139" s="359" t="str">
        <f t="shared" si="30"/>
        <v/>
      </c>
    </row>
    <row r="140" spans="4:19" x14ac:dyDescent="0.2">
      <c r="E140" s="198" t="s">
        <v>747</v>
      </c>
      <c r="H140" s="193">
        <f t="shared" ref="H140:M140" si="35">H38*H139</f>
        <v>701.3296671845676</v>
      </c>
      <c r="I140" s="193">
        <f t="shared" si="35"/>
        <v>701.3296671845676</v>
      </c>
      <c r="J140" s="193">
        <f t="shared" si="35"/>
        <v>701.3296671845676</v>
      </c>
      <c r="K140" s="193">
        <f t="shared" si="35"/>
        <v>701.3296671845676</v>
      </c>
      <c r="L140" s="193">
        <f t="shared" si="35"/>
        <v>701.3296671845676</v>
      </c>
      <c r="M140" s="193">
        <f t="shared" si="35"/>
        <v>701.3296671845676</v>
      </c>
      <c r="S140" s="359" t="str">
        <f t="shared" si="30"/>
        <v/>
      </c>
    </row>
    <row r="141" spans="4:19" x14ac:dyDescent="0.2">
      <c r="E141" s="5" t="s">
        <v>30</v>
      </c>
      <c r="S141" s="359" t="str">
        <f t="shared" si="30"/>
        <v/>
      </c>
    </row>
    <row r="142" spans="4:19" x14ac:dyDescent="0.2">
      <c r="E142" s="65" t="s">
        <v>748</v>
      </c>
      <c r="H142" s="184">
        <f>(H139*H61+H140*H62)/Minutes_per_Year*GenAssumptions!D28</f>
        <v>1354385.3817219452</v>
      </c>
      <c r="I142" s="184">
        <f>(I139*I61+I140*I62)/Minutes_per_Year*GenAssumptions!E28</f>
        <v>1443774.8169155936</v>
      </c>
      <c r="J142" s="184">
        <f>(J139*J61+J140*J62)/Minutes_per_Year*GenAssumptions!F28</f>
        <v>1539063.954832023</v>
      </c>
      <c r="K142" s="184">
        <f>(K139*K61+K140*K62)/Minutes_per_Year*GenAssumptions!G28</f>
        <v>1354385.3817219452</v>
      </c>
      <c r="L142" s="184">
        <f>(L139*L61+L140*L62)/Minutes_per_Year*GenAssumptions!H28</f>
        <v>1354385.3817219452</v>
      </c>
      <c r="M142" s="184">
        <f>(M139*M61+M140*M62)/Minutes_per_Year*GenAssumptions!I28</f>
        <v>1354385.3817219452</v>
      </c>
      <c r="P142" s="79" t="s">
        <v>865</v>
      </c>
      <c r="R142" s="356" t="s">
        <v>985</v>
      </c>
      <c r="S142" s="359" t="str">
        <f t="shared" si="30"/>
        <v>COEEC</v>
      </c>
    </row>
    <row r="143" spans="4:19" x14ac:dyDescent="0.2">
      <c r="E143" s="5" t="s">
        <v>749</v>
      </c>
      <c r="S143" s="359" t="str">
        <f t="shared" si="30"/>
        <v/>
      </c>
    </row>
    <row r="144" spans="4:19" x14ac:dyDescent="0.2">
      <c r="S144" s="359" t="str">
        <f t="shared" si="30"/>
        <v/>
      </c>
    </row>
    <row r="145" spans="4:19" x14ac:dyDescent="0.2">
      <c r="D145" s="4" t="s">
        <v>543</v>
      </c>
      <c r="H145" s="184">
        <f>H65*GenAssumptions!D76*'PDSD (2)'!H69</f>
        <v>4946707.6354547506</v>
      </c>
      <c r="I145" s="184">
        <f>I65*GenAssumptions!E76*'PDSD (2)'!I69</f>
        <v>5223723.2630402166</v>
      </c>
      <c r="J145" s="184">
        <f>J65*GenAssumptions!F76*'PDSD (2)'!J69</f>
        <v>5516251.7657704689</v>
      </c>
      <c r="K145" s="184">
        <f>K65*GenAssumptions!G76*'PDSD (2)'!K69</f>
        <v>2077270.3991854985</v>
      </c>
      <c r="L145" s="184">
        <f>L65*GenAssumptions!H76*'PDSD (2)'!L69</f>
        <v>5631085.231475383</v>
      </c>
      <c r="M145" s="184">
        <f>M65*GenAssumptions!I76*'PDSD (2)'!M69</f>
        <v>4182736.1188255497</v>
      </c>
      <c r="P145" s="79" t="s">
        <v>866</v>
      </c>
      <c r="R145" s="356" t="s">
        <v>985</v>
      </c>
      <c r="S145" s="359" t="str">
        <f t="shared" si="30"/>
        <v>GSEC</v>
      </c>
    </row>
    <row r="146" spans="4:19" x14ac:dyDescent="0.2">
      <c r="S146" s="359" t="str">
        <f t="shared" si="30"/>
        <v/>
      </c>
    </row>
    <row r="147" spans="4:19" x14ac:dyDescent="0.2">
      <c r="S147" s="359" t="str">
        <f t="shared" si="30"/>
        <v/>
      </c>
    </row>
    <row r="148" spans="4:19" ht="13.5" thickBot="1" x14ac:dyDescent="0.25">
      <c r="D148" s="4" t="s">
        <v>991</v>
      </c>
      <c r="H148" s="350">
        <f>H10</f>
        <v>2623521728.0893946</v>
      </c>
      <c r="I148" s="350">
        <f t="shared" ref="I148:M148" si="36">I10</f>
        <v>2623521728.0893946</v>
      </c>
      <c r="J148" s="350">
        <f t="shared" si="36"/>
        <v>2623521728.0893946</v>
      </c>
      <c r="K148" s="350">
        <f t="shared" si="36"/>
        <v>1101695193.8537378</v>
      </c>
      <c r="L148" s="350">
        <f t="shared" si="36"/>
        <v>2986486274.5503373</v>
      </c>
      <c r="M148" s="350">
        <f t="shared" si="36"/>
        <v>2218343977.3056936</v>
      </c>
      <c r="P148" s="79" t="s">
        <v>992</v>
      </c>
      <c r="R148" s="356" t="s">
        <v>986</v>
      </c>
      <c r="S148" s="359" t="str">
        <f t="shared" si="30"/>
        <v>TSPI</v>
      </c>
    </row>
    <row r="149" spans="4:19" ht="13.5" thickTop="1" x14ac:dyDescent="0.2"/>
  </sheetData>
  <mergeCells count="1">
    <mergeCell ref="H2:J2"/>
  </mergeCells>
  <dataValidations count="2">
    <dataValidation type="list" allowBlank="1" showInputMessage="1" showErrorMessage="1" sqref="R145 R142 R129 R131:R132 R134 R124:R126">
      <formula1>$B$17:$B$24</formula1>
    </dataValidation>
    <dataValidation type="list" allowBlank="1" showInputMessage="1" showErrorMessage="1" sqref="H27:L31">
      <formula1>List_YesNO</formula1>
    </dataValidation>
  </dataValidations>
  <pageMargins left="0.7" right="0.7" top="0.75" bottom="0.75" header="0.3" footer="0.3"/>
  <pageSetup paperSize="9"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14:formula1>
            <xm:f>Scenario!$B$16:$B$36</xm:f>
          </x14:formula1>
          <xm:sqref>R148</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B1:T172"/>
  <sheetViews>
    <sheetView showGridLines="0" workbookViewId="0">
      <pane ySplit="20" topLeftCell="A137" activePane="bottomLeft" state="frozen"/>
      <selection activeCell="H37" sqref="H37"/>
      <selection pane="bottomLeft" activeCell="H8" sqref="H8"/>
    </sheetView>
  </sheetViews>
  <sheetFormatPr defaultColWidth="8.85546875" defaultRowHeight="12.75" outlineLevelRow="1" x14ac:dyDescent="0.2"/>
  <cols>
    <col min="1" max="2" width="4" style="5" customWidth="1"/>
    <col min="3" max="3" width="3.85546875" style="5" customWidth="1"/>
    <col min="4" max="4" width="44.85546875" style="5" customWidth="1"/>
    <col min="5" max="5" width="25.42578125" style="5" customWidth="1"/>
    <col min="6" max="6" width="5.85546875" style="5" customWidth="1"/>
    <col min="7" max="7" width="6.140625" style="5" customWidth="1"/>
    <col min="8" max="8" width="18.5703125" style="5" bestFit="1" customWidth="1"/>
    <col min="9" max="12" width="15.42578125" style="5" bestFit="1" customWidth="1"/>
    <col min="13" max="13" width="15.42578125" style="5" hidden="1" customWidth="1"/>
    <col min="14" max="20" width="0" style="5" hidden="1" customWidth="1"/>
    <col min="21" max="16384" width="8.85546875" style="5"/>
  </cols>
  <sheetData>
    <row r="1" spans="2:19" s="3" customFormat="1" ht="15.75" x14ac:dyDescent="0.25">
      <c r="B1" s="306" t="s">
        <v>33</v>
      </c>
      <c r="E1" s="331" t="str">
        <f>Summary!B4</f>
        <v>South Africa</v>
      </c>
      <c r="F1" s="3" t="s">
        <v>1337</v>
      </c>
      <c r="G1" s="332"/>
    </row>
    <row r="2" spans="2:19" ht="25.5" x14ac:dyDescent="0.25">
      <c r="H2" s="1136" t="s">
        <v>1825</v>
      </c>
      <c r="I2" s="1136"/>
      <c r="J2" s="1136"/>
      <c r="K2" s="1089" t="s">
        <v>1814</v>
      </c>
      <c r="L2" s="1088" t="s">
        <v>1759</v>
      </c>
      <c r="M2" s="607" t="s">
        <v>1796</v>
      </c>
      <c r="N2"/>
    </row>
    <row r="3" spans="2:19" x14ac:dyDescent="0.2">
      <c r="E3" s="4" t="s">
        <v>595</v>
      </c>
      <c r="F3" s="4"/>
      <c r="G3" s="4"/>
      <c r="H3" s="404" t="s">
        <v>385</v>
      </c>
      <c r="I3" s="404" t="s">
        <v>386</v>
      </c>
      <c r="J3" s="404" t="s">
        <v>1033</v>
      </c>
      <c r="K3" s="28" t="s">
        <v>385</v>
      </c>
      <c r="L3" s="29" t="s">
        <v>385</v>
      </c>
      <c r="M3" s="29" t="s">
        <v>385</v>
      </c>
    </row>
    <row r="4" spans="2:19" x14ac:dyDescent="0.2">
      <c r="E4" s="7" t="s">
        <v>596</v>
      </c>
      <c r="F4" s="7"/>
      <c r="G4" s="7"/>
      <c r="H4" s="215">
        <f>H103+H106+H110+H113+H114+H125+H126+H127+H128+H130</f>
        <v>22363186.860505082</v>
      </c>
      <c r="I4" s="215">
        <f t="shared" ref="I4:M4" si="0">I103+I106+I110+I113+I114+I125+I126+I127+I128+I130</f>
        <v>23839157.193298414</v>
      </c>
      <c r="J4" s="215">
        <f t="shared" si="0"/>
        <v>25412541.568056114</v>
      </c>
      <c r="K4" s="215">
        <f t="shared" si="0"/>
        <v>22363186.860505082</v>
      </c>
      <c r="L4" s="215">
        <f t="shared" ref="L4" si="1">L103+L106+L110+L113+L114+L125+L126+L127+L128+L130</f>
        <v>22363186.860505082</v>
      </c>
      <c r="M4" s="215">
        <f t="shared" si="0"/>
        <v>22363186.860505082</v>
      </c>
    </row>
    <row r="5" spans="2:19" x14ac:dyDescent="0.2">
      <c r="E5" s="5" t="s">
        <v>597</v>
      </c>
      <c r="H5" s="215">
        <f>H131+H129</f>
        <v>807855.88725088409</v>
      </c>
      <c r="I5" s="215">
        <f t="shared" ref="I5:M5" si="2">I131+I129</f>
        <v>850350.04085772263</v>
      </c>
      <c r="J5" s="215">
        <f t="shared" si="2"/>
        <v>895223.86706654401</v>
      </c>
      <c r="K5" s="215">
        <f t="shared" si="2"/>
        <v>807855.88725088409</v>
      </c>
      <c r="L5" s="215">
        <f t="shared" ref="L5" si="3">L131+L129</f>
        <v>807855.88725088409</v>
      </c>
      <c r="M5" s="215">
        <f t="shared" si="2"/>
        <v>807855.88725088409</v>
      </c>
    </row>
    <row r="6" spans="2:19" x14ac:dyDescent="0.2">
      <c r="E6" s="5" t="s">
        <v>781</v>
      </c>
      <c r="H6" s="215">
        <f>H119</f>
        <v>157601943.32206556</v>
      </c>
      <c r="I6" s="215">
        <f t="shared" ref="I6:M6" si="4">I119</f>
        <v>166427652.14810124</v>
      </c>
      <c r="J6" s="215">
        <f t="shared" si="4"/>
        <v>175747600.66839492</v>
      </c>
      <c r="K6" s="215">
        <f t="shared" si="4"/>
        <v>157601943.32206556</v>
      </c>
      <c r="L6" s="215">
        <f t="shared" si="4"/>
        <v>157601943.32206556</v>
      </c>
      <c r="M6" s="215">
        <f t="shared" si="4"/>
        <v>157601943.32206556</v>
      </c>
    </row>
    <row r="7" spans="2:19" x14ac:dyDescent="0.2">
      <c r="E7" s="5" t="s">
        <v>782</v>
      </c>
      <c r="H7" s="215">
        <f>H116</f>
        <v>105067962.21471035</v>
      </c>
      <c r="I7" s="215">
        <f t="shared" ref="I7:L7" si="5">I116</f>
        <v>110951768.09873414</v>
      </c>
      <c r="J7" s="215">
        <f t="shared" si="5"/>
        <v>117165067.11226326</v>
      </c>
      <c r="K7" s="215">
        <f t="shared" si="5"/>
        <v>105067962.21471035</v>
      </c>
      <c r="L7" s="215">
        <f t="shared" si="5"/>
        <v>105067962.21471035</v>
      </c>
      <c r="M7" s="215">
        <f>M116</f>
        <v>105067962.21471035</v>
      </c>
    </row>
    <row r="8" spans="2:19" x14ac:dyDescent="0.2">
      <c r="E8" s="5" t="s">
        <v>1737</v>
      </c>
      <c r="H8" s="215">
        <f>H149*H44</f>
        <v>6351114347.7041874</v>
      </c>
      <c r="I8" s="215">
        <f t="shared" ref="I8:M8" si="6">I149*I44</f>
        <v>6668670065.0893965</v>
      </c>
      <c r="J8" s="215">
        <f t="shared" si="6"/>
        <v>7002103568.3438663</v>
      </c>
      <c r="K8" s="215">
        <f t="shared" si="6"/>
        <v>6351114347.7041874</v>
      </c>
      <c r="L8" s="215">
        <f t="shared" si="6"/>
        <v>6351114347.7041874</v>
      </c>
      <c r="M8" s="215">
        <f t="shared" si="6"/>
        <v>6351114347.7041874</v>
      </c>
      <c r="P8" s="5" t="s">
        <v>992</v>
      </c>
      <c r="R8" s="356" t="s">
        <v>986</v>
      </c>
      <c r="S8" s="359" t="str">
        <f t="shared" ref="S8" si="7">CONCATENATE(P8,R8)</f>
        <v>TSPI</v>
      </c>
    </row>
    <row r="9" spans="2:19" ht="13.5" thickBot="1" x14ac:dyDescent="0.25">
      <c r="E9" s="4" t="s">
        <v>598</v>
      </c>
      <c r="F9" s="4"/>
      <c r="G9" s="4"/>
      <c r="H9" s="216">
        <f>SUM(H4:H8)</f>
        <v>6636955295.988719</v>
      </c>
      <c r="I9" s="216">
        <f t="shared" ref="I9:M9" si="8">SUM(I4:I8)</f>
        <v>6970738992.5703878</v>
      </c>
      <c r="J9" s="216">
        <f t="shared" si="8"/>
        <v>7321324001.5596476</v>
      </c>
      <c r="K9" s="216">
        <f t="shared" si="8"/>
        <v>6636955295.988719</v>
      </c>
      <c r="L9" s="216">
        <f t="shared" si="8"/>
        <v>6636955295.988719</v>
      </c>
      <c r="M9" s="216">
        <f t="shared" si="8"/>
        <v>6636955295.988719</v>
      </c>
    </row>
    <row r="10" spans="2:19" ht="13.5" thickTop="1" x14ac:dyDescent="0.2">
      <c r="E10" s="4"/>
      <c r="F10" s="4"/>
      <c r="G10" s="4"/>
    </row>
    <row r="11" spans="2:19" x14ac:dyDescent="0.2">
      <c r="E11" s="4"/>
      <c r="F11" s="4"/>
      <c r="G11" s="4"/>
      <c r="H11" s="4"/>
      <c r="I11" s="4"/>
      <c r="J11" s="4"/>
      <c r="K11" s="4"/>
      <c r="L11" s="4"/>
      <c r="M11" s="4"/>
    </row>
    <row r="12" spans="2:19" hidden="1" outlineLevel="1" x14ac:dyDescent="0.2">
      <c r="E12" s="5" t="s">
        <v>1736</v>
      </c>
      <c r="F12" s="4"/>
      <c r="G12" s="4"/>
      <c r="H12" s="215">
        <f t="shared" ref="H12:M12" si="9">H149</f>
        <v>12702228695.408375</v>
      </c>
      <c r="I12" s="215">
        <f t="shared" si="9"/>
        <v>13337340130.178793</v>
      </c>
      <c r="J12" s="215">
        <f t="shared" si="9"/>
        <v>14004207136.687733</v>
      </c>
      <c r="K12" s="215">
        <f t="shared" si="9"/>
        <v>12702228695.408375</v>
      </c>
      <c r="L12" s="215">
        <f t="shared" si="9"/>
        <v>12702228695.408375</v>
      </c>
      <c r="M12" s="215">
        <f t="shared" si="9"/>
        <v>12702228695.408375</v>
      </c>
    </row>
    <row r="13" spans="2:19" hidden="1" outlineLevel="1" x14ac:dyDescent="0.2">
      <c r="E13" s="5" t="s">
        <v>780</v>
      </c>
      <c r="H13" s="215">
        <f>H116+H119</f>
        <v>262669905.53677592</v>
      </c>
      <c r="I13" s="215">
        <f t="shared" ref="I13:M13" si="10">I116+I119</f>
        <v>277379420.24683535</v>
      </c>
      <c r="J13" s="215">
        <f t="shared" si="10"/>
        <v>292912667.78065819</v>
      </c>
      <c r="K13" s="215">
        <f t="shared" si="10"/>
        <v>262669905.53677592</v>
      </c>
      <c r="L13" s="215">
        <f t="shared" si="10"/>
        <v>262669905.53677592</v>
      </c>
      <c r="M13" s="215">
        <f t="shared" si="10"/>
        <v>262669905.53677592</v>
      </c>
    </row>
    <row r="14" spans="2:19" hidden="1" outlineLevel="1" x14ac:dyDescent="0.2">
      <c r="E14" s="5" t="s">
        <v>490</v>
      </c>
      <c r="H14" s="215">
        <f>H103+H129</f>
        <v>412150.96570019814</v>
      </c>
      <c r="I14" s="215">
        <f t="shared" ref="I14:M14" si="11">I103+I129</f>
        <v>436116.83620019816</v>
      </c>
      <c r="J14" s="215">
        <f t="shared" si="11"/>
        <v>461664.45415319817</v>
      </c>
      <c r="K14" s="215">
        <f t="shared" si="11"/>
        <v>412150.96570019814</v>
      </c>
      <c r="L14" s="215">
        <f t="shared" ref="L14" si="12">L103+L129</f>
        <v>412150.96570019814</v>
      </c>
      <c r="M14" s="215">
        <f t="shared" si="11"/>
        <v>412150.96570019814</v>
      </c>
    </row>
    <row r="15" spans="2:19" hidden="1" outlineLevel="1" x14ac:dyDescent="0.2">
      <c r="E15" s="5" t="s">
        <v>491</v>
      </c>
      <c r="H15" s="215">
        <f>H106</f>
        <v>48083.04069767442</v>
      </c>
      <c r="I15" s="215">
        <f t="shared" ref="I15:M15" si="13">I106</f>
        <v>51256.521383720938</v>
      </c>
      <c r="J15" s="215">
        <f t="shared" si="13"/>
        <v>54639.451795046531</v>
      </c>
      <c r="K15" s="215">
        <f t="shared" si="13"/>
        <v>48083.04069767442</v>
      </c>
      <c r="L15" s="215">
        <f t="shared" ref="L15" si="14">L106</f>
        <v>48083.04069767442</v>
      </c>
      <c r="M15" s="215">
        <f t="shared" si="13"/>
        <v>48083.04069767442</v>
      </c>
    </row>
    <row r="16" spans="2:19" hidden="1" outlineLevel="1" x14ac:dyDescent="0.2">
      <c r="E16" s="5" t="s">
        <v>492</v>
      </c>
      <c r="H16" s="215">
        <f>H110+H113+H114</f>
        <v>159945.20694385847</v>
      </c>
      <c r="I16" s="215">
        <f t="shared" ref="I16:M16" si="15">I110+I113+I114</f>
        <v>170501.59060215313</v>
      </c>
      <c r="J16" s="215">
        <f t="shared" si="15"/>
        <v>181754.69558189524</v>
      </c>
      <c r="K16" s="215">
        <f t="shared" si="15"/>
        <v>159945.20694385847</v>
      </c>
      <c r="L16" s="215">
        <f t="shared" ref="L16" si="16">L110+L113+L114</f>
        <v>159945.20694385847</v>
      </c>
      <c r="M16" s="215">
        <f t="shared" si="15"/>
        <v>159945.20694385847</v>
      </c>
    </row>
    <row r="17" spans="3:14" hidden="1" outlineLevel="1" x14ac:dyDescent="0.2">
      <c r="E17" s="5" t="s">
        <v>493</v>
      </c>
      <c r="H17" s="215">
        <f>H125+H126+H127+H128+H130+H131</f>
        <v>22550863.534414236</v>
      </c>
      <c r="I17" s="215">
        <f t="shared" ref="I17:M17" si="17">I125+I126+I127+I128+I130+I131</f>
        <v>24031632.285970062</v>
      </c>
      <c r="J17" s="215">
        <f t="shared" si="17"/>
        <v>25609706.833592515</v>
      </c>
      <c r="K17" s="215">
        <f t="shared" si="17"/>
        <v>22550863.534414236</v>
      </c>
      <c r="L17" s="215">
        <f t="shared" ref="L17" si="18">L125+L126+L127+L128+L130+L131</f>
        <v>22550863.534414236</v>
      </c>
      <c r="M17" s="215">
        <f t="shared" si="17"/>
        <v>22550863.534414236</v>
      </c>
    </row>
    <row r="18" spans="3:14" ht="13.5" hidden="1" outlineLevel="1" thickBot="1" x14ac:dyDescent="0.25">
      <c r="E18" s="4" t="s">
        <v>1740</v>
      </c>
      <c r="F18" s="4"/>
      <c r="G18" s="4"/>
      <c r="H18" s="216">
        <f>SUM(H12:H17)</f>
        <v>12988069643.692905</v>
      </c>
      <c r="I18" s="216">
        <f t="shared" ref="I18:M18" si="19">SUM(I12:I17)</f>
        <v>13639409057.659786</v>
      </c>
      <c r="J18" s="216">
        <f t="shared" si="19"/>
        <v>14323427569.903515</v>
      </c>
      <c r="K18" s="216">
        <f t="shared" si="19"/>
        <v>12988069643.692905</v>
      </c>
      <c r="L18" s="216">
        <f t="shared" si="19"/>
        <v>12988069643.692905</v>
      </c>
      <c r="M18" s="216">
        <f t="shared" si="19"/>
        <v>12988069643.692905</v>
      </c>
    </row>
    <row r="19" spans="3:14" collapsed="1" x14ac:dyDescent="0.2"/>
    <row r="20" spans="3:14" s="78" customFormat="1" x14ac:dyDescent="0.2"/>
    <row r="21" spans="3:14" s="315" customFormat="1" x14ac:dyDescent="0.2">
      <c r="C21" s="315" t="s">
        <v>426</v>
      </c>
    </row>
    <row r="22" spans="3:14" ht="15" x14ac:dyDescent="0.25">
      <c r="D22" s="316" t="s">
        <v>1262</v>
      </c>
      <c r="F22" s="4"/>
      <c r="G22" s="4"/>
      <c r="N22"/>
    </row>
    <row r="23" spans="3:14" ht="15" x14ac:dyDescent="0.25">
      <c r="D23" s="6" t="s">
        <v>776</v>
      </c>
      <c r="F23" s="6"/>
      <c r="G23" s="6"/>
      <c r="H23" s="69">
        <v>7.0000000000000007E-2</v>
      </c>
      <c r="I23" s="69">
        <v>7.0000000000000007E-2</v>
      </c>
      <c r="J23" s="69">
        <v>7.0000000000000007E-2</v>
      </c>
      <c r="K23" s="69">
        <v>7.0000000000000007E-2</v>
      </c>
      <c r="L23" s="69">
        <v>7.0000000000000007E-2</v>
      </c>
      <c r="M23" s="578">
        <f>'Budget Choices Workings'!D75</f>
        <v>7.0000000000000007E-2</v>
      </c>
      <c r="N23"/>
    </row>
    <row r="24" spans="3:14" ht="15" x14ac:dyDescent="0.25">
      <c r="D24" s="6" t="s">
        <v>1264</v>
      </c>
      <c r="F24" s="6"/>
      <c r="G24" s="6"/>
      <c r="H24" s="69">
        <v>0.03</v>
      </c>
      <c r="I24" s="69">
        <v>0.03</v>
      </c>
      <c r="J24" s="69">
        <v>0.03</v>
      </c>
      <c r="K24" s="69">
        <v>0.03</v>
      </c>
      <c r="L24" s="69">
        <v>0.03</v>
      </c>
      <c r="M24" s="578">
        <f>'Budget Choices Workings'!D76</f>
        <v>0.03</v>
      </c>
      <c r="N24"/>
    </row>
    <row r="25" spans="3:14" ht="15" x14ac:dyDescent="0.25">
      <c r="D25" s="6" t="s">
        <v>777</v>
      </c>
      <c r="F25" s="6"/>
      <c r="G25" s="6"/>
      <c r="H25" s="184">
        <f t="shared" ref="H25:M25" si="20">H23*H100+H24*H101</f>
        <v>116742.18023856706</v>
      </c>
      <c r="I25" s="184">
        <f t="shared" si="20"/>
        <v>116742.18023856706</v>
      </c>
      <c r="J25" s="184">
        <f t="shared" si="20"/>
        <v>116742.18023856706</v>
      </c>
      <c r="K25" s="184">
        <f t="shared" si="20"/>
        <v>116742.18023856706</v>
      </c>
      <c r="L25" s="184">
        <f t="shared" si="20"/>
        <v>116742.18023856706</v>
      </c>
      <c r="M25" s="184">
        <f t="shared" si="20"/>
        <v>116742.18023856706</v>
      </c>
      <c r="N25"/>
    </row>
    <row r="26" spans="3:14" ht="15" x14ac:dyDescent="0.25">
      <c r="D26" s="66" t="s">
        <v>482</v>
      </c>
      <c r="F26" s="6"/>
      <c r="G26" s="6"/>
      <c r="H26" s="69">
        <v>0.6</v>
      </c>
      <c r="I26" s="69">
        <v>0.6</v>
      </c>
      <c r="J26" s="69">
        <v>0.6</v>
      </c>
      <c r="K26" s="69">
        <v>0.6</v>
      </c>
      <c r="L26" s="69">
        <v>0.6</v>
      </c>
      <c r="M26" s="69">
        <f>H26</f>
        <v>0.6</v>
      </c>
      <c r="N26"/>
    </row>
    <row r="27" spans="3:14" ht="15" x14ac:dyDescent="0.25">
      <c r="D27" s="66" t="s">
        <v>483</v>
      </c>
      <c r="F27" s="6"/>
      <c r="G27" s="6"/>
      <c r="H27" s="71">
        <f>1-H26</f>
        <v>0.4</v>
      </c>
      <c r="I27" s="71">
        <f t="shared" ref="I27:M27" si="21">1-I26</f>
        <v>0.4</v>
      </c>
      <c r="J27" s="71">
        <f t="shared" si="21"/>
        <v>0.4</v>
      </c>
      <c r="K27" s="71">
        <f t="shared" si="21"/>
        <v>0.4</v>
      </c>
      <c r="L27" s="71">
        <f t="shared" ref="L27" si="22">1-L26</f>
        <v>0.4</v>
      </c>
      <c r="M27" s="71">
        <f t="shared" si="21"/>
        <v>0.4</v>
      </c>
      <c r="N27"/>
    </row>
    <row r="28" spans="3:14" ht="7.5" customHeight="1" x14ac:dyDescent="0.2">
      <c r="D28" s="66"/>
      <c r="F28" s="6"/>
      <c r="G28" s="6"/>
      <c r="H28" s="6"/>
      <c r="I28" s="6"/>
      <c r="J28" s="6"/>
      <c r="K28" s="6"/>
      <c r="L28" s="6"/>
      <c r="M28" s="6"/>
      <c r="N28" s="6"/>
    </row>
    <row r="29" spans="3:14" ht="15" x14ac:dyDescent="0.25">
      <c r="D29" s="66" t="s">
        <v>1472</v>
      </c>
      <c r="F29" s="6"/>
      <c r="G29" s="6"/>
      <c r="H29" s="105">
        <v>0.75</v>
      </c>
      <c r="I29" s="105">
        <v>0.75</v>
      </c>
      <c r="J29" s="105">
        <v>0.75</v>
      </c>
      <c r="K29" s="105">
        <v>0.75</v>
      </c>
      <c r="L29" s="105">
        <v>0.75</v>
      </c>
      <c r="M29" s="105">
        <f>'Budget Choices'!D100</f>
        <v>0.75</v>
      </c>
      <c r="N29"/>
    </row>
    <row r="30" spans="3:14" ht="15" x14ac:dyDescent="0.25">
      <c r="D30" s="66" t="s">
        <v>1471</v>
      </c>
      <c r="F30" s="6"/>
      <c r="G30" s="6"/>
      <c r="H30" s="69">
        <f>1-H29</f>
        <v>0.25</v>
      </c>
      <c r="I30" s="69">
        <f t="shared" ref="I30:M30" si="23">1-I29</f>
        <v>0.25</v>
      </c>
      <c r="J30" s="69">
        <f t="shared" si="23"/>
        <v>0.25</v>
      </c>
      <c r="K30" s="69">
        <f t="shared" si="23"/>
        <v>0.25</v>
      </c>
      <c r="L30" s="69">
        <f t="shared" si="23"/>
        <v>0.25</v>
      </c>
      <c r="M30" s="69">
        <f t="shared" si="23"/>
        <v>0.25</v>
      </c>
      <c r="N30"/>
    </row>
    <row r="31" spans="3:14" ht="6" customHeight="1" x14ac:dyDescent="0.25">
      <c r="D31" s="66"/>
      <c r="E31" s="66"/>
      <c r="F31" s="66"/>
      <c r="G31" s="66"/>
      <c r="H31" s="66"/>
      <c r="I31" s="66"/>
      <c r="J31" s="66"/>
      <c r="K31" s="66"/>
      <c r="L31" s="66"/>
      <c r="M31" s="66"/>
      <c r="N31"/>
    </row>
    <row r="32" spans="3:14" x14ac:dyDescent="0.2">
      <c r="D32" s="6" t="s">
        <v>488</v>
      </c>
      <c r="F32" s="6"/>
      <c r="G32" s="6"/>
      <c r="H32" s="69">
        <v>0.2</v>
      </c>
      <c r="I32" s="69">
        <v>0.2</v>
      </c>
      <c r="J32" s="69">
        <v>0.2</v>
      </c>
      <c r="K32" s="69">
        <v>0.2</v>
      </c>
      <c r="L32" s="69">
        <v>0.2</v>
      </c>
      <c r="M32" s="69">
        <f>H32</f>
        <v>0.2</v>
      </c>
    </row>
    <row r="33" spans="2:14" x14ac:dyDescent="0.2">
      <c r="D33" s="6" t="s">
        <v>763</v>
      </c>
      <c r="F33" s="6"/>
      <c r="G33" s="6"/>
      <c r="H33" s="69">
        <v>0.3</v>
      </c>
      <c r="I33" s="69">
        <v>0.3</v>
      </c>
      <c r="J33" s="69">
        <v>0.3</v>
      </c>
      <c r="K33" s="69">
        <v>0.3</v>
      </c>
      <c r="L33" s="69">
        <v>0.3</v>
      </c>
      <c r="M33" s="69">
        <f>H33</f>
        <v>0.3</v>
      </c>
    </row>
    <row r="34" spans="2:14" x14ac:dyDescent="0.2">
      <c r="D34" s="316" t="s">
        <v>1721</v>
      </c>
      <c r="F34" s="6"/>
      <c r="G34" s="6"/>
      <c r="H34" s="6"/>
      <c r="I34" s="6"/>
      <c r="J34" s="6"/>
      <c r="K34" s="6"/>
      <c r="L34" s="6"/>
      <c r="M34" s="6"/>
    </row>
    <row r="35" spans="2:14" x14ac:dyDescent="0.2">
      <c r="D35" s="6" t="s">
        <v>1735</v>
      </c>
      <c r="F35" s="6"/>
      <c r="G35" s="6"/>
      <c r="H35" s="190">
        <v>320</v>
      </c>
      <c r="I35" s="190">
        <v>336</v>
      </c>
      <c r="J35" s="190">
        <v>352.8</v>
      </c>
      <c r="K35" s="190">
        <v>320</v>
      </c>
      <c r="L35" s="190">
        <v>320</v>
      </c>
      <c r="M35" s="190">
        <f>H35</f>
        <v>320</v>
      </c>
    </row>
    <row r="36" spans="2:14" x14ac:dyDescent="0.2">
      <c r="D36" s="6" t="s">
        <v>1724</v>
      </c>
      <c r="F36" s="6"/>
      <c r="G36" s="6"/>
      <c r="H36" s="6"/>
      <c r="I36" s="6"/>
      <c r="J36" s="6"/>
      <c r="K36" s="6"/>
      <c r="L36" s="6"/>
      <c r="M36" s="6"/>
    </row>
    <row r="37" spans="2:14" x14ac:dyDescent="0.2">
      <c r="D37" s="967" t="s">
        <v>1722</v>
      </c>
      <c r="F37" s="6"/>
      <c r="G37" s="6"/>
      <c r="H37" s="69">
        <v>0.95</v>
      </c>
      <c r="I37" s="69">
        <v>0.95</v>
      </c>
      <c r="J37" s="69">
        <v>0.95</v>
      </c>
      <c r="K37" s="69">
        <v>0.95</v>
      </c>
      <c r="L37" s="69">
        <v>0.95</v>
      </c>
      <c r="M37" s="69">
        <f>'Budget Choices'!$E$111/100</f>
        <v>0.95</v>
      </c>
    </row>
    <row r="38" spans="2:14" x14ac:dyDescent="0.2">
      <c r="D38" s="967" t="s">
        <v>1817</v>
      </c>
      <c r="F38" s="6"/>
      <c r="G38" s="6"/>
      <c r="H38" s="69">
        <v>0.95</v>
      </c>
      <c r="I38" s="69">
        <v>0.95</v>
      </c>
      <c r="J38" s="69">
        <v>0.95</v>
      </c>
      <c r="K38" s="69">
        <v>0.95</v>
      </c>
      <c r="L38" s="69">
        <v>0.95</v>
      </c>
      <c r="M38" s="69">
        <f>'Budget Choices'!$E$111/100</f>
        <v>0.95</v>
      </c>
    </row>
    <row r="39" spans="2:14" x14ac:dyDescent="0.2">
      <c r="D39" s="967" t="s">
        <v>1818</v>
      </c>
      <c r="F39" s="6"/>
      <c r="G39" s="6"/>
      <c r="H39" s="69">
        <v>0.95</v>
      </c>
      <c r="I39" s="69">
        <v>0.95</v>
      </c>
      <c r="J39" s="69">
        <v>0.95</v>
      </c>
      <c r="K39" s="69">
        <v>0.95</v>
      </c>
      <c r="L39" s="69">
        <v>0.95</v>
      </c>
      <c r="M39" s="69">
        <f>'Budget Choices'!$E$112/100</f>
        <v>0.95</v>
      </c>
    </row>
    <row r="40" spans="2:14" x14ac:dyDescent="0.2">
      <c r="D40" s="967" t="s">
        <v>1819</v>
      </c>
      <c r="F40" s="6"/>
      <c r="G40" s="6"/>
      <c r="H40" s="69">
        <v>0.95</v>
      </c>
      <c r="I40" s="69">
        <v>0.95</v>
      </c>
      <c r="J40" s="69">
        <v>0.95</v>
      </c>
      <c r="K40" s="69">
        <v>0.95</v>
      </c>
      <c r="L40" s="69">
        <v>0.95</v>
      </c>
      <c r="M40" s="69">
        <f>'Budget Choices'!$E$112/100</f>
        <v>0.95</v>
      </c>
    </row>
    <row r="41" spans="2:14" x14ac:dyDescent="0.2">
      <c r="D41" s="967" t="s">
        <v>1820</v>
      </c>
      <c r="F41" s="6"/>
      <c r="G41" s="6"/>
      <c r="H41" s="69">
        <v>0.95</v>
      </c>
      <c r="I41" s="69">
        <v>0.95</v>
      </c>
      <c r="J41" s="69">
        <v>0.95</v>
      </c>
      <c r="K41" s="69">
        <v>0.95</v>
      </c>
      <c r="L41" s="69">
        <v>0.95</v>
      </c>
      <c r="M41" s="69">
        <f>'Budget Choices'!$E$112/100</f>
        <v>0.95</v>
      </c>
    </row>
    <row r="42" spans="2:14" ht="5.25" customHeight="1" x14ac:dyDescent="0.2">
      <c r="D42" s="967"/>
      <c r="F42" s="6"/>
      <c r="G42" s="6"/>
      <c r="H42" s="967"/>
      <c r="J42" s="6"/>
      <c r="K42" s="6"/>
      <c r="L42" s="967"/>
      <c r="N42" s="6"/>
    </row>
    <row r="43" spans="2:14" x14ac:dyDescent="0.2">
      <c r="D43" s="65" t="s">
        <v>1753</v>
      </c>
      <c r="F43" s="6"/>
      <c r="G43" s="6"/>
      <c r="H43" s="166" t="s">
        <v>720</v>
      </c>
      <c r="I43" s="166" t="s">
        <v>720</v>
      </c>
      <c r="J43" s="166" t="s">
        <v>720</v>
      </c>
      <c r="K43" s="166" t="s">
        <v>720</v>
      </c>
      <c r="L43" s="166" t="s">
        <v>720</v>
      </c>
      <c r="M43" s="166" t="str">
        <f>H43</f>
        <v>Yes</v>
      </c>
    </row>
    <row r="44" spans="2:14" x14ac:dyDescent="0.2">
      <c r="D44" s="6" t="s">
        <v>1734</v>
      </c>
      <c r="F44" s="6"/>
      <c r="G44" s="6"/>
      <c r="H44" s="69">
        <v>0.5</v>
      </c>
      <c r="I44" s="69">
        <v>0.5</v>
      </c>
      <c r="J44" s="69">
        <v>0.5</v>
      </c>
      <c r="K44" s="69">
        <v>0.5</v>
      </c>
      <c r="L44" s="69">
        <v>0.5</v>
      </c>
      <c r="M44" s="69">
        <f>H44</f>
        <v>0.5</v>
      </c>
    </row>
    <row r="45" spans="2:14" x14ac:dyDescent="0.2">
      <c r="D45" s="931"/>
    </row>
    <row r="46" spans="2:14" s="315" customFormat="1" x14ac:dyDescent="0.2">
      <c r="C46" s="315" t="s">
        <v>490</v>
      </c>
    </row>
    <row r="47" spans="2:14" x14ac:dyDescent="0.2">
      <c r="B47" s="4"/>
      <c r="D47" s="330" t="s">
        <v>489</v>
      </c>
    </row>
    <row r="48" spans="2:14" x14ac:dyDescent="0.2">
      <c r="B48" s="4"/>
      <c r="D48" s="65" t="s">
        <v>2</v>
      </c>
      <c r="E48" s="5" t="s">
        <v>476</v>
      </c>
      <c r="H48" s="69">
        <v>0.15</v>
      </c>
      <c r="I48" s="69">
        <v>0.15</v>
      </c>
      <c r="J48" s="69">
        <v>0.15</v>
      </c>
      <c r="K48" s="69">
        <v>0.15</v>
      </c>
      <c r="L48" s="69">
        <v>0.15</v>
      </c>
      <c r="M48" s="69">
        <f>H48</f>
        <v>0.15</v>
      </c>
    </row>
    <row r="49" spans="2:13" x14ac:dyDescent="0.2">
      <c r="D49" s="65" t="s">
        <v>34</v>
      </c>
      <c r="E49" s="5" t="s">
        <v>476</v>
      </c>
      <c r="H49" s="69">
        <v>0.2</v>
      </c>
      <c r="I49" s="69">
        <v>0.2</v>
      </c>
      <c r="J49" s="69">
        <v>0.2</v>
      </c>
      <c r="K49" s="69">
        <v>0.2</v>
      </c>
      <c r="L49" s="69">
        <v>0.2</v>
      </c>
      <c r="M49" s="69">
        <f t="shared" ref="M49:M50" si="24">H49</f>
        <v>0.2</v>
      </c>
    </row>
    <row r="50" spans="2:13" x14ac:dyDescent="0.2">
      <c r="D50" s="65" t="s">
        <v>5</v>
      </c>
      <c r="E50" s="5" t="s">
        <v>476</v>
      </c>
      <c r="H50" s="69">
        <v>0.35</v>
      </c>
      <c r="I50" s="69">
        <v>0.35</v>
      </c>
      <c r="J50" s="69">
        <v>0.35</v>
      </c>
      <c r="K50" s="69">
        <v>0.35</v>
      </c>
      <c r="L50" s="69">
        <v>0.35</v>
      </c>
      <c r="M50" s="69">
        <f t="shared" si="24"/>
        <v>0.35</v>
      </c>
    </row>
    <row r="53" spans="2:13" s="315" customFormat="1" x14ac:dyDescent="0.2">
      <c r="C53" s="315" t="s">
        <v>491</v>
      </c>
    </row>
    <row r="54" spans="2:13" s="81" customFormat="1" x14ac:dyDescent="0.2">
      <c r="B54" s="88"/>
      <c r="D54" s="322" t="s">
        <v>554</v>
      </c>
    </row>
    <row r="55" spans="2:13" x14ac:dyDescent="0.2">
      <c r="D55" s="65" t="s">
        <v>34</v>
      </c>
    </row>
    <row r="56" spans="2:13" x14ac:dyDescent="0.2">
      <c r="D56" s="66" t="s">
        <v>481</v>
      </c>
      <c r="H56" s="120">
        <v>24</v>
      </c>
      <c r="I56" s="120">
        <v>24</v>
      </c>
      <c r="J56" s="120">
        <v>24</v>
      </c>
      <c r="K56" s="120">
        <v>24</v>
      </c>
      <c r="L56" s="120">
        <v>24</v>
      </c>
      <c r="M56" s="120">
        <f>H56</f>
        <v>24</v>
      </c>
    </row>
    <row r="57" spans="2:13" x14ac:dyDescent="0.2">
      <c r="D57" s="66" t="s">
        <v>477</v>
      </c>
      <c r="H57" s="120">
        <v>24</v>
      </c>
      <c r="I57" s="120">
        <v>24</v>
      </c>
      <c r="J57" s="120">
        <v>24</v>
      </c>
      <c r="K57" s="120">
        <v>24</v>
      </c>
      <c r="L57" s="120">
        <v>24</v>
      </c>
      <c r="M57" s="120">
        <f t="shared" ref="M57:M59" si="25">H57</f>
        <v>24</v>
      </c>
    </row>
    <row r="58" spans="2:13" x14ac:dyDescent="0.2">
      <c r="D58" s="66" t="s">
        <v>478</v>
      </c>
      <c r="H58" s="120">
        <v>5</v>
      </c>
      <c r="I58" s="120">
        <v>5</v>
      </c>
      <c r="J58" s="120">
        <v>5</v>
      </c>
      <c r="K58" s="120">
        <v>5</v>
      </c>
      <c r="L58" s="120">
        <v>5</v>
      </c>
      <c r="M58" s="120">
        <f t="shared" si="25"/>
        <v>5</v>
      </c>
    </row>
    <row r="59" spans="2:13" x14ac:dyDescent="0.2">
      <c r="D59" s="66" t="s">
        <v>479</v>
      </c>
      <c r="H59" s="120">
        <v>3</v>
      </c>
      <c r="I59" s="120">
        <v>3</v>
      </c>
      <c r="J59" s="120">
        <v>3</v>
      </c>
      <c r="K59" s="120">
        <v>3</v>
      </c>
      <c r="L59" s="120">
        <v>3</v>
      </c>
      <c r="M59" s="120">
        <f t="shared" si="25"/>
        <v>3</v>
      </c>
    </row>
    <row r="61" spans="2:13" s="315" customFormat="1" x14ac:dyDescent="0.2">
      <c r="C61" s="315" t="s">
        <v>492</v>
      </c>
    </row>
    <row r="62" spans="2:13" x14ac:dyDescent="0.2">
      <c r="D62" s="322" t="s">
        <v>555</v>
      </c>
    </row>
    <row r="63" spans="2:13" x14ac:dyDescent="0.2">
      <c r="D63" s="65" t="s">
        <v>25</v>
      </c>
      <c r="E63" s="5" t="s">
        <v>480</v>
      </c>
      <c r="H63" s="69">
        <v>0.03</v>
      </c>
      <c r="I63" s="69">
        <v>0.03</v>
      </c>
      <c r="J63" s="69">
        <v>0.03</v>
      </c>
      <c r="K63" s="69">
        <v>0.03</v>
      </c>
      <c r="L63" s="69">
        <v>0.03</v>
      </c>
      <c r="M63" s="69">
        <f>H63</f>
        <v>0.03</v>
      </c>
    </row>
    <row r="65" spans="2:13" x14ac:dyDescent="0.2">
      <c r="D65" s="316" t="s">
        <v>553</v>
      </c>
    </row>
    <row r="66" spans="2:13" x14ac:dyDescent="0.2">
      <c r="D66" s="4"/>
      <c r="E66" s="5" t="s">
        <v>765</v>
      </c>
      <c r="H66" s="120">
        <v>350</v>
      </c>
      <c r="I66" s="120">
        <v>350</v>
      </c>
      <c r="J66" s="120">
        <v>350</v>
      </c>
      <c r="K66" s="120">
        <v>350</v>
      </c>
      <c r="L66" s="120">
        <v>350</v>
      </c>
      <c r="M66" s="120">
        <f>H66</f>
        <v>350</v>
      </c>
    </row>
    <row r="67" spans="2:13" x14ac:dyDescent="0.2">
      <c r="D67" s="6" t="s">
        <v>35</v>
      </c>
      <c r="E67" s="5" t="s">
        <v>758</v>
      </c>
      <c r="H67" s="120">
        <v>45</v>
      </c>
      <c r="I67" s="120">
        <v>45</v>
      </c>
      <c r="J67" s="120">
        <v>45</v>
      </c>
      <c r="K67" s="120">
        <v>45</v>
      </c>
      <c r="L67" s="120">
        <v>45</v>
      </c>
      <c r="M67" s="120">
        <f t="shared" ref="M67:M71" si="26">H67</f>
        <v>45</v>
      </c>
    </row>
    <row r="68" spans="2:13" x14ac:dyDescent="0.2">
      <c r="D68" s="6"/>
      <c r="E68" s="5" t="s">
        <v>759</v>
      </c>
      <c r="H68" s="120">
        <v>10</v>
      </c>
      <c r="I68" s="120">
        <v>10</v>
      </c>
      <c r="J68" s="120">
        <v>10</v>
      </c>
      <c r="K68" s="120">
        <v>10</v>
      </c>
      <c r="L68" s="120">
        <v>10</v>
      </c>
      <c r="M68" s="120">
        <f t="shared" si="26"/>
        <v>10</v>
      </c>
    </row>
    <row r="69" spans="2:13" x14ac:dyDescent="0.2">
      <c r="D69" s="6"/>
      <c r="E69" s="5" t="s">
        <v>766</v>
      </c>
      <c r="H69" s="120">
        <v>35</v>
      </c>
      <c r="I69" s="120">
        <v>35</v>
      </c>
      <c r="J69" s="120">
        <v>35</v>
      </c>
      <c r="K69" s="120">
        <v>35</v>
      </c>
      <c r="L69" s="120">
        <v>35</v>
      </c>
      <c r="M69" s="120">
        <f t="shared" si="26"/>
        <v>35</v>
      </c>
    </row>
    <row r="70" spans="2:13" x14ac:dyDescent="0.2">
      <c r="D70" s="6" t="s">
        <v>36</v>
      </c>
      <c r="E70" s="5" t="s">
        <v>758</v>
      </c>
      <c r="H70" s="120">
        <v>90</v>
      </c>
      <c r="I70" s="120">
        <v>90</v>
      </c>
      <c r="J70" s="120">
        <v>90</v>
      </c>
      <c r="K70" s="120">
        <v>90</v>
      </c>
      <c r="L70" s="120">
        <v>90</v>
      </c>
      <c r="M70" s="120">
        <f t="shared" si="26"/>
        <v>90</v>
      </c>
    </row>
    <row r="71" spans="2:13" x14ac:dyDescent="0.2">
      <c r="D71" s="6"/>
      <c r="E71" s="5" t="s">
        <v>767</v>
      </c>
      <c r="H71" s="120">
        <v>45</v>
      </c>
      <c r="I71" s="120">
        <v>45</v>
      </c>
      <c r="J71" s="120">
        <v>45</v>
      </c>
      <c r="K71" s="120">
        <v>45</v>
      </c>
      <c r="L71" s="120">
        <v>45</v>
      </c>
      <c r="M71" s="120">
        <f t="shared" si="26"/>
        <v>45</v>
      </c>
    </row>
    <row r="72" spans="2:13" x14ac:dyDescent="0.2">
      <c r="D72" s="6"/>
      <c r="H72" s="186"/>
    </row>
    <row r="73" spans="2:13" x14ac:dyDescent="0.2">
      <c r="D73" s="5" t="s">
        <v>1506</v>
      </c>
      <c r="H73" s="120">
        <v>550</v>
      </c>
      <c r="I73" s="215">
        <f>H73*(1+GenAssumptions!$E$6)</f>
        <v>580.80000000000007</v>
      </c>
      <c r="J73" s="215">
        <f>I73*(1+GenAssumptions!$F$6)</f>
        <v>613.3248000000001</v>
      </c>
      <c r="K73" s="215">
        <f>H73*(1+GenAssumptions!$G$6)</f>
        <v>550</v>
      </c>
      <c r="L73" s="215">
        <f>H73*(1+GenAssumptions!$H$6)</f>
        <v>550</v>
      </c>
      <c r="M73" s="215">
        <f>'Budget Choices'!D96</f>
        <v>550</v>
      </c>
    </row>
    <row r="74" spans="2:13" x14ac:dyDescent="0.2">
      <c r="D74" s="5" t="s">
        <v>1507</v>
      </c>
      <c r="H74" s="120">
        <v>600</v>
      </c>
      <c r="I74" s="215">
        <f>H74*(1+GenAssumptions!$E$6)</f>
        <v>633.6</v>
      </c>
      <c r="J74" s="215">
        <f>I74*(1+GenAssumptions!$F$6)</f>
        <v>669.08160000000009</v>
      </c>
      <c r="K74" s="215">
        <f>H74*(1+GenAssumptions!$G$6)</f>
        <v>600</v>
      </c>
      <c r="L74" s="215">
        <f>H74*(1+GenAssumptions!$H$6)</f>
        <v>600</v>
      </c>
      <c r="M74" s="215">
        <f>'Budget Choices'!D97</f>
        <v>600</v>
      </c>
    </row>
    <row r="76" spans="2:13" s="315" customFormat="1" x14ac:dyDescent="0.2">
      <c r="B76" s="315" t="s">
        <v>493</v>
      </c>
    </row>
    <row r="77" spans="2:13" s="24" customFormat="1" x14ac:dyDescent="0.2">
      <c r="D77" s="316" t="s">
        <v>552</v>
      </c>
    </row>
    <row r="78" spans="2:13" x14ac:dyDescent="0.2">
      <c r="D78" s="6" t="s">
        <v>37</v>
      </c>
      <c r="E78" s="5" t="s">
        <v>476</v>
      </c>
      <c r="H78" s="69">
        <v>0.25</v>
      </c>
      <c r="I78" s="69">
        <v>0.25</v>
      </c>
      <c r="J78" s="69">
        <v>0.25</v>
      </c>
      <c r="K78" s="69">
        <v>0.25</v>
      </c>
      <c r="L78" s="69">
        <v>0.25</v>
      </c>
      <c r="M78" s="69">
        <f>H78</f>
        <v>0.25</v>
      </c>
    </row>
    <row r="79" spans="2:13" x14ac:dyDescent="0.2">
      <c r="D79" s="316" t="s">
        <v>551</v>
      </c>
    </row>
    <row r="80" spans="2:13" x14ac:dyDescent="0.2">
      <c r="D80" s="6" t="s">
        <v>380</v>
      </c>
      <c r="E80" s="5" t="s">
        <v>494</v>
      </c>
      <c r="H80" s="120">
        <v>30</v>
      </c>
      <c r="I80" s="120">
        <v>30</v>
      </c>
      <c r="J80" s="120">
        <v>30</v>
      </c>
      <c r="K80" s="120">
        <v>30</v>
      </c>
      <c r="L80" s="120">
        <v>30</v>
      </c>
      <c r="M80" s="120">
        <f>H80</f>
        <v>30</v>
      </c>
    </row>
    <row r="81" spans="4:13" x14ac:dyDescent="0.2">
      <c r="D81" s="316" t="s">
        <v>549</v>
      </c>
      <c r="E81" s="4" t="s">
        <v>484</v>
      </c>
      <c r="F81" s="4"/>
      <c r="G81" s="4"/>
    </row>
    <row r="82" spans="4:13" x14ac:dyDescent="0.2">
      <c r="D82" s="6" t="s">
        <v>761</v>
      </c>
      <c r="E82" s="5" t="s">
        <v>485</v>
      </c>
      <c r="H82" s="120">
        <v>10</v>
      </c>
      <c r="I82" s="120">
        <v>10</v>
      </c>
      <c r="J82" s="120">
        <v>10</v>
      </c>
      <c r="K82" s="120">
        <v>10</v>
      </c>
      <c r="L82" s="120">
        <v>10</v>
      </c>
      <c r="M82" s="120">
        <f>H82</f>
        <v>10</v>
      </c>
    </row>
    <row r="83" spans="4:13" x14ac:dyDescent="0.2">
      <c r="D83" s="6"/>
      <c r="E83" s="5" t="s">
        <v>486</v>
      </c>
      <c r="H83" s="120">
        <v>15</v>
      </c>
      <c r="I83" s="120">
        <v>15</v>
      </c>
      <c r="J83" s="120">
        <v>15</v>
      </c>
      <c r="K83" s="120">
        <v>15</v>
      </c>
      <c r="L83" s="120">
        <v>15</v>
      </c>
      <c r="M83" s="120">
        <f t="shared" ref="M83:M86" si="27">H83</f>
        <v>15</v>
      </c>
    </row>
    <row r="84" spans="4:13" x14ac:dyDescent="0.2">
      <c r="D84" s="6" t="s">
        <v>762</v>
      </c>
      <c r="E84" s="5" t="s">
        <v>487</v>
      </c>
      <c r="H84" s="120">
        <v>10</v>
      </c>
      <c r="I84" s="120">
        <v>10</v>
      </c>
      <c r="J84" s="120">
        <v>10</v>
      </c>
      <c r="K84" s="120">
        <v>10</v>
      </c>
      <c r="L84" s="120">
        <v>10</v>
      </c>
      <c r="M84" s="120">
        <f t="shared" si="27"/>
        <v>10</v>
      </c>
    </row>
    <row r="85" spans="4:13" x14ac:dyDescent="0.2">
      <c r="D85" s="6" t="s">
        <v>768</v>
      </c>
      <c r="E85" s="5" t="s">
        <v>769</v>
      </c>
      <c r="H85" s="120">
        <v>500</v>
      </c>
      <c r="I85" s="120">
        <v>500</v>
      </c>
      <c r="J85" s="120">
        <v>500</v>
      </c>
      <c r="K85" s="120">
        <v>500</v>
      </c>
      <c r="L85" s="120">
        <v>500</v>
      </c>
      <c r="M85" s="120">
        <f t="shared" si="27"/>
        <v>500</v>
      </c>
    </row>
    <row r="86" spans="4:13" x14ac:dyDescent="0.2">
      <c r="E86" s="5" t="s">
        <v>770</v>
      </c>
      <c r="H86" s="190">
        <v>350</v>
      </c>
      <c r="I86" s="190">
        <v>350</v>
      </c>
      <c r="J86" s="190">
        <v>350</v>
      </c>
      <c r="K86" s="190">
        <v>350</v>
      </c>
      <c r="L86" s="190">
        <v>350</v>
      </c>
      <c r="M86" s="120">
        <f t="shared" si="27"/>
        <v>350</v>
      </c>
    </row>
    <row r="87" spans="4:13" x14ac:dyDescent="0.2">
      <c r="D87" s="316" t="s">
        <v>550</v>
      </c>
    </row>
    <row r="88" spans="4:13" x14ac:dyDescent="0.2">
      <c r="D88" s="6" t="s">
        <v>422</v>
      </c>
      <c r="E88" s="5" t="s">
        <v>61</v>
      </c>
      <c r="H88" s="120">
        <v>60</v>
      </c>
      <c r="I88" s="120">
        <v>60</v>
      </c>
      <c r="J88" s="120">
        <v>60</v>
      </c>
      <c r="K88" s="120">
        <v>60</v>
      </c>
      <c r="L88" s="120">
        <v>60</v>
      </c>
      <c r="M88" s="120">
        <f>H88</f>
        <v>60</v>
      </c>
    </row>
    <row r="89" spans="4:13" x14ac:dyDescent="0.2">
      <c r="E89" s="5" t="s">
        <v>38</v>
      </c>
      <c r="H89" s="120">
        <v>25</v>
      </c>
      <c r="I89" s="120">
        <v>25</v>
      </c>
      <c r="J89" s="120">
        <v>25</v>
      </c>
      <c r="K89" s="120">
        <v>25</v>
      </c>
      <c r="L89" s="120">
        <v>25</v>
      </c>
      <c r="M89" s="120">
        <f t="shared" ref="M89:M90" si="28">H89</f>
        <v>25</v>
      </c>
    </row>
    <row r="90" spans="4:13" x14ac:dyDescent="0.2">
      <c r="E90" s="5" t="s">
        <v>39</v>
      </c>
      <c r="H90" s="120">
        <v>10</v>
      </c>
      <c r="I90" s="120">
        <v>10</v>
      </c>
      <c r="J90" s="120">
        <v>10</v>
      </c>
      <c r="K90" s="120">
        <v>10</v>
      </c>
      <c r="L90" s="120">
        <v>10</v>
      </c>
      <c r="M90" s="120">
        <f t="shared" si="28"/>
        <v>10</v>
      </c>
    </row>
    <row r="97" spans="5:20" s="175" customFormat="1" x14ac:dyDescent="0.2"/>
    <row r="99" spans="5:20" x14ac:dyDescent="0.2">
      <c r="E99" s="5" t="s">
        <v>757</v>
      </c>
    </row>
    <row r="100" spans="5:20" x14ac:dyDescent="0.2">
      <c r="G100" s="5" t="s">
        <v>14</v>
      </c>
      <c r="H100" s="193">
        <f>INDEX('H&amp;S Demand'!$AJ$4:$AJ$13,PDSD!$G$81)</f>
        <v>1168882.7786409459</v>
      </c>
      <c r="I100" s="193">
        <f>INDEX('H&amp;S Demand'!$AJ$4:$AJ$13,PDSD!$G$81)</f>
        <v>1168882.7786409459</v>
      </c>
      <c r="J100" s="193">
        <f>INDEX('H&amp;S Demand'!$AJ$4:$AJ$13,PDSD!$G$81)</f>
        <v>1168882.7786409459</v>
      </c>
      <c r="K100" s="193">
        <f>INDEX('H&amp;S Demand'!$AJ$4:$AJ$13,PDSD!$G$81)</f>
        <v>1168882.7786409459</v>
      </c>
      <c r="L100" s="193">
        <f>INDEX('H&amp;S Demand'!$AJ$4:$AJ$13,PDSD!$G$81)</f>
        <v>1168882.7786409459</v>
      </c>
      <c r="M100" s="193">
        <f>INDEX('H&amp;S Demand'!$AJ$4:$AJ$13,PDSD!$G$81)</f>
        <v>1168882.7786409459</v>
      </c>
      <c r="T100" s="607">
        <f>H100*H23-M23*M100</f>
        <v>0</v>
      </c>
    </row>
    <row r="101" spans="5:20" x14ac:dyDescent="0.2">
      <c r="G101" s="5" t="s">
        <v>15</v>
      </c>
      <c r="H101" s="193">
        <f>INDEX('H&amp;S Demand'!$AK$4:$AK$13,PDSD!$G$81)</f>
        <v>1164012.8577900282</v>
      </c>
      <c r="I101" s="193">
        <f>INDEX('H&amp;S Demand'!$AK$4:$AK$13,PDSD!$G$81)</f>
        <v>1164012.8577900282</v>
      </c>
      <c r="J101" s="193">
        <f>INDEX('H&amp;S Demand'!$AK$4:$AK$13,PDSD!$G$81)</f>
        <v>1164012.8577900282</v>
      </c>
      <c r="K101" s="193">
        <f>INDEX('H&amp;S Demand'!$AK$4:$AK$13,PDSD!$G$81)</f>
        <v>1164012.8577900282</v>
      </c>
      <c r="L101" s="193">
        <f>INDEX('H&amp;S Demand'!$AK$4:$AK$13,PDSD!$G$81)</f>
        <v>1164012.8577900282</v>
      </c>
      <c r="M101" s="193">
        <f>INDEX('H&amp;S Demand'!$AK$4:$AK$13,PDSD!$G$81)</f>
        <v>1164012.8577900282</v>
      </c>
      <c r="T101" s="629">
        <f>H101*H24-M24*M101</f>
        <v>0</v>
      </c>
    </row>
    <row r="102" spans="5:20" x14ac:dyDescent="0.2">
      <c r="E102" s="77" t="s">
        <v>489</v>
      </c>
      <c r="F102" s="77"/>
      <c r="G102" s="77"/>
    </row>
    <row r="103" spans="5:20" x14ac:dyDescent="0.2">
      <c r="E103" s="5" t="s">
        <v>760</v>
      </c>
      <c r="H103" s="215">
        <f>H48*GenAssumptions!D16+SASSA!H49*GenAssumptions!D19+SASSA!H50*GenAssumptions!D19</f>
        <v>363119.25</v>
      </c>
      <c r="I103" s="215">
        <f>I48*GenAssumptions!E16+SASSA!I49*GenAssumptions!E19+SASSA!I50*GenAssumptions!E19</f>
        <v>387085.12050000002</v>
      </c>
      <c r="J103" s="215">
        <f>J48*GenAssumptions!F16+SASSA!J49*GenAssumptions!F19+SASSA!J50*GenAssumptions!F19</f>
        <v>412632.73845300003</v>
      </c>
      <c r="K103" s="215">
        <f>K48*GenAssumptions!G16+SASSA!K49*GenAssumptions!G19+SASSA!K50*GenAssumptions!G19</f>
        <v>363119.25</v>
      </c>
      <c r="L103" s="215">
        <f>L48*GenAssumptions!H16+SASSA!L49*GenAssumptions!H19+SASSA!L50*GenAssumptions!H19</f>
        <v>363119.25</v>
      </c>
      <c r="M103" s="215">
        <f>M48*GenAssumptions!I16+SASSA!M49*GenAssumptions!I19+SASSA!M50*GenAssumptions!I19</f>
        <v>363119.25</v>
      </c>
      <c r="P103" s="5" t="s">
        <v>865</v>
      </c>
      <c r="R103" s="356" t="s">
        <v>984</v>
      </c>
      <c r="S103" s="359" t="str">
        <f t="shared" ref="S103:S131" si="29">CONCATENATE(P103,R103)</f>
        <v>COEPM</v>
      </c>
    </row>
    <row r="104" spans="5:20" x14ac:dyDescent="0.2">
      <c r="S104" s="359" t="str">
        <f t="shared" si="29"/>
        <v/>
      </c>
    </row>
    <row r="105" spans="5:20" x14ac:dyDescent="0.2">
      <c r="E105" s="77" t="s">
        <v>554</v>
      </c>
      <c r="F105" s="77"/>
      <c r="G105" s="77"/>
      <c r="S105" s="359" t="str">
        <f t="shared" si="29"/>
        <v/>
      </c>
    </row>
    <row r="106" spans="5:20" x14ac:dyDescent="0.2">
      <c r="H106" s="215">
        <f>(H56+H57+H58*H59)/GenAssumptions!$E$46*GenAssumptions!D16</f>
        <v>48083.04069767442</v>
      </c>
      <c r="I106" s="215">
        <f>(I56+I57+I58*I59)/GenAssumptions!$E$46*GenAssumptions!E16</f>
        <v>51256.521383720938</v>
      </c>
      <c r="J106" s="215">
        <f>(J56+J57+J58*J59)/GenAssumptions!$E$46*GenAssumptions!F16</f>
        <v>54639.451795046531</v>
      </c>
      <c r="K106" s="215">
        <f>(K56+K57+K58*K59)/GenAssumptions!$E$46*GenAssumptions!G16</f>
        <v>48083.04069767442</v>
      </c>
      <c r="L106" s="215">
        <f>(L56+L57+L58*L59)/GenAssumptions!$E$46*GenAssumptions!H16</f>
        <v>48083.04069767442</v>
      </c>
      <c r="M106" s="215">
        <f>(M56+M57+M58*M59)/GenAssumptions!$E$46*GenAssumptions!I16</f>
        <v>48083.04069767442</v>
      </c>
      <c r="P106" s="5" t="s">
        <v>865</v>
      </c>
      <c r="R106" s="356" t="s">
        <v>984</v>
      </c>
      <c r="S106" s="359" t="str">
        <f t="shared" si="29"/>
        <v>COEPM</v>
      </c>
    </row>
    <row r="107" spans="5:20" x14ac:dyDescent="0.2">
      <c r="E107" s="5" t="s">
        <v>7</v>
      </c>
      <c r="S107" s="359" t="str">
        <f t="shared" si="29"/>
        <v/>
      </c>
    </row>
    <row r="108" spans="5:20" x14ac:dyDescent="0.2">
      <c r="E108" s="77" t="s">
        <v>555</v>
      </c>
      <c r="F108" s="77"/>
      <c r="G108" s="77"/>
      <c r="S108" s="359" t="str">
        <f t="shared" si="29"/>
        <v/>
      </c>
    </row>
    <row r="109" spans="5:20" x14ac:dyDescent="0.2">
      <c r="E109" s="5" t="s">
        <v>773</v>
      </c>
      <c r="H109" s="213">
        <f>VLOOKUP(E1,'H&amp;S Demand'!A18:D27,3,FALSE)</f>
        <v>8</v>
      </c>
      <c r="S109" s="359" t="str">
        <f t="shared" si="29"/>
        <v/>
      </c>
    </row>
    <row r="110" spans="5:20" x14ac:dyDescent="0.2">
      <c r="E110" s="5" t="s">
        <v>774</v>
      </c>
      <c r="H110" s="215">
        <f>H63*GenAssumptions!D17</f>
        <v>28947.059999999998</v>
      </c>
      <c r="I110" s="215">
        <f>I63*GenAssumptions!E17</f>
        <v>30857.56596</v>
      </c>
      <c r="J110" s="215">
        <f>J63*GenAssumptions!F17</f>
        <v>32894.165313359998</v>
      </c>
      <c r="K110" s="215">
        <f>K63*GenAssumptions!G17</f>
        <v>28947.059999999998</v>
      </c>
      <c r="L110" s="215">
        <f>L63*GenAssumptions!H17</f>
        <v>28947.059999999998</v>
      </c>
      <c r="M110" s="215">
        <f>M63*GenAssumptions!I17</f>
        <v>28947.059999999998</v>
      </c>
      <c r="P110" s="5" t="s">
        <v>865</v>
      </c>
      <c r="R110" s="356" t="s">
        <v>984</v>
      </c>
      <c r="S110" s="359" t="str">
        <f t="shared" si="29"/>
        <v>COEPM</v>
      </c>
    </row>
    <row r="111" spans="5:20" x14ac:dyDescent="0.2">
      <c r="H111" s="197"/>
      <c r="I111" s="197"/>
      <c r="J111" s="197"/>
      <c r="K111" s="197"/>
      <c r="L111" s="197"/>
      <c r="M111" s="197"/>
      <c r="S111" s="359" t="str">
        <f t="shared" si="29"/>
        <v/>
      </c>
    </row>
    <row r="112" spans="5:20" x14ac:dyDescent="0.2">
      <c r="E112" s="6" t="s">
        <v>771</v>
      </c>
      <c r="F112" s="6"/>
      <c r="G112" s="6"/>
      <c r="H112" s="210">
        <f t="shared" ref="H112:M112" si="30">H26*H25/H66</f>
        <v>200.12945183754354</v>
      </c>
      <c r="I112" s="210">
        <f t="shared" si="30"/>
        <v>200.12945183754354</v>
      </c>
      <c r="J112" s="210">
        <f t="shared" si="30"/>
        <v>200.12945183754354</v>
      </c>
      <c r="K112" s="210">
        <f t="shared" si="30"/>
        <v>200.12945183754354</v>
      </c>
      <c r="L112" s="210">
        <f t="shared" si="30"/>
        <v>200.12945183754354</v>
      </c>
      <c r="M112" s="210">
        <f t="shared" si="30"/>
        <v>200.12945183754354</v>
      </c>
      <c r="S112" s="359" t="str">
        <f t="shared" si="29"/>
        <v/>
      </c>
    </row>
    <row r="113" spans="4:19" x14ac:dyDescent="0.2">
      <c r="E113" s="6" t="s">
        <v>775</v>
      </c>
      <c r="F113" s="6"/>
      <c r="G113" s="6"/>
      <c r="H113" s="215">
        <f>((H112*H69)+(H68*H67*$H$109))/Minutes_per_Year*GenAssumptions!D18</f>
        <v>72023.808541636536</v>
      </c>
      <c r="I113" s="215">
        <f>((I112*I69)+(I68*I67*$H$109))/Minutes_per_Year*GenAssumptions!E18</f>
        <v>76777.379905384558</v>
      </c>
      <c r="J113" s="215">
        <f>((J112*J69)+(J68*J67*$H$109))/Minutes_per_Year*GenAssumptions!F18</f>
        <v>81844.686979139951</v>
      </c>
      <c r="K113" s="215">
        <f>((K112*K69)+(K68*K67*$H$109))/Minutes_per_Year*GenAssumptions!G18</f>
        <v>72023.808541636536</v>
      </c>
      <c r="L113" s="215">
        <f>((L112*L69)+(L68*L67*$H$109))/Minutes_per_Year*GenAssumptions!H18</f>
        <v>72023.808541636536</v>
      </c>
      <c r="M113" s="215">
        <f>((M112*M69)+(M68*M67*$H$109))/Minutes_per_Year*GenAssumptions!I18</f>
        <v>72023.808541636536</v>
      </c>
      <c r="P113" s="5" t="s">
        <v>865</v>
      </c>
      <c r="R113" s="356" t="s">
        <v>984</v>
      </c>
      <c r="S113" s="359" t="str">
        <f t="shared" si="29"/>
        <v>COEPM</v>
      </c>
    </row>
    <row r="114" spans="4:19" x14ac:dyDescent="0.2">
      <c r="E114" s="6" t="s">
        <v>36</v>
      </c>
      <c r="F114" s="6"/>
      <c r="G114" s="6"/>
      <c r="H114" s="215">
        <f>(H70*H68*$H$109+H112*H71)/Minutes_per_Year*GenAssumptions!D19</f>
        <v>58974.338402221925</v>
      </c>
      <c r="I114" s="215">
        <f>(I70*I68*$H$109+I112*I71)/Minutes_per_Year*GenAssumptions!E19</f>
        <v>62866.644736768569</v>
      </c>
      <c r="J114" s="215">
        <f>(J70*J68*$H$109+J112*J71)/Minutes_per_Year*GenAssumptions!F19</f>
        <v>67015.8432893953</v>
      </c>
      <c r="K114" s="215">
        <f>(K70*K68*$H$109+K112*K71)/Minutes_per_Year*GenAssumptions!G19</f>
        <v>58974.338402221925</v>
      </c>
      <c r="L114" s="215">
        <f>(L70*L68*$H$109+L112*L71)/Minutes_per_Year*GenAssumptions!H19</f>
        <v>58974.338402221925</v>
      </c>
      <c r="M114" s="215">
        <f>(M70*M68*$H$109+M112*M71)/Minutes_per_Year*GenAssumptions!I19</f>
        <v>58974.338402221925</v>
      </c>
      <c r="P114" s="5" t="s">
        <v>865</v>
      </c>
      <c r="R114" s="356" t="s">
        <v>984</v>
      </c>
      <c r="S114" s="359" t="str">
        <f t="shared" si="29"/>
        <v>COEPM</v>
      </c>
    </row>
    <row r="115" spans="4:19" x14ac:dyDescent="0.2">
      <c r="S115" s="359" t="str">
        <f t="shared" si="29"/>
        <v/>
      </c>
    </row>
    <row r="116" spans="4:19" x14ac:dyDescent="0.2">
      <c r="E116" s="5" t="s">
        <v>1509</v>
      </c>
      <c r="H116" s="215">
        <f>H117*H74</f>
        <v>105067962.21471035</v>
      </c>
      <c r="I116" s="215">
        <f t="shared" ref="I116:M116" si="31">I117*I74</f>
        <v>110951768.09873414</v>
      </c>
      <c r="J116" s="215">
        <f t="shared" si="31"/>
        <v>117165067.11226326</v>
      </c>
      <c r="K116" s="215">
        <f t="shared" si="31"/>
        <v>105067962.21471035</v>
      </c>
      <c r="L116" s="215">
        <f t="shared" si="31"/>
        <v>105067962.21471035</v>
      </c>
      <c r="M116" s="215">
        <f t="shared" si="31"/>
        <v>105067962.21471035</v>
      </c>
      <c r="N116" s="215"/>
      <c r="O116" s="215"/>
      <c r="P116" s="215" t="s">
        <v>992</v>
      </c>
      <c r="Q116" s="215"/>
      <c r="R116" s="356" t="s">
        <v>986</v>
      </c>
      <c r="S116" s="359" t="str">
        <f t="shared" si="29"/>
        <v>TSPI</v>
      </c>
    </row>
    <row r="117" spans="4:19" x14ac:dyDescent="0.2">
      <c r="D117" s="219">
        <f>H117/(H117+H120)</f>
        <v>0.39999999999999997</v>
      </c>
      <c r="E117" s="5" t="s">
        <v>1510</v>
      </c>
      <c r="H117" s="452">
        <f t="shared" ref="H117:M117" si="32">H25*H27*H29*3+H25*H27*H30*6</f>
        <v>175113.27035785059</v>
      </c>
      <c r="I117" s="452">
        <f t="shared" si="32"/>
        <v>175113.27035785059</v>
      </c>
      <c r="J117" s="452">
        <f t="shared" si="32"/>
        <v>175113.27035785059</v>
      </c>
      <c r="K117" s="452">
        <f t="shared" si="32"/>
        <v>175113.27035785059</v>
      </c>
      <c r="L117" s="452">
        <f t="shared" si="32"/>
        <v>175113.27035785059</v>
      </c>
      <c r="M117" s="452">
        <f t="shared" si="32"/>
        <v>175113.27035785059</v>
      </c>
      <c r="S117" s="359" t="str">
        <f t="shared" si="29"/>
        <v/>
      </c>
    </row>
    <row r="118" spans="4:19" x14ac:dyDescent="0.2">
      <c r="H118" s="890"/>
      <c r="I118" s="890"/>
      <c r="J118" s="890"/>
      <c r="K118" s="890"/>
      <c r="L118" s="890"/>
      <c r="M118" s="890"/>
      <c r="S118" s="359"/>
    </row>
    <row r="119" spans="4:19" x14ac:dyDescent="0.2">
      <c r="E119" s="5" t="s">
        <v>1508</v>
      </c>
      <c r="H119" s="890">
        <f>H120*H74</f>
        <v>157601943.32206556</v>
      </c>
      <c r="I119" s="890">
        <f t="shared" ref="I119:M119" si="33">I120*I74</f>
        <v>166427652.14810124</v>
      </c>
      <c r="J119" s="890">
        <f t="shared" si="33"/>
        <v>175747600.66839492</v>
      </c>
      <c r="K119" s="890">
        <f t="shared" si="33"/>
        <v>157601943.32206556</v>
      </c>
      <c r="L119" s="890">
        <f t="shared" si="33"/>
        <v>157601943.32206556</v>
      </c>
      <c r="M119" s="890">
        <f t="shared" si="33"/>
        <v>157601943.32206556</v>
      </c>
      <c r="P119" s="215" t="s">
        <v>992</v>
      </c>
      <c r="Q119" s="215"/>
      <c r="R119" s="356" t="s">
        <v>986</v>
      </c>
      <c r="S119" s="359" t="str">
        <f t="shared" ref="S119" si="34">CONCATENATE(P119,R119)</f>
        <v>TSPI</v>
      </c>
    </row>
    <row r="120" spans="4:19" x14ac:dyDescent="0.2">
      <c r="E120" s="5" t="s">
        <v>1511</v>
      </c>
      <c r="H120" s="452">
        <f t="shared" ref="H120:M120" si="35">H25*H26*H29*3+H25*H26*H30*6</f>
        <v>262669.90553677594</v>
      </c>
      <c r="I120" s="452">
        <f t="shared" si="35"/>
        <v>262669.90553677594</v>
      </c>
      <c r="J120" s="452">
        <f t="shared" si="35"/>
        <v>262669.90553677594</v>
      </c>
      <c r="K120" s="452">
        <f t="shared" si="35"/>
        <v>262669.90553677594</v>
      </c>
      <c r="L120" s="452">
        <f t="shared" si="35"/>
        <v>262669.90553677594</v>
      </c>
      <c r="M120" s="452">
        <f t="shared" si="35"/>
        <v>262669.90553677594</v>
      </c>
      <c r="S120" s="359"/>
    </row>
    <row r="121" spans="4:19" x14ac:dyDescent="0.2">
      <c r="E121" s="4" t="s">
        <v>778</v>
      </c>
      <c r="F121" s="4"/>
      <c r="G121" s="4"/>
      <c r="S121" s="359" t="str">
        <f t="shared" si="29"/>
        <v/>
      </c>
    </row>
    <row r="122" spans="4:19" x14ac:dyDescent="0.2">
      <c r="E122" s="5" t="s">
        <v>764</v>
      </c>
      <c r="H122" s="209">
        <f t="shared" ref="H122:M122" si="36">H25*H26*H33</f>
        <v>21013.59244294207</v>
      </c>
      <c r="I122" s="209">
        <f t="shared" si="36"/>
        <v>21013.59244294207</v>
      </c>
      <c r="J122" s="209">
        <f t="shared" si="36"/>
        <v>21013.59244294207</v>
      </c>
      <c r="K122" s="209">
        <f t="shared" si="36"/>
        <v>21013.59244294207</v>
      </c>
      <c r="L122" s="209">
        <f t="shared" si="36"/>
        <v>21013.59244294207</v>
      </c>
      <c r="M122" s="209">
        <f t="shared" si="36"/>
        <v>21013.59244294207</v>
      </c>
      <c r="S122" s="359" t="str">
        <f t="shared" si="29"/>
        <v/>
      </c>
    </row>
    <row r="123" spans="4:19" x14ac:dyDescent="0.2">
      <c r="S123" s="359" t="str">
        <f t="shared" si="29"/>
        <v/>
      </c>
    </row>
    <row r="124" spans="4:19" x14ac:dyDescent="0.2">
      <c r="S124" s="359" t="str">
        <f t="shared" si="29"/>
        <v/>
      </c>
    </row>
    <row r="125" spans="4:19" x14ac:dyDescent="0.2">
      <c r="E125" s="5" t="s">
        <v>37</v>
      </c>
      <c r="H125" s="215">
        <f>H78*GenAssumptions!D17</f>
        <v>241225.5</v>
      </c>
      <c r="I125" s="215">
        <f>I78*GenAssumptions!E17</f>
        <v>257146.383</v>
      </c>
      <c r="J125" s="215">
        <f>J78*GenAssumptions!F17</f>
        <v>274118.04427800002</v>
      </c>
      <c r="K125" s="215">
        <f>K78*GenAssumptions!G17</f>
        <v>241225.5</v>
      </c>
      <c r="L125" s="215">
        <f>L78*GenAssumptions!H17</f>
        <v>241225.5</v>
      </c>
      <c r="M125" s="215">
        <f>M78*GenAssumptions!I17</f>
        <v>241225.5</v>
      </c>
      <c r="P125" s="5" t="s">
        <v>865</v>
      </c>
      <c r="R125" s="356" t="s">
        <v>986</v>
      </c>
      <c r="S125" s="359" t="str">
        <f t="shared" si="29"/>
        <v>COEPI</v>
      </c>
    </row>
    <row r="126" spans="4:19" x14ac:dyDescent="0.2">
      <c r="E126" s="5" t="s">
        <v>380</v>
      </c>
      <c r="H126" s="215">
        <f>H80*H25/Minutes_per_Year*GenAssumptions!D20</f>
        <v>8589826.2734838668</v>
      </c>
      <c r="I126" s="215">
        <f>I80*I25/Minutes_per_Year*GenAssumptions!E20</f>
        <v>9156754.8075338025</v>
      </c>
      <c r="J126" s="215">
        <f>J80*J25/Minutes_per_Year*GenAssumptions!F20</f>
        <v>9761100.6248310357</v>
      </c>
      <c r="K126" s="215">
        <f>K80*K25/Minutes_per_Year*GenAssumptions!G20</f>
        <v>8589826.2734838668</v>
      </c>
      <c r="L126" s="215">
        <f>L80*L25/Minutes_per_Year*GenAssumptions!H20</f>
        <v>8589826.2734838668</v>
      </c>
      <c r="M126" s="215">
        <f>M80*M25/Minutes_per_Year*GenAssumptions!I20</f>
        <v>8589826.2734838668</v>
      </c>
      <c r="P126" s="5" t="s">
        <v>865</v>
      </c>
      <c r="R126" s="356" t="s">
        <v>986</v>
      </c>
      <c r="S126" s="359" t="str">
        <f t="shared" si="29"/>
        <v>COEPI</v>
      </c>
    </row>
    <row r="127" spans="4:19" x14ac:dyDescent="0.2">
      <c r="E127" s="5" t="s">
        <v>761</v>
      </c>
      <c r="H127" s="215">
        <f>(H82*H122+H83*H122)/Minutes_per_Year*GenAssumptions!D18</f>
        <v>3568000.7569018095</v>
      </c>
      <c r="I127" s="215">
        <f>(I82*I122+I83*I122)/Minutes_per_Year*GenAssumptions!E18</f>
        <v>3803488.8068573293</v>
      </c>
      <c r="J127" s="215">
        <f>(J82*J122+J83*J122)/Minutes_per_Year*GenAssumptions!F18</f>
        <v>4054519.0681099133</v>
      </c>
      <c r="K127" s="215">
        <f>(K82*K122+K83*K122)/Minutes_per_Year*GenAssumptions!G18</f>
        <v>3568000.7569018095</v>
      </c>
      <c r="L127" s="215">
        <f>(L82*L122+L83*L122)/Minutes_per_Year*GenAssumptions!H18</f>
        <v>3568000.7569018095</v>
      </c>
      <c r="M127" s="215">
        <f>(M82*M122+M83*M122)/Minutes_per_Year*GenAssumptions!I18</f>
        <v>3568000.7569018095</v>
      </c>
      <c r="P127" s="5" t="s">
        <v>865</v>
      </c>
      <c r="R127" s="356" t="s">
        <v>986</v>
      </c>
      <c r="S127" s="359" t="str">
        <f t="shared" si="29"/>
        <v>COEPI</v>
      </c>
    </row>
    <row r="128" spans="4:19" x14ac:dyDescent="0.2">
      <c r="E128" s="5" t="s">
        <v>762</v>
      </c>
      <c r="H128" s="215">
        <f>H84*H25*H26/Minutes_per_Year*GenAssumptions!D19</f>
        <v>2549006.6819299217</v>
      </c>
      <c r="I128" s="215">
        <f>I84*I25*I26/Minutes_per_Year*GenAssumptions!E19</f>
        <v>2717241.122937297</v>
      </c>
      <c r="J128" s="215">
        <f>J84*J25*J26/Minutes_per_Year*GenAssumptions!F19</f>
        <v>2896579.0370511585</v>
      </c>
      <c r="K128" s="215">
        <f>K84*K25*K26/Minutes_per_Year*GenAssumptions!G19</f>
        <v>2549006.6819299217</v>
      </c>
      <c r="L128" s="215">
        <f>L84*L25*L26/Minutes_per_Year*GenAssumptions!H19</f>
        <v>2549006.6819299217</v>
      </c>
      <c r="M128" s="215">
        <f>M84*M25*M26/Minutes_per_Year*GenAssumptions!I19</f>
        <v>2549006.6819299217</v>
      </c>
      <c r="P128" s="5" t="s">
        <v>865</v>
      </c>
      <c r="R128" s="356" t="s">
        <v>986</v>
      </c>
      <c r="S128" s="359" t="str">
        <f t="shared" si="29"/>
        <v>COEPI</v>
      </c>
    </row>
    <row r="129" spans="4:19" x14ac:dyDescent="0.2">
      <c r="E129" s="5" t="s">
        <v>768</v>
      </c>
      <c r="H129" s="215">
        <f t="shared" ref="H129:M129" si="37">H26*H25/H85*H86</f>
        <v>49031.715700198161</v>
      </c>
      <c r="I129" s="215">
        <f t="shared" si="37"/>
        <v>49031.715700198161</v>
      </c>
      <c r="J129" s="215">
        <f t="shared" si="37"/>
        <v>49031.715700198161</v>
      </c>
      <c r="K129" s="215">
        <f t="shared" si="37"/>
        <v>49031.715700198161</v>
      </c>
      <c r="L129" s="215">
        <f t="shared" si="37"/>
        <v>49031.715700198161</v>
      </c>
      <c r="M129" s="215">
        <f t="shared" si="37"/>
        <v>49031.715700198161</v>
      </c>
      <c r="P129" s="5" t="s">
        <v>866</v>
      </c>
      <c r="R129" s="356" t="s">
        <v>986</v>
      </c>
      <c r="S129" s="359" t="str">
        <f t="shared" si="29"/>
        <v>GSPI</v>
      </c>
    </row>
    <row r="130" spans="4:19" x14ac:dyDescent="0.2">
      <c r="E130" s="5" t="s">
        <v>422</v>
      </c>
      <c r="H130" s="215">
        <f>(H88*H32*H25+H89*H32*H25)/Minutes_per_Year*GenAssumptions!D28</f>
        <v>6843980.1505479477</v>
      </c>
      <c r="I130" s="215">
        <f>(I88*I32*I25+I89*I32*I25)/Minutes_per_Year*GenAssumptions!E28</f>
        <v>7295682.8404841125</v>
      </c>
      <c r="J130" s="215">
        <f>(J88*J32*J25+J89*J32*J25)/Minutes_per_Year*GenAssumptions!F28</f>
        <v>7777197.9079560647</v>
      </c>
      <c r="K130" s="215">
        <f>(K88*K32*K25+K89*K32*K25)/Minutes_per_Year*GenAssumptions!G28</f>
        <v>6843980.1505479477</v>
      </c>
      <c r="L130" s="215">
        <f>(L88*L32*L25+L89*L32*L25)/Minutes_per_Year*GenAssumptions!H28</f>
        <v>6843980.1505479477</v>
      </c>
      <c r="M130" s="215">
        <f>(M88*M32*M25+M89*M32*M25)/Minutes_per_Year*GenAssumptions!I28</f>
        <v>6843980.1505479477</v>
      </c>
      <c r="P130" s="5" t="s">
        <v>865</v>
      </c>
      <c r="R130" s="356" t="s">
        <v>986</v>
      </c>
      <c r="S130" s="359" t="str">
        <f t="shared" si="29"/>
        <v>COEPI</v>
      </c>
    </row>
    <row r="131" spans="4:19" x14ac:dyDescent="0.2">
      <c r="E131" s="5" t="s">
        <v>779</v>
      </c>
      <c r="H131" s="215">
        <f>H90*H32*H25*GenAssumptions!D60</f>
        <v>758824.17155068589</v>
      </c>
      <c r="I131" s="215">
        <f>I90*I32*I25*GenAssumptions!E60</f>
        <v>801318.32515752444</v>
      </c>
      <c r="J131" s="215">
        <f>J90*J32*J25*GenAssumptions!F60</f>
        <v>846192.15136634582</v>
      </c>
      <c r="K131" s="215">
        <f>K90*K32*K25*GenAssumptions!G60</f>
        <v>758824.17155068589</v>
      </c>
      <c r="L131" s="215">
        <f>L90*L32*L25*GenAssumptions!H60</f>
        <v>758824.17155068589</v>
      </c>
      <c r="M131" s="215">
        <f>M90*M32*M25*GenAssumptions!I60</f>
        <v>758824.17155068589</v>
      </c>
      <c r="P131" s="5" t="s">
        <v>866</v>
      </c>
      <c r="R131" s="356" t="s">
        <v>986</v>
      </c>
      <c r="S131" s="359" t="str">
        <f t="shared" si="29"/>
        <v>GSPI</v>
      </c>
    </row>
    <row r="135" spans="4:19" x14ac:dyDescent="0.2">
      <c r="D135" s="1002" t="s">
        <v>1728</v>
      </c>
    </row>
    <row r="136" spans="4:19" ht="14.25" x14ac:dyDescent="0.25">
      <c r="E136" s="5" t="s">
        <v>1729</v>
      </c>
      <c r="H136" s="600"/>
    </row>
    <row r="137" spans="4:19" x14ac:dyDescent="0.2">
      <c r="D137" s="967" t="s">
        <v>1722</v>
      </c>
      <c r="E137" s="193">
        <f>VLOOKUP($E$1,'H&amp;S Demand'!$I$18:$O$27,3,FALSE)</f>
        <v>472313.66016764869</v>
      </c>
      <c r="H137" s="219">
        <f t="shared" ref="H137:M141" si="38">$E137*H37</f>
        <v>448697.97715926624</v>
      </c>
      <c r="I137" s="219">
        <f t="shared" si="38"/>
        <v>448697.97715926624</v>
      </c>
      <c r="J137" s="219">
        <f t="shared" si="38"/>
        <v>448697.97715926624</v>
      </c>
      <c r="K137" s="219">
        <f t="shared" si="38"/>
        <v>448697.97715926624</v>
      </c>
      <c r="L137" s="219">
        <f t="shared" si="38"/>
        <v>448697.97715926624</v>
      </c>
      <c r="M137" s="219">
        <f t="shared" si="38"/>
        <v>448697.97715926624</v>
      </c>
    </row>
    <row r="138" spans="4:19" x14ac:dyDescent="0.2">
      <c r="D138" s="967" t="s">
        <v>1723</v>
      </c>
      <c r="E138" s="193">
        <f>VLOOKUP($E$1,'H&amp;S Demand'!$I$18:$O$27,4,FALSE)</f>
        <v>463133.59609518107</v>
      </c>
      <c r="H138" s="219">
        <f t="shared" si="38"/>
        <v>439976.91629042197</v>
      </c>
      <c r="I138" s="219">
        <f t="shared" si="38"/>
        <v>439976.91629042197</v>
      </c>
      <c r="J138" s="219">
        <f t="shared" si="38"/>
        <v>439976.91629042197</v>
      </c>
      <c r="K138" s="219">
        <f t="shared" si="38"/>
        <v>439976.91629042197</v>
      </c>
      <c r="L138" s="219">
        <f t="shared" si="38"/>
        <v>439976.91629042197</v>
      </c>
      <c r="M138" s="219">
        <f t="shared" si="38"/>
        <v>439976.91629042197</v>
      </c>
    </row>
    <row r="139" spans="4:19" x14ac:dyDescent="0.2">
      <c r="D139" s="967" t="s">
        <v>1725</v>
      </c>
      <c r="E139" s="193">
        <f>VLOOKUP($E$1,'H&amp;S Demand'!$I$18:$O$27,5,FALSE)</f>
        <v>471699.11875320459</v>
      </c>
      <c r="H139" s="219">
        <f t="shared" si="38"/>
        <v>448114.16281554435</v>
      </c>
      <c r="I139" s="219">
        <f t="shared" si="38"/>
        <v>448114.16281554435</v>
      </c>
      <c r="J139" s="219">
        <f t="shared" si="38"/>
        <v>448114.16281554435</v>
      </c>
      <c r="K139" s="219">
        <f t="shared" si="38"/>
        <v>448114.16281554435</v>
      </c>
      <c r="L139" s="219">
        <f t="shared" si="38"/>
        <v>448114.16281554435</v>
      </c>
      <c r="M139" s="219">
        <f t="shared" si="38"/>
        <v>448114.16281554435</v>
      </c>
    </row>
    <row r="140" spans="4:19" x14ac:dyDescent="0.2">
      <c r="D140" s="967" t="s">
        <v>1726</v>
      </c>
      <c r="E140" s="193">
        <f>VLOOKUP($E$1,'H&amp;S Demand'!$I$18:$O$27,6,FALSE)</f>
        <v>468154.19998240314</v>
      </c>
      <c r="H140" s="219">
        <f t="shared" si="38"/>
        <v>444746.48998328298</v>
      </c>
      <c r="I140" s="219">
        <f t="shared" si="38"/>
        <v>444746.48998328298</v>
      </c>
      <c r="J140" s="219">
        <f t="shared" si="38"/>
        <v>444746.48998328298</v>
      </c>
      <c r="K140" s="219">
        <f t="shared" si="38"/>
        <v>444746.48998328298</v>
      </c>
      <c r="L140" s="219">
        <f t="shared" si="38"/>
        <v>444746.48998328298</v>
      </c>
      <c r="M140" s="219">
        <f t="shared" si="38"/>
        <v>444746.48998328298</v>
      </c>
    </row>
    <row r="141" spans="4:19" x14ac:dyDescent="0.2">
      <c r="D141" s="967" t="s">
        <v>1727</v>
      </c>
      <c r="E141" s="193">
        <f>VLOOKUP($E$1,'H&amp;S Demand'!$I$18:$O$27,7,FALSE)</f>
        <v>457595.06143253669</v>
      </c>
      <c r="H141" s="219">
        <f t="shared" si="38"/>
        <v>434715.30836090981</v>
      </c>
      <c r="I141" s="219">
        <f t="shared" si="38"/>
        <v>434715.30836090981</v>
      </c>
      <c r="J141" s="219">
        <f t="shared" si="38"/>
        <v>434715.30836090981</v>
      </c>
      <c r="K141" s="219">
        <f t="shared" si="38"/>
        <v>434715.30836090981</v>
      </c>
      <c r="L141" s="219">
        <f t="shared" si="38"/>
        <v>434715.30836090981</v>
      </c>
      <c r="M141" s="219">
        <f t="shared" si="38"/>
        <v>434715.30836090981</v>
      </c>
    </row>
    <row r="142" spans="4:19" x14ac:dyDescent="0.2">
      <c r="E142" s="5" t="s">
        <v>1754</v>
      </c>
      <c r="H142" s="1003">
        <f>SUM(H137:H141)</f>
        <v>2216250.8546094252</v>
      </c>
      <c r="I142" s="1003">
        <f t="shared" ref="I142:M142" si="39">SUM(I137:I141)</f>
        <v>2216250.8546094252</v>
      </c>
      <c r="J142" s="1003">
        <f t="shared" si="39"/>
        <v>2216250.8546094252</v>
      </c>
      <c r="K142" s="1003">
        <f t="shared" si="39"/>
        <v>2216250.8546094252</v>
      </c>
      <c r="L142" s="1003">
        <f t="shared" si="39"/>
        <v>2216250.8546094252</v>
      </c>
      <c r="M142" s="1003">
        <f t="shared" si="39"/>
        <v>2216250.8546094252</v>
      </c>
    </row>
    <row r="143" spans="4:19" x14ac:dyDescent="0.2">
      <c r="D143" s="967" t="s">
        <v>1722</v>
      </c>
      <c r="E143" s="193">
        <f>VLOOKUP($E$1,'H&amp;S Demand'!$I$33:$O$42,3,FALSE)</f>
        <v>234069.74792765765</v>
      </c>
      <c r="H143" s="219">
        <f t="shared" ref="H143:M147" si="40">$E143*H37</f>
        <v>222366.26053127475</v>
      </c>
      <c r="I143" s="219">
        <f t="shared" si="40"/>
        <v>222366.26053127475</v>
      </c>
      <c r="J143" s="219">
        <f t="shared" si="40"/>
        <v>222366.26053127475</v>
      </c>
      <c r="K143" s="219">
        <f t="shared" si="40"/>
        <v>222366.26053127475</v>
      </c>
      <c r="L143" s="219">
        <f t="shared" si="40"/>
        <v>222366.26053127475</v>
      </c>
      <c r="M143" s="219">
        <f t="shared" si="40"/>
        <v>222366.26053127475</v>
      </c>
    </row>
    <row r="144" spans="4:19" x14ac:dyDescent="0.2">
      <c r="D144" s="967" t="s">
        <v>1723</v>
      </c>
      <c r="E144" s="193">
        <f>VLOOKUP($E$1,'H&amp;S Demand'!$I$33:$O$42,4,FALSE)</f>
        <v>229031.73168392596</v>
      </c>
      <c r="H144" s="219">
        <f t="shared" si="40"/>
        <v>217580.14509972965</v>
      </c>
      <c r="I144" s="219">
        <f t="shared" si="40"/>
        <v>217580.14509972965</v>
      </c>
      <c r="J144" s="219">
        <f t="shared" si="40"/>
        <v>217580.14509972965</v>
      </c>
      <c r="K144" s="219">
        <f t="shared" si="40"/>
        <v>217580.14509972965</v>
      </c>
      <c r="L144" s="219">
        <f t="shared" si="40"/>
        <v>217580.14509972965</v>
      </c>
      <c r="M144" s="219">
        <f t="shared" si="40"/>
        <v>217580.14509972965</v>
      </c>
    </row>
    <row r="145" spans="4:13" x14ac:dyDescent="0.2">
      <c r="D145" s="967" t="s">
        <v>1725</v>
      </c>
      <c r="E145" s="193">
        <f>VLOOKUP($E$1,'H&amp;S Demand'!$I$33:$O$42,5,FALSE)</f>
        <v>232417.79424136973</v>
      </c>
      <c r="H145" s="219">
        <f t="shared" si="40"/>
        <v>220796.90452930125</v>
      </c>
      <c r="I145" s="219">
        <f t="shared" si="40"/>
        <v>220796.90452930125</v>
      </c>
      <c r="J145" s="219">
        <f t="shared" si="40"/>
        <v>220796.90452930125</v>
      </c>
      <c r="K145" s="219">
        <f t="shared" si="40"/>
        <v>220796.90452930125</v>
      </c>
      <c r="L145" s="219">
        <f t="shared" si="40"/>
        <v>220796.90452930125</v>
      </c>
      <c r="M145" s="219">
        <f t="shared" si="40"/>
        <v>220796.90452930125</v>
      </c>
    </row>
    <row r="146" spans="4:13" x14ac:dyDescent="0.2">
      <c r="D146" s="967" t="s">
        <v>1726</v>
      </c>
      <c r="E146" s="193">
        <f>VLOOKUP($E$1,'H&amp;S Demand'!$I$33:$O$42,6,FALSE)</f>
        <v>229741.59359510892</v>
      </c>
      <c r="H146" s="219">
        <f t="shared" si="40"/>
        <v>218254.51391535345</v>
      </c>
      <c r="I146" s="219">
        <f t="shared" si="40"/>
        <v>218254.51391535345</v>
      </c>
      <c r="J146" s="219">
        <f t="shared" si="40"/>
        <v>218254.51391535345</v>
      </c>
      <c r="K146" s="219">
        <f t="shared" si="40"/>
        <v>218254.51391535345</v>
      </c>
      <c r="L146" s="219">
        <f t="shared" si="40"/>
        <v>218254.51391535345</v>
      </c>
      <c r="M146" s="219">
        <f t="shared" si="40"/>
        <v>218254.51391535345</v>
      </c>
    </row>
    <row r="147" spans="4:13" x14ac:dyDescent="0.2">
      <c r="D147" s="967" t="s">
        <v>1727</v>
      </c>
      <c r="E147" s="193">
        <f>VLOOKUP($E$1,'H&amp;S Demand'!$I$33:$O$42,7,FALSE)</f>
        <v>223814.08148510187</v>
      </c>
      <c r="H147" s="219">
        <f t="shared" si="40"/>
        <v>212623.37741084676</v>
      </c>
      <c r="I147" s="219">
        <f t="shared" si="40"/>
        <v>212623.37741084676</v>
      </c>
      <c r="J147" s="219">
        <f t="shared" si="40"/>
        <v>212623.37741084676</v>
      </c>
      <c r="K147" s="219">
        <f t="shared" si="40"/>
        <v>212623.37741084676</v>
      </c>
      <c r="L147" s="219">
        <f t="shared" si="40"/>
        <v>212623.37741084676</v>
      </c>
      <c r="M147" s="219">
        <f t="shared" si="40"/>
        <v>212623.37741084676</v>
      </c>
    </row>
    <row r="148" spans="4:13" x14ac:dyDescent="0.2">
      <c r="H148" s="1003">
        <f>SUM(H143:H147)*IF(H43="No",0,1)</f>
        <v>1091621.2014865058</v>
      </c>
      <c r="I148" s="1003">
        <f t="shared" ref="I148:M148" si="41">SUM(I143:I147)*IF(I43="No",0,1)</f>
        <v>1091621.2014865058</v>
      </c>
      <c r="J148" s="1003">
        <f t="shared" si="41"/>
        <v>1091621.2014865058</v>
      </c>
      <c r="K148" s="1003">
        <f t="shared" si="41"/>
        <v>1091621.2014865058</v>
      </c>
      <c r="L148" s="1003">
        <f t="shared" si="41"/>
        <v>1091621.2014865058</v>
      </c>
      <c r="M148" s="1003">
        <f t="shared" si="41"/>
        <v>1091621.2014865058</v>
      </c>
    </row>
    <row r="149" spans="4:13" x14ac:dyDescent="0.2">
      <c r="H149" s="215">
        <f t="shared" ref="H149:M149" si="42">(H142+H148)*H35*12</f>
        <v>12702228695.408375</v>
      </c>
      <c r="I149" s="215">
        <f t="shared" si="42"/>
        <v>13337340130.178793</v>
      </c>
      <c r="J149" s="215">
        <f t="shared" si="42"/>
        <v>14004207136.687733</v>
      </c>
      <c r="K149" s="215">
        <f t="shared" si="42"/>
        <v>12702228695.408375</v>
      </c>
      <c r="L149" s="215">
        <f t="shared" si="42"/>
        <v>12702228695.408375</v>
      </c>
      <c r="M149" s="215">
        <f t="shared" si="42"/>
        <v>12702228695.408375</v>
      </c>
    </row>
    <row r="151" spans="4:13" x14ac:dyDescent="0.2">
      <c r="M151" s="192">
        <f>H149-M149</f>
        <v>0</v>
      </c>
    </row>
    <row r="152" spans="4:13" x14ac:dyDescent="0.2">
      <c r="D152" s="5" t="s">
        <v>13</v>
      </c>
    </row>
    <row r="153" spans="4:13" ht="15" x14ac:dyDescent="0.2">
      <c r="D153" s="969" t="s">
        <v>1731</v>
      </c>
      <c r="H153" s="219">
        <f>H137+H138</f>
        <v>888674.89344968821</v>
      </c>
      <c r="I153" s="219">
        <f t="shared" ref="I153:M153" si="43">I137+I138</f>
        <v>888674.89344968821</v>
      </c>
      <c r="J153" s="219">
        <f t="shared" si="43"/>
        <v>888674.89344968821</v>
      </c>
      <c r="K153" s="219">
        <f t="shared" si="43"/>
        <v>888674.89344968821</v>
      </c>
      <c r="L153" s="219">
        <f t="shared" si="43"/>
        <v>888674.89344968821</v>
      </c>
      <c r="M153" s="219">
        <f t="shared" si="43"/>
        <v>888674.89344968821</v>
      </c>
    </row>
    <row r="154" spans="4:13" ht="15" x14ac:dyDescent="0.2">
      <c r="D154" s="969" t="s">
        <v>1732</v>
      </c>
      <c r="H154" s="219">
        <f>H139+H140+H141</f>
        <v>1327575.9611597371</v>
      </c>
      <c r="I154" s="219">
        <f t="shared" ref="I154:M154" si="44">I139+I140+I141</f>
        <v>1327575.9611597371</v>
      </c>
      <c r="J154" s="219">
        <f t="shared" si="44"/>
        <v>1327575.9611597371</v>
      </c>
      <c r="K154" s="219">
        <f t="shared" si="44"/>
        <v>1327575.9611597371</v>
      </c>
      <c r="L154" s="219">
        <f t="shared" si="44"/>
        <v>1327575.9611597371</v>
      </c>
      <c r="M154" s="219">
        <f t="shared" si="44"/>
        <v>1327575.9611597371</v>
      </c>
    </row>
    <row r="155" spans="4:13" x14ac:dyDescent="0.2">
      <c r="D155" s="5" t="s">
        <v>1738</v>
      </c>
    </row>
    <row r="156" spans="4:13" ht="15" x14ac:dyDescent="0.2">
      <c r="D156" s="969" t="s">
        <v>1731</v>
      </c>
      <c r="M156" s="219">
        <f>M153-H153</f>
        <v>0</v>
      </c>
    </row>
    <row r="157" spans="4:13" ht="15" x14ac:dyDescent="0.2">
      <c r="D157" s="969" t="s">
        <v>1732</v>
      </c>
      <c r="M157" s="219">
        <f>M154-H154</f>
        <v>0</v>
      </c>
    </row>
    <row r="158" spans="4:13" x14ac:dyDescent="0.2">
      <c r="D158" s="5" t="s">
        <v>1363</v>
      </c>
    </row>
    <row r="159" spans="4:13" ht="15" x14ac:dyDescent="0.2">
      <c r="D159" s="969" t="s">
        <v>1731</v>
      </c>
      <c r="H159" s="962">
        <f>(H137+H138)*H$35*12</f>
        <v>3412511590.8468027</v>
      </c>
      <c r="I159" s="962">
        <f t="shared" ref="I159:M159" si="45">(I137+I138)*I$35*12</f>
        <v>3583137170.389143</v>
      </c>
      <c r="J159" s="962">
        <f t="shared" si="45"/>
        <v>3762294028.9085999</v>
      </c>
      <c r="K159" s="962">
        <f t="shared" si="45"/>
        <v>3412511590.8468027</v>
      </c>
      <c r="L159" s="962">
        <f t="shared" si="45"/>
        <v>3412511590.8468027</v>
      </c>
      <c r="M159" s="962">
        <f t="shared" si="45"/>
        <v>3412511590.8468027</v>
      </c>
    </row>
    <row r="160" spans="4:13" ht="15" x14ac:dyDescent="0.2">
      <c r="D160" s="969" t="s">
        <v>1732</v>
      </c>
      <c r="H160" s="962">
        <f>(H140+H141+H139)*H$35*12</f>
        <v>5097891690.8533897</v>
      </c>
      <c r="I160" s="962">
        <f t="shared" ref="I160:M160" si="46">(I140+I141+I139)*I$35*12</f>
        <v>5352786275.39606</v>
      </c>
      <c r="J160" s="962">
        <f t="shared" si="46"/>
        <v>5620425589.165863</v>
      </c>
      <c r="K160" s="962">
        <f t="shared" si="46"/>
        <v>5097891690.8533897</v>
      </c>
      <c r="L160" s="962">
        <f t="shared" si="46"/>
        <v>5097891690.8533897</v>
      </c>
      <c r="M160" s="962">
        <f t="shared" si="46"/>
        <v>5097891690.8533897</v>
      </c>
    </row>
    <row r="161" spans="4:13" x14ac:dyDescent="0.2">
      <c r="D161" s="5" t="s">
        <v>1738</v>
      </c>
    </row>
    <row r="162" spans="4:13" ht="15" x14ac:dyDescent="0.2">
      <c r="D162" s="969" t="s">
        <v>1731</v>
      </c>
      <c r="M162" s="962">
        <f>H159-M159</f>
        <v>0</v>
      </c>
    </row>
    <row r="163" spans="4:13" ht="15" x14ac:dyDescent="0.2">
      <c r="D163" s="969" t="s">
        <v>1732</v>
      </c>
      <c r="M163" s="962">
        <f>H160-M160</f>
        <v>0</v>
      </c>
    </row>
    <row r="169" spans="4:13" x14ac:dyDescent="0.2">
      <c r="I169" s="5" t="s">
        <v>1484</v>
      </c>
      <c r="J169" s="219">
        <f>M153+M154</f>
        <v>2216250.8546094252</v>
      </c>
    </row>
    <row r="170" spans="4:13" x14ac:dyDescent="0.2">
      <c r="I170" s="5" t="s">
        <v>1431</v>
      </c>
      <c r="J170" s="219">
        <f>IF((M156+M157)&lt;0,ABS(M156+M157),0)</f>
        <v>0</v>
      </c>
    </row>
    <row r="171" spans="4:13" x14ac:dyDescent="0.2">
      <c r="I171" s="5" t="s">
        <v>1433</v>
      </c>
      <c r="J171" s="5">
        <f>IF((M156+M157)&gt;0,M156+M157,0)</f>
        <v>0</v>
      </c>
    </row>
    <row r="172" spans="4:13" x14ac:dyDescent="0.2">
      <c r="I172" s="5" t="s">
        <v>1481</v>
      </c>
      <c r="J172" s="186">
        <f>SUM(E137,E138)-SUM(M137,M138)</f>
        <v>46772.362813141546</v>
      </c>
    </row>
  </sheetData>
  <mergeCells count="1">
    <mergeCell ref="H2:J2"/>
  </mergeCells>
  <dataValidations count="2">
    <dataValidation type="list" allowBlank="1" showInputMessage="1" showErrorMessage="1" sqref="R125:R131 R106 R113:R114 R110 R103 R8">
      <formula1>$B$19:$B$27</formula1>
    </dataValidation>
    <dataValidation type="list" allowBlank="1" showInputMessage="1" showErrorMessage="1" sqref="H43:M43">
      <formula1>List_YesNO</formula1>
    </dataValidation>
  </dataValidations>
  <pageMargins left="0.7" right="0.7" top="0.75" bottom="0.75" header="0.3" footer="0.3"/>
  <pageSetup paperSize="9" scale="84"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14:formula1>
            <xm:f>Scenario!$B$16:$B$36</xm:f>
          </x14:formula1>
          <xm:sqref>R116 R119</xm:sqref>
        </x14:dataValidation>
      </x14:dataValidations>
    </ex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T174"/>
  <sheetViews>
    <sheetView showGridLines="0" workbookViewId="0">
      <pane ySplit="21" topLeftCell="A22" activePane="bottomLeft" state="frozen"/>
      <selection activeCell="H37" sqref="H37"/>
      <selection pane="bottomLeft" activeCell="K48" sqref="K48"/>
    </sheetView>
  </sheetViews>
  <sheetFormatPr defaultColWidth="8.85546875" defaultRowHeight="12.75" outlineLevelRow="1" x14ac:dyDescent="0.2"/>
  <cols>
    <col min="1" max="2" width="4" style="5" customWidth="1"/>
    <col min="3" max="3" width="3.85546875" style="5" customWidth="1"/>
    <col min="4" max="4" width="44.85546875" style="5" customWidth="1"/>
    <col min="5" max="5" width="25.42578125" style="5" customWidth="1"/>
    <col min="6" max="6" width="5.85546875" style="5" customWidth="1"/>
    <col min="7" max="7" width="6.140625" style="5" customWidth="1"/>
    <col min="8" max="8" width="18.5703125" style="5" bestFit="1" customWidth="1"/>
    <col min="9" max="10" width="15.42578125" style="5" hidden="1" customWidth="1"/>
    <col min="11" max="12" width="15.42578125" style="5" bestFit="1" customWidth="1"/>
    <col min="13" max="13" width="15.42578125" style="5" hidden="1" customWidth="1"/>
    <col min="14" max="16384" width="8.85546875" style="5"/>
  </cols>
  <sheetData>
    <row r="1" spans="2:19" s="3" customFormat="1" ht="15.75" x14ac:dyDescent="0.25">
      <c r="B1" s="306" t="s">
        <v>33</v>
      </c>
      <c r="E1" s="331" t="str">
        <f>Summary!B4</f>
        <v>South Africa</v>
      </c>
      <c r="F1" s="3" t="s">
        <v>1337</v>
      </c>
      <c r="G1" s="332"/>
    </row>
    <row r="2" spans="2:19" ht="25.5" x14ac:dyDescent="0.25">
      <c r="H2" s="1136" t="s">
        <v>1816</v>
      </c>
      <c r="I2" s="1136"/>
      <c r="J2" s="1136"/>
      <c r="K2" s="1087" t="s">
        <v>1814</v>
      </c>
      <c r="L2" s="1088" t="s">
        <v>1759</v>
      </c>
      <c r="M2" s="607" t="s">
        <v>1796</v>
      </c>
      <c r="N2"/>
    </row>
    <row r="3" spans="2:19" x14ac:dyDescent="0.2">
      <c r="E3" s="4" t="s">
        <v>595</v>
      </c>
      <c r="F3" s="4"/>
      <c r="G3" s="4"/>
      <c r="H3" s="1075" t="s">
        <v>385</v>
      </c>
      <c r="I3" s="1075" t="s">
        <v>386</v>
      </c>
      <c r="J3" s="1075" t="s">
        <v>1033</v>
      </c>
      <c r="K3" s="28" t="s">
        <v>385</v>
      </c>
      <c r="L3" s="29" t="s">
        <v>385</v>
      </c>
      <c r="M3" s="29" t="s">
        <v>385</v>
      </c>
    </row>
    <row r="4" spans="2:19" hidden="1" x14ac:dyDescent="0.2">
      <c r="E4" s="7" t="s">
        <v>596</v>
      </c>
      <c r="F4" s="7"/>
      <c r="G4" s="7"/>
      <c r="H4" s="215">
        <f>H105+H108+H112+H115+H116+H127+H128+H129+H130+H132</f>
        <v>22363186.860505082</v>
      </c>
      <c r="I4" s="215">
        <f t="shared" ref="I4:M4" si="0">I105+I108+I112+I115+I116+I127+I128+I129+I130+I132</f>
        <v>23839157.193298414</v>
      </c>
      <c r="J4" s="215">
        <f t="shared" si="0"/>
        <v>25412541.568056114</v>
      </c>
      <c r="K4" s="215">
        <f t="shared" si="0"/>
        <v>22363186.860505082</v>
      </c>
      <c r="L4" s="215">
        <f t="shared" si="0"/>
        <v>22363186.860505082</v>
      </c>
      <c r="M4" s="215">
        <f t="shared" si="0"/>
        <v>22363186.860505082</v>
      </c>
    </row>
    <row r="5" spans="2:19" hidden="1" x14ac:dyDescent="0.2">
      <c r="E5" s="5" t="s">
        <v>597</v>
      </c>
      <c r="H5" s="215">
        <f>H133+H131</f>
        <v>807855.88725088409</v>
      </c>
      <c r="I5" s="215">
        <f t="shared" ref="I5:M5" si="1">I133+I131</f>
        <v>850350.04085772263</v>
      </c>
      <c r="J5" s="215">
        <f t="shared" si="1"/>
        <v>895223.86706654401</v>
      </c>
      <c r="K5" s="215">
        <f t="shared" si="1"/>
        <v>807855.88725088409</v>
      </c>
      <c r="L5" s="215">
        <f t="shared" si="1"/>
        <v>807855.88725088409</v>
      </c>
      <c r="M5" s="215">
        <f t="shared" si="1"/>
        <v>807855.88725088409</v>
      </c>
    </row>
    <row r="6" spans="2:19" hidden="1" x14ac:dyDescent="0.2">
      <c r="E6" s="5" t="s">
        <v>781</v>
      </c>
      <c r="H6" s="215">
        <f>H121</f>
        <v>157601943.32206556</v>
      </c>
      <c r="I6" s="215">
        <f t="shared" ref="I6:M6" si="2">I121</f>
        <v>166427652.14810124</v>
      </c>
      <c r="J6" s="215">
        <f t="shared" si="2"/>
        <v>175747600.66839492</v>
      </c>
      <c r="K6" s="215">
        <f t="shared" si="2"/>
        <v>157601943.32206556</v>
      </c>
      <c r="L6" s="215">
        <f t="shared" si="2"/>
        <v>157601943.32206556</v>
      </c>
      <c r="M6" s="215">
        <f t="shared" si="2"/>
        <v>157601943.32206556</v>
      </c>
    </row>
    <row r="7" spans="2:19" hidden="1" x14ac:dyDescent="0.2">
      <c r="E7" s="5" t="s">
        <v>782</v>
      </c>
      <c r="H7" s="215">
        <f>H118</f>
        <v>105067962.21471035</v>
      </c>
      <c r="I7" s="215">
        <f t="shared" ref="I7:L7" si="3">I118</f>
        <v>110951768.09873414</v>
      </c>
      <c r="J7" s="215">
        <f t="shared" si="3"/>
        <v>117165067.11226326</v>
      </c>
      <c r="K7" s="215">
        <f t="shared" si="3"/>
        <v>105067962.21471035</v>
      </c>
      <c r="L7" s="215">
        <f t="shared" si="3"/>
        <v>105067962.21471035</v>
      </c>
      <c r="M7" s="215">
        <f>M118</f>
        <v>105067962.21471035</v>
      </c>
    </row>
    <row r="8" spans="2:19" hidden="1" x14ac:dyDescent="0.2">
      <c r="P8" s="5" t="s">
        <v>992</v>
      </c>
      <c r="R8" s="356" t="s">
        <v>986</v>
      </c>
      <c r="S8" s="359" t="str">
        <f t="shared" ref="S8" si="4">CONCATENATE(P8,R8)</f>
        <v>TSPI</v>
      </c>
    </row>
    <row r="9" spans="2:19" ht="13.5" hidden="1" thickBot="1" x14ac:dyDescent="0.25">
      <c r="E9" s="4" t="s">
        <v>598</v>
      </c>
      <c r="F9" s="4"/>
      <c r="G9" s="4"/>
      <c r="H9" s="216">
        <f t="shared" ref="H9:M9" ca="1" si="5">SUM(H4:H13)</f>
        <v>181794966474414.5</v>
      </c>
      <c r="I9" s="216">
        <f t="shared" ca="1" si="5"/>
        <v>190902914492842.34</v>
      </c>
      <c r="J9" s="216">
        <f t="shared" ca="1" si="5"/>
        <v>200467314023545.56</v>
      </c>
      <c r="K9" s="216">
        <f t="shared" ca="1" si="5"/>
        <v>181794966474414.5</v>
      </c>
      <c r="L9" s="216">
        <f t="shared" ca="1" si="5"/>
        <v>181794966474414.5</v>
      </c>
      <c r="M9" s="216">
        <f t="shared" ca="1" si="5"/>
        <v>131452807719693.37</v>
      </c>
    </row>
    <row r="10" spans="2:19" ht="13.5" hidden="1" thickTop="1" x14ac:dyDescent="0.2">
      <c r="E10" s="4"/>
      <c r="F10" s="4"/>
      <c r="G10" s="4"/>
    </row>
    <row r="11" spans="2:19" hidden="1" x14ac:dyDescent="0.2">
      <c r="E11" s="4"/>
      <c r="F11" s="4"/>
      <c r="G11" s="4"/>
      <c r="H11" s="4"/>
      <c r="I11" s="4"/>
      <c r="J11" s="4"/>
      <c r="K11" s="4"/>
      <c r="L11" s="4"/>
      <c r="M11" s="4"/>
    </row>
    <row r="12" spans="2:19" outlineLevel="1" x14ac:dyDescent="0.2">
      <c r="E12" s="5" t="s">
        <v>1822</v>
      </c>
      <c r="F12" s="4"/>
      <c r="G12" s="4"/>
      <c r="H12" s="215">
        <f>SASSA!H12</f>
        <v>12702228695.408375</v>
      </c>
      <c r="I12" s="215">
        <f>SASSA!I12</f>
        <v>13337340130.178793</v>
      </c>
      <c r="J12" s="215">
        <f>SASSA!J12</f>
        <v>14004207136.687733</v>
      </c>
      <c r="K12" s="215">
        <f>SASSA!K12</f>
        <v>12702228695.408375</v>
      </c>
      <c r="L12" s="215">
        <f>SASSA!L12</f>
        <v>12702228695.408375</v>
      </c>
      <c r="M12" s="215">
        <f>SASSA!M12</f>
        <v>12702228695.408375</v>
      </c>
    </row>
    <row r="13" spans="2:19" outlineLevel="1" x14ac:dyDescent="0.2">
      <c r="E13" s="5" t="s">
        <v>1823</v>
      </c>
      <c r="H13" s="215">
        <f>SASSA!H8</f>
        <v>6351114347.7041874</v>
      </c>
      <c r="I13" s="215">
        <f>SASSA!I8</f>
        <v>6668670065.0893965</v>
      </c>
      <c r="J13" s="215">
        <f>SASSA!J8</f>
        <v>7002103568.3438663</v>
      </c>
      <c r="K13" s="215">
        <f>SASSA!K8</f>
        <v>6351114347.7041874</v>
      </c>
      <c r="L13" s="215">
        <f>SASSA!L8</f>
        <v>6351114347.7041874</v>
      </c>
      <c r="M13" s="215">
        <f>SASSA!M8</f>
        <v>6351114347.7041874</v>
      </c>
    </row>
    <row r="14" spans="2:19" hidden="1" outlineLevel="1" x14ac:dyDescent="0.2">
      <c r="E14" s="5" t="s">
        <v>780</v>
      </c>
      <c r="H14" s="215">
        <f>H118+H121</f>
        <v>262669905.53677592</v>
      </c>
      <c r="I14" s="215">
        <f t="shared" ref="I14:M14" si="6">I118+I121</f>
        <v>277379420.24683535</v>
      </c>
      <c r="J14" s="215">
        <f t="shared" si="6"/>
        <v>292912667.78065819</v>
      </c>
      <c r="K14" s="215">
        <f t="shared" si="6"/>
        <v>262669905.53677592</v>
      </c>
      <c r="L14" s="215">
        <f t="shared" si="6"/>
        <v>262669905.53677592</v>
      </c>
      <c r="M14" s="215">
        <f t="shared" si="6"/>
        <v>262669905.53677592</v>
      </c>
    </row>
    <row r="15" spans="2:19" hidden="1" outlineLevel="1" x14ac:dyDescent="0.2">
      <c r="E15" s="5" t="s">
        <v>490</v>
      </c>
      <c r="H15" s="215">
        <f>H105+H131</f>
        <v>412150.96570019814</v>
      </c>
      <c r="I15" s="215">
        <f t="shared" ref="I15:M15" si="7">I105+I131</f>
        <v>436116.83620019816</v>
      </c>
      <c r="J15" s="215">
        <f t="shared" si="7"/>
        <v>461664.45415319817</v>
      </c>
      <c r="K15" s="215">
        <f t="shared" si="7"/>
        <v>412150.96570019814</v>
      </c>
      <c r="L15" s="215">
        <f t="shared" si="7"/>
        <v>412150.96570019814</v>
      </c>
      <c r="M15" s="215">
        <f t="shared" si="7"/>
        <v>412150.96570019814</v>
      </c>
    </row>
    <row r="16" spans="2:19" hidden="1" outlineLevel="1" x14ac:dyDescent="0.2">
      <c r="E16" s="5" t="s">
        <v>491</v>
      </c>
      <c r="H16" s="215">
        <f>H108</f>
        <v>48083.04069767442</v>
      </c>
      <c r="I16" s="215">
        <f t="shared" ref="I16:M16" si="8">I108</f>
        <v>51256.521383720938</v>
      </c>
      <c r="J16" s="215">
        <f t="shared" si="8"/>
        <v>54639.451795046531</v>
      </c>
      <c r="K16" s="215">
        <f t="shared" si="8"/>
        <v>48083.04069767442</v>
      </c>
      <c r="L16" s="215">
        <f t="shared" si="8"/>
        <v>48083.04069767442</v>
      </c>
      <c r="M16" s="215">
        <f t="shared" si="8"/>
        <v>48083.04069767442</v>
      </c>
    </row>
    <row r="17" spans="5:14" hidden="1" outlineLevel="1" x14ac:dyDescent="0.2">
      <c r="E17" s="5" t="s">
        <v>492</v>
      </c>
      <c r="H17" s="215">
        <f>H112+H115+H116</f>
        <v>159945.20694385847</v>
      </c>
      <c r="I17" s="215">
        <f t="shared" ref="I17:M17" si="9">I112+I115+I116</f>
        <v>170501.59060215313</v>
      </c>
      <c r="J17" s="215">
        <f t="shared" si="9"/>
        <v>181754.69558189524</v>
      </c>
      <c r="K17" s="215">
        <f t="shared" si="9"/>
        <v>159945.20694385847</v>
      </c>
      <c r="L17" s="215">
        <f t="shared" si="9"/>
        <v>159945.20694385847</v>
      </c>
      <c r="M17" s="215">
        <f t="shared" si="9"/>
        <v>159945.20694385847</v>
      </c>
    </row>
    <row r="18" spans="5:14" hidden="1" outlineLevel="1" x14ac:dyDescent="0.2">
      <c r="E18" s="5" t="s">
        <v>493</v>
      </c>
      <c r="H18" s="215">
        <f>H127+H128+H129+H130+H132+H133</f>
        <v>22550863.534414236</v>
      </c>
      <c r="I18" s="215">
        <f t="shared" ref="I18:M18" si="10">I127+I128+I129+I130+I132+I133</f>
        <v>24031632.285970062</v>
      </c>
      <c r="J18" s="215">
        <f t="shared" si="10"/>
        <v>25609706.833592515</v>
      </c>
      <c r="K18" s="215">
        <f t="shared" si="10"/>
        <v>22550863.534414236</v>
      </c>
      <c r="L18" s="215">
        <f t="shared" si="10"/>
        <v>22550863.534414236</v>
      </c>
      <c r="M18" s="215">
        <f t="shared" si="10"/>
        <v>22550863.534414236</v>
      </c>
    </row>
    <row r="19" spans="5:14" ht="13.5" hidden="1" outlineLevel="1" thickBot="1" x14ac:dyDescent="0.25">
      <c r="E19" s="4" t="s">
        <v>1740</v>
      </c>
      <c r="F19" s="4"/>
      <c r="G19" s="4"/>
      <c r="H19" s="216">
        <f>SUM(H12:H18)</f>
        <v>19339183991.397099</v>
      </c>
      <c r="I19" s="216">
        <f t="shared" ref="I19:M19" si="11">SUM(I12:I18)</f>
        <v>20308079122.74918</v>
      </c>
      <c r="J19" s="216">
        <f t="shared" si="11"/>
        <v>21325531138.247383</v>
      </c>
      <c r="K19" s="216">
        <f t="shared" si="11"/>
        <v>19339183991.397099</v>
      </c>
      <c r="L19" s="216">
        <f t="shared" si="11"/>
        <v>19339183991.397099</v>
      </c>
      <c r="M19" s="216">
        <f t="shared" si="11"/>
        <v>19339183991.397099</v>
      </c>
    </row>
    <row r="20" spans="5:14" ht="13.5" hidden="1" thickTop="1" x14ac:dyDescent="0.2"/>
    <row r="21" spans="5:14" s="78" customFormat="1" x14ac:dyDescent="0.2"/>
    <row r="22" spans="5:14" s="315" customFormat="1" x14ac:dyDescent="0.2">
      <c r="E22" s="315" t="s">
        <v>426</v>
      </c>
    </row>
    <row r="23" spans="5:14" ht="15" hidden="1" x14ac:dyDescent="0.25">
      <c r="E23" s="316" t="s">
        <v>1262</v>
      </c>
      <c r="F23" s="4"/>
      <c r="G23" s="4"/>
      <c r="N23"/>
    </row>
    <row r="24" spans="5:14" ht="15" hidden="1" x14ac:dyDescent="0.25">
      <c r="E24" s="6" t="s">
        <v>776</v>
      </c>
      <c r="F24" s="6"/>
      <c r="G24" s="6"/>
      <c r="H24" s="69">
        <v>7.0000000000000007E-2</v>
      </c>
      <c r="I24" s="69">
        <v>7.0000000000000007E-2</v>
      </c>
      <c r="J24" s="69">
        <v>7.0000000000000007E-2</v>
      </c>
      <c r="K24" s="69">
        <v>7.0000000000000007E-2</v>
      </c>
      <c r="L24" s="69">
        <v>7.0000000000000007E-2</v>
      </c>
      <c r="M24" s="578">
        <f>'Budget Choices Workings'!D75</f>
        <v>7.0000000000000007E-2</v>
      </c>
      <c r="N24"/>
    </row>
    <row r="25" spans="5:14" ht="15" hidden="1" x14ac:dyDescent="0.25">
      <c r="E25" s="6" t="s">
        <v>1264</v>
      </c>
      <c r="F25" s="6"/>
      <c r="G25" s="6"/>
      <c r="H25" s="69">
        <v>0.03</v>
      </c>
      <c r="I25" s="69">
        <v>0.03</v>
      </c>
      <c r="J25" s="69">
        <v>0.03</v>
      </c>
      <c r="K25" s="69">
        <v>0.03</v>
      </c>
      <c r="L25" s="69">
        <v>0.03</v>
      </c>
      <c r="M25" s="578">
        <f>'Budget Choices Workings'!D76</f>
        <v>0.03</v>
      </c>
      <c r="N25"/>
    </row>
    <row r="26" spans="5:14" ht="15" hidden="1" x14ac:dyDescent="0.25">
      <c r="E26" s="6" t="s">
        <v>777</v>
      </c>
      <c r="F26" s="6"/>
      <c r="G26" s="6"/>
      <c r="H26" s="184">
        <f t="shared" ref="H26:M26" si="12">H24*H102+H25*H103</f>
        <v>116742.18023856706</v>
      </c>
      <c r="I26" s="184">
        <f t="shared" si="12"/>
        <v>116742.18023856706</v>
      </c>
      <c r="J26" s="184">
        <f t="shared" si="12"/>
        <v>116742.18023856706</v>
      </c>
      <c r="K26" s="184">
        <f t="shared" si="12"/>
        <v>116742.18023856706</v>
      </c>
      <c r="L26" s="184">
        <f t="shared" si="12"/>
        <v>116742.18023856706</v>
      </c>
      <c r="M26" s="184">
        <f t="shared" si="12"/>
        <v>116742.18023856706</v>
      </c>
      <c r="N26"/>
    </row>
    <row r="27" spans="5:14" ht="15" hidden="1" x14ac:dyDescent="0.25">
      <c r="E27" s="66" t="s">
        <v>482</v>
      </c>
      <c r="F27" s="6"/>
      <c r="G27" s="6"/>
      <c r="H27" s="69">
        <v>0.6</v>
      </c>
      <c r="I27" s="69">
        <v>0.6</v>
      </c>
      <c r="J27" s="69">
        <v>0.6</v>
      </c>
      <c r="K27" s="69">
        <v>0.6</v>
      </c>
      <c r="L27" s="69">
        <v>0.6</v>
      </c>
      <c r="M27" s="69">
        <f>H27</f>
        <v>0.6</v>
      </c>
      <c r="N27"/>
    </row>
    <row r="28" spans="5:14" ht="15" hidden="1" x14ac:dyDescent="0.25">
      <c r="E28" s="66" t="s">
        <v>483</v>
      </c>
      <c r="F28" s="6"/>
      <c r="G28" s="6"/>
      <c r="H28" s="71">
        <f>1-H27</f>
        <v>0.4</v>
      </c>
      <c r="I28" s="71">
        <f t="shared" ref="I28:M28" si="13">1-I27</f>
        <v>0.4</v>
      </c>
      <c r="J28" s="71">
        <f t="shared" si="13"/>
        <v>0.4</v>
      </c>
      <c r="K28" s="71">
        <f t="shared" si="13"/>
        <v>0.4</v>
      </c>
      <c r="L28" s="71">
        <f t="shared" si="13"/>
        <v>0.4</v>
      </c>
      <c r="M28" s="71">
        <f t="shared" si="13"/>
        <v>0.4</v>
      </c>
      <c r="N28"/>
    </row>
    <row r="29" spans="5:14" ht="7.5" hidden="1" customHeight="1" x14ac:dyDescent="0.2">
      <c r="E29" s="66"/>
      <c r="F29" s="6"/>
      <c r="G29" s="6"/>
      <c r="H29" s="6"/>
      <c r="I29" s="6"/>
      <c r="J29" s="6"/>
      <c r="K29" s="6"/>
      <c r="L29" s="6"/>
      <c r="M29" s="6"/>
      <c r="N29" s="6"/>
    </row>
    <row r="30" spans="5:14" ht="15" hidden="1" x14ac:dyDescent="0.25">
      <c r="E30" s="66" t="s">
        <v>1472</v>
      </c>
      <c r="F30" s="6"/>
      <c r="G30" s="6"/>
      <c r="H30" s="105">
        <v>0.75</v>
      </c>
      <c r="I30" s="105">
        <v>0.75</v>
      </c>
      <c r="J30" s="105">
        <v>0.75</v>
      </c>
      <c r="K30" s="105">
        <v>0.75</v>
      </c>
      <c r="L30" s="105">
        <v>0.75</v>
      </c>
      <c r="M30" s="105">
        <f>'Budget Choices'!D100</f>
        <v>0.75</v>
      </c>
      <c r="N30"/>
    </row>
    <row r="31" spans="5:14" ht="15" hidden="1" x14ac:dyDescent="0.25">
      <c r="E31" s="66" t="s">
        <v>1471</v>
      </c>
      <c r="F31" s="6"/>
      <c r="G31" s="6"/>
      <c r="H31" s="69">
        <f>1-H30</f>
        <v>0.25</v>
      </c>
      <c r="I31" s="69">
        <f t="shared" ref="I31:M31" si="14">1-I30</f>
        <v>0.25</v>
      </c>
      <c r="J31" s="69">
        <f t="shared" si="14"/>
        <v>0.25</v>
      </c>
      <c r="K31" s="69">
        <f t="shared" si="14"/>
        <v>0.25</v>
      </c>
      <c r="L31" s="69">
        <f t="shared" si="14"/>
        <v>0.25</v>
      </c>
      <c r="M31" s="69">
        <f t="shared" si="14"/>
        <v>0.25</v>
      </c>
      <c r="N31"/>
    </row>
    <row r="32" spans="5:14" ht="6" hidden="1" customHeight="1" x14ac:dyDescent="0.25">
      <c r="E32" s="66"/>
      <c r="F32" s="66"/>
      <c r="G32" s="66"/>
      <c r="H32" s="66"/>
      <c r="I32" s="66"/>
      <c r="J32" s="66"/>
      <c r="K32" s="66"/>
      <c r="L32" s="66"/>
      <c r="M32" s="66"/>
      <c r="N32"/>
    </row>
    <row r="33" spans="3:14" hidden="1" x14ac:dyDescent="0.2">
      <c r="E33" s="6" t="s">
        <v>488</v>
      </c>
      <c r="F33" s="6"/>
      <c r="G33" s="6"/>
      <c r="H33" s="69">
        <v>0.2</v>
      </c>
      <c r="I33" s="69">
        <v>0.2</v>
      </c>
      <c r="J33" s="69">
        <v>0.2</v>
      </c>
      <c r="K33" s="69">
        <v>0.2</v>
      </c>
      <c r="L33" s="69">
        <v>0.2</v>
      </c>
      <c r="M33" s="69">
        <f>H33</f>
        <v>0.2</v>
      </c>
    </row>
    <row r="34" spans="3:14" hidden="1" x14ac:dyDescent="0.2">
      <c r="E34" s="6" t="s">
        <v>763</v>
      </c>
      <c r="F34" s="6"/>
      <c r="G34" s="6"/>
      <c r="H34" s="69">
        <v>0.3</v>
      </c>
      <c r="I34" s="69">
        <v>0.3</v>
      </c>
      <c r="J34" s="69">
        <v>0.3</v>
      </c>
      <c r="K34" s="69">
        <v>0.3</v>
      </c>
      <c r="L34" s="69">
        <v>0.3</v>
      </c>
      <c r="M34" s="69">
        <f>H34</f>
        <v>0.3</v>
      </c>
    </row>
    <row r="35" spans="3:14" hidden="1" x14ac:dyDescent="0.2">
      <c r="E35" s="316" t="s">
        <v>1721</v>
      </c>
      <c r="F35" s="6"/>
      <c r="G35" s="6"/>
      <c r="H35" s="6"/>
      <c r="I35" s="6"/>
      <c r="J35" s="6"/>
      <c r="K35" s="6"/>
      <c r="L35" s="6"/>
      <c r="M35" s="6"/>
    </row>
    <row r="36" spans="3:14" x14ac:dyDescent="0.2">
      <c r="E36" s="6" t="s">
        <v>1735</v>
      </c>
      <c r="F36" s="6"/>
      <c r="G36" s="6"/>
      <c r="H36" s="190">
        <v>320</v>
      </c>
      <c r="I36" s="190">
        <v>336</v>
      </c>
      <c r="J36" s="190">
        <v>352.8</v>
      </c>
      <c r="K36" s="190">
        <v>320</v>
      </c>
      <c r="L36" s="190">
        <v>320</v>
      </c>
      <c r="M36" s="190">
        <f>H36</f>
        <v>320</v>
      </c>
    </row>
    <row r="37" spans="3:14" x14ac:dyDescent="0.2">
      <c r="E37" s="6" t="s">
        <v>1724</v>
      </c>
      <c r="F37" s="6"/>
      <c r="G37" s="6"/>
      <c r="H37" s="6"/>
      <c r="I37" s="6"/>
      <c r="J37" s="6"/>
      <c r="K37" s="6"/>
      <c r="L37" s="6"/>
      <c r="M37" s="6"/>
    </row>
    <row r="38" spans="3:14" x14ac:dyDescent="0.2">
      <c r="E38" s="967" t="s">
        <v>1722</v>
      </c>
      <c r="F38" s="6"/>
      <c r="G38" s="6"/>
      <c r="H38" s="69">
        <f>SASSA!H37</f>
        <v>0.95</v>
      </c>
      <c r="I38" s="69">
        <f>SASSA!I37</f>
        <v>0.95</v>
      </c>
      <c r="J38" s="69">
        <f>SASSA!J37</f>
        <v>0.95</v>
      </c>
      <c r="K38" s="69">
        <f>SASSA!K37</f>
        <v>0.95</v>
      </c>
      <c r="L38" s="69">
        <f>SASSA!L37</f>
        <v>0.95</v>
      </c>
      <c r="M38" s="69">
        <f>SASSA!M37</f>
        <v>0.95</v>
      </c>
    </row>
    <row r="39" spans="3:14" x14ac:dyDescent="0.2">
      <c r="E39" s="967" t="s">
        <v>1817</v>
      </c>
      <c r="F39" s="6"/>
      <c r="G39" s="6"/>
      <c r="H39" s="69">
        <f>SASSA!H38</f>
        <v>0.95</v>
      </c>
      <c r="I39" s="69">
        <f>SASSA!I38</f>
        <v>0.95</v>
      </c>
      <c r="J39" s="69">
        <f>SASSA!J38</f>
        <v>0.95</v>
      </c>
      <c r="K39" s="69">
        <f>SASSA!K38</f>
        <v>0.95</v>
      </c>
      <c r="L39" s="69">
        <f>SASSA!L38</f>
        <v>0.95</v>
      </c>
      <c r="M39" s="69">
        <f>SASSA!M38</f>
        <v>0.95</v>
      </c>
    </row>
    <row r="40" spans="3:14" x14ac:dyDescent="0.2">
      <c r="E40" s="967" t="s">
        <v>1818</v>
      </c>
      <c r="F40" s="6"/>
      <c r="G40" s="6"/>
      <c r="H40" s="69">
        <f>SASSA!H39</f>
        <v>0.95</v>
      </c>
      <c r="I40" s="69">
        <f>SASSA!I39</f>
        <v>0.95</v>
      </c>
      <c r="J40" s="69">
        <f>SASSA!J39</f>
        <v>0.95</v>
      </c>
      <c r="K40" s="69">
        <f>SASSA!K39</f>
        <v>0.95</v>
      </c>
      <c r="L40" s="69">
        <f>SASSA!L39</f>
        <v>0.95</v>
      </c>
      <c r="M40" s="69">
        <f>SASSA!M39</f>
        <v>0.95</v>
      </c>
    </row>
    <row r="41" spans="3:14" x14ac:dyDescent="0.2">
      <c r="E41" s="967" t="s">
        <v>1819</v>
      </c>
      <c r="F41" s="6"/>
      <c r="G41" s="6"/>
      <c r="H41" s="69">
        <f>SASSA!H40</f>
        <v>0.95</v>
      </c>
      <c r="I41" s="69">
        <f>SASSA!I40</f>
        <v>0.95</v>
      </c>
      <c r="J41" s="69">
        <f>SASSA!J40</f>
        <v>0.95</v>
      </c>
      <c r="K41" s="69">
        <f>SASSA!K40</f>
        <v>0.95</v>
      </c>
      <c r="L41" s="69">
        <f>SASSA!L40</f>
        <v>0.95</v>
      </c>
      <c r="M41" s="69">
        <f>SASSA!M40</f>
        <v>0.95</v>
      </c>
    </row>
    <row r="42" spans="3:14" x14ac:dyDescent="0.2">
      <c r="E42" s="967" t="s">
        <v>1820</v>
      </c>
      <c r="F42" s="6"/>
      <c r="G42" s="6"/>
      <c r="H42" s="69">
        <f>SASSA!H41</f>
        <v>0.95</v>
      </c>
      <c r="I42" s="69">
        <f>SASSA!I41</f>
        <v>0.95</v>
      </c>
      <c r="J42" s="69">
        <f>SASSA!J41</f>
        <v>0.95</v>
      </c>
      <c r="K42" s="69">
        <f>SASSA!K41</f>
        <v>0.95</v>
      </c>
      <c r="L42" s="69">
        <f>SASSA!L41</f>
        <v>0.95</v>
      </c>
      <c r="M42" s="69">
        <f>SASSA!M41</f>
        <v>0.95</v>
      </c>
    </row>
    <row r="43" spans="3:14" x14ac:dyDescent="0.2">
      <c r="E43" s="967" t="s">
        <v>1821</v>
      </c>
      <c r="F43" s="6"/>
      <c r="G43" s="6"/>
      <c r="H43" s="191">
        <f>SASSA!H153+SASSA!H154</f>
        <v>2216250.8546094252</v>
      </c>
      <c r="I43" s="191">
        <f>SASSA!I153+SASSA!I154</f>
        <v>2216250.8546094252</v>
      </c>
      <c r="J43" s="191">
        <f>SASSA!J153+SASSA!J154</f>
        <v>2216250.8546094252</v>
      </c>
      <c r="K43" s="191">
        <f>SASSA!K153+SASSA!K154</f>
        <v>2216250.8546094252</v>
      </c>
      <c r="L43" s="191">
        <f>SASSA!L153+SASSA!L154</f>
        <v>2216250.8546094252</v>
      </c>
      <c r="M43" s="191">
        <f>SASSA!M153+SASSA!M154</f>
        <v>2216250.8546094252</v>
      </c>
    </row>
    <row r="44" spans="3:14" ht="5.25" customHeight="1" x14ac:dyDescent="0.2">
      <c r="E44" s="967"/>
      <c r="F44" s="6"/>
      <c r="G44" s="6"/>
      <c r="H44" s="967"/>
      <c r="J44" s="6"/>
      <c r="K44" s="6"/>
      <c r="L44" s="967"/>
      <c r="N44" s="6"/>
    </row>
    <row r="45" spans="3:14" x14ac:dyDescent="0.2">
      <c r="E45" s="65" t="s">
        <v>1753</v>
      </c>
      <c r="F45" s="6"/>
      <c r="G45" s="6"/>
      <c r="H45" s="166" t="s">
        <v>720</v>
      </c>
      <c r="I45" s="166" t="s">
        <v>720</v>
      </c>
      <c r="J45" s="166" t="s">
        <v>720</v>
      </c>
      <c r="K45" s="166" t="s">
        <v>720</v>
      </c>
      <c r="L45" s="166" t="s">
        <v>720</v>
      </c>
      <c r="M45" s="166" t="str">
        <f>H45</f>
        <v>Yes</v>
      </c>
    </row>
    <row r="46" spans="3:14" x14ac:dyDescent="0.2">
      <c r="E46" s="6" t="s">
        <v>1734</v>
      </c>
      <c r="F46" s="6"/>
      <c r="G46" s="6"/>
      <c r="H46" s="69">
        <v>0.5</v>
      </c>
      <c r="I46" s="69">
        <v>0.5</v>
      </c>
      <c r="J46" s="69">
        <v>0.5</v>
      </c>
      <c r="K46" s="69">
        <v>0.5</v>
      </c>
      <c r="L46" s="69">
        <v>0.5</v>
      </c>
      <c r="M46" s="69">
        <f>H46</f>
        <v>0.5</v>
      </c>
    </row>
    <row r="47" spans="3:14" x14ac:dyDescent="0.2">
      <c r="D47" s="931"/>
    </row>
    <row r="48" spans="3:14" s="315" customFormat="1" x14ac:dyDescent="0.2">
      <c r="C48" s="315" t="s">
        <v>490</v>
      </c>
    </row>
    <row r="49" spans="2:13" x14ac:dyDescent="0.2">
      <c r="B49" s="4"/>
      <c r="D49" s="330" t="s">
        <v>489</v>
      </c>
    </row>
    <row r="50" spans="2:13" x14ac:dyDescent="0.2">
      <c r="B50" s="4"/>
      <c r="D50" s="65" t="s">
        <v>2</v>
      </c>
      <c r="E50" s="5" t="s">
        <v>476</v>
      </c>
      <c r="H50" s="69">
        <v>0.15</v>
      </c>
      <c r="I50" s="69">
        <v>0.15</v>
      </c>
      <c r="J50" s="69">
        <v>0.15</v>
      </c>
      <c r="K50" s="69">
        <v>0.15</v>
      </c>
      <c r="L50" s="69">
        <v>0.15</v>
      </c>
      <c r="M50" s="69">
        <f>H50</f>
        <v>0.15</v>
      </c>
    </row>
    <row r="51" spans="2:13" x14ac:dyDescent="0.2">
      <c r="D51" s="65" t="s">
        <v>34</v>
      </c>
      <c r="E51" s="5" t="s">
        <v>476</v>
      </c>
      <c r="H51" s="69">
        <v>0.2</v>
      </c>
      <c r="I51" s="69">
        <v>0.2</v>
      </c>
      <c r="J51" s="69">
        <v>0.2</v>
      </c>
      <c r="K51" s="69">
        <v>0.2</v>
      </c>
      <c r="L51" s="69">
        <v>0.2</v>
      </c>
      <c r="M51" s="69">
        <f t="shared" ref="M51:M52" si="15">H51</f>
        <v>0.2</v>
      </c>
    </row>
    <row r="52" spans="2:13" x14ac:dyDescent="0.2">
      <c r="D52" s="65" t="s">
        <v>5</v>
      </c>
      <c r="E52" s="5" t="s">
        <v>476</v>
      </c>
      <c r="H52" s="69">
        <v>0.35</v>
      </c>
      <c r="I52" s="69">
        <v>0.35</v>
      </c>
      <c r="J52" s="69">
        <v>0.35</v>
      </c>
      <c r="K52" s="69">
        <v>0.35</v>
      </c>
      <c r="L52" s="69">
        <v>0.35</v>
      </c>
      <c r="M52" s="69">
        <f t="shared" si="15"/>
        <v>0.35</v>
      </c>
    </row>
    <row r="55" spans="2:13" s="315" customFormat="1" x14ac:dyDescent="0.2">
      <c r="C55" s="315" t="s">
        <v>491</v>
      </c>
    </row>
    <row r="56" spans="2:13" s="81" customFormat="1" x14ac:dyDescent="0.2">
      <c r="B56" s="88"/>
      <c r="D56" s="322" t="s">
        <v>554</v>
      </c>
    </row>
    <row r="57" spans="2:13" x14ac:dyDescent="0.2">
      <c r="D57" s="65" t="s">
        <v>34</v>
      </c>
    </row>
    <row r="58" spans="2:13" x14ac:dyDescent="0.2">
      <c r="D58" s="66" t="s">
        <v>481</v>
      </c>
      <c r="H58" s="120">
        <v>24</v>
      </c>
      <c r="I58" s="120">
        <v>24</v>
      </c>
      <c r="J58" s="120">
        <v>24</v>
      </c>
      <c r="K58" s="120">
        <v>24</v>
      </c>
      <c r="L58" s="120">
        <v>24</v>
      </c>
      <c r="M58" s="120">
        <f>H58</f>
        <v>24</v>
      </c>
    </row>
    <row r="59" spans="2:13" x14ac:dyDescent="0.2">
      <c r="D59" s="66" t="s">
        <v>477</v>
      </c>
      <c r="H59" s="120">
        <v>24</v>
      </c>
      <c r="I59" s="120">
        <v>24</v>
      </c>
      <c r="J59" s="120">
        <v>24</v>
      </c>
      <c r="K59" s="120">
        <v>24</v>
      </c>
      <c r="L59" s="120">
        <v>24</v>
      </c>
      <c r="M59" s="120">
        <f t="shared" ref="M59:M61" si="16">H59</f>
        <v>24</v>
      </c>
    </row>
    <row r="60" spans="2:13" x14ac:dyDescent="0.2">
      <c r="D60" s="66" t="s">
        <v>478</v>
      </c>
      <c r="H60" s="120">
        <v>5</v>
      </c>
      <c r="I60" s="120">
        <v>5</v>
      </c>
      <c r="J60" s="120">
        <v>5</v>
      </c>
      <c r="K60" s="120">
        <v>5</v>
      </c>
      <c r="L60" s="120">
        <v>5</v>
      </c>
      <c r="M60" s="120">
        <f t="shared" si="16"/>
        <v>5</v>
      </c>
    </row>
    <row r="61" spans="2:13" x14ac:dyDescent="0.2">
      <c r="D61" s="66" t="s">
        <v>479</v>
      </c>
      <c r="H61" s="120">
        <v>3</v>
      </c>
      <c r="I61" s="120">
        <v>3</v>
      </c>
      <c r="J61" s="120">
        <v>3</v>
      </c>
      <c r="K61" s="120">
        <v>3</v>
      </c>
      <c r="L61" s="120">
        <v>3</v>
      </c>
      <c r="M61" s="120">
        <f t="shared" si="16"/>
        <v>3</v>
      </c>
    </row>
    <row r="63" spans="2:13" s="315" customFormat="1" x14ac:dyDescent="0.2">
      <c r="C63" s="315" t="s">
        <v>492</v>
      </c>
    </row>
    <row r="64" spans="2:13" x14ac:dyDescent="0.2">
      <c r="D64" s="322" t="s">
        <v>555</v>
      </c>
    </row>
    <row r="65" spans="2:13" x14ac:dyDescent="0.2">
      <c r="D65" s="65" t="s">
        <v>25</v>
      </c>
      <c r="E65" s="5" t="s">
        <v>480</v>
      </c>
      <c r="H65" s="69">
        <v>0.03</v>
      </c>
      <c r="I65" s="69">
        <v>0.03</v>
      </c>
      <c r="J65" s="69">
        <v>0.03</v>
      </c>
      <c r="K65" s="69">
        <v>0.03</v>
      </c>
      <c r="L65" s="69">
        <v>0.03</v>
      </c>
      <c r="M65" s="69">
        <f>H65</f>
        <v>0.03</v>
      </c>
    </row>
    <row r="67" spans="2:13" x14ac:dyDescent="0.2">
      <c r="D67" s="316" t="s">
        <v>553</v>
      </c>
    </row>
    <row r="68" spans="2:13" x14ac:dyDescent="0.2">
      <c r="D68" s="4"/>
      <c r="E68" s="5" t="s">
        <v>765</v>
      </c>
      <c r="H68" s="120">
        <v>350</v>
      </c>
      <c r="I68" s="120">
        <v>350</v>
      </c>
      <c r="J68" s="120">
        <v>350</v>
      </c>
      <c r="K68" s="120">
        <v>350</v>
      </c>
      <c r="L68" s="120">
        <v>350</v>
      </c>
      <c r="M68" s="120">
        <f>H68</f>
        <v>350</v>
      </c>
    </row>
    <row r="69" spans="2:13" x14ac:dyDescent="0.2">
      <c r="D69" s="6" t="s">
        <v>35</v>
      </c>
      <c r="E69" s="5" t="s">
        <v>758</v>
      </c>
      <c r="H69" s="120">
        <v>45</v>
      </c>
      <c r="I69" s="120">
        <v>45</v>
      </c>
      <c r="J69" s="120">
        <v>45</v>
      </c>
      <c r="K69" s="120">
        <v>45</v>
      </c>
      <c r="L69" s="120">
        <v>45</v>
      </c>
      <c r="M69" s="120">
        <f t="shared" ref="M69:M73" si="17">H69</f>
        <v>45</v>
      </c>
    </row>
    <row r="70" spans="2:13" x14ac:dyDescent="0.2">
      <c r="D70" s="6"/>
      <c r="E70" s="5" t="s">
        <v>759</v>
      </c>
      <c r="H70" s="120">
        <v>10</v>
      </c>
      <c r="I70" s="120">
        <v>10</v>
      </c>
      <c r="J70" s="120">
        <v>10</v>
      </c>
      <c r="K70" s="120">
        <v>10</v>
      </c>
      <c r="L70" s="120">
        <v>10</v>
      </c>
      <c r="M70" s="120">
        <f t="shared" si="17"/>
        <v>10</v>
      </c>
    </row>
    <row r="71" spans="2:13" x14ac:dyDescent="0.2">
      <c r="D71" s="6"/>
      <c r="E71" s="5" t="s">
        <v>766</v>
      </c>
      <c r="H71" s="120">
        <v>35</v>
      </c>
      <c r="I71" s="120">
        <v>35</v>
      </c>
      <c r="J71" s="120">
        <v>35</v>
      </c>
      <c r="K71" s="120">
        <v>35</v>
      </c>
      <c r="L71" s="120">
        <v>35</v>
      </c>
      <c r="M71" s="120">
        <f t="shared" si="17"/>
        <v>35</v>
      </c>
    </row>
    <row r="72" spans="2:13" x14ac:dyDescent="0.2">
      <c r="D72" s="6" t="s">
        <v>36</v>
      </c>
      <c r="E72" s="5" t="s">
        <v>758</v>
      </c>
      <c r="H72" s="120">
        <v>90</v>
      </c>
      <c r="I72" s="120">
        <v>90</v>
      </c>
      <c r="J72" s="120">
        <v>90</v>
      </c>
      <c r="K72" s="120">
        <v>90</v>
      </c>
      <c r="L72" s="120">
        <v>90</v>
      </c>
      <c r="M72" s="120">
        <f t="shared" si="17"/>
        <v>90</v>
      </c>
    </row>
    <row r="73" spans="2:13" x14ac:dyDescent="0.2">
      <c r="D73" s="6"/>
      <c r="E73" s="5" t="s">
        <v>767</v>
      </c>
      <c r="H73" s="120">
        <v>45</v>
      </c>
      <c r="I73" s="120">
        <v>45</v>
      </c>
      <c r="J73" s="120">
        <v>45</v>
      </c>
      <c r="K73" s="120">
        <v>45</v>
      </c>
      <c r="L73" s="120">
        <v>45</v>
      </c>
      <c r="M73" s="120">
        <f t="shared" si="17"/>
        <v>45</v>
      </c>
    </row>
    <row r="74" spans="2:13" x14ac:dyDescent="0.2">
      <c r="D74" s="6"/>
      <c r="H74" s="186"/>
    </row>
    <row r="75" spans="2:13" x14ac:dyDescent="0.2">
      <c r="D75" s="5" t="s">
        <v>1506</v>
      </c>
      <c r="H75" s="120">
        <v>550</v>
      </c>
      <c r="I75" s="215">
        <f>H75*(1+GenAssumptions!$E$6)</f>
        <v>580.80000000000007</v>
      </c>
      <c r="J75" s="215">
        <f>I75*(1+GenAssumptions!$F$6)</f>
        <v>613.3248000000001</v>
      </c>
      <c r="K75" s="215">
        <f>H75*(1+GenAssumptions!$G$6)</f>
        <v>550</v>
      </c>
      <c r="L75" s="215">
        <f>H75*(1+GenAssumptions!$H$6)</f>
        <v>550</v>
      </c>
      <c r="M75" s="215">
        <f>'Budget Choices'!D96</f>
        <v>550</v>
      </c>
    </row>
    <row r="76" spans="2:13" x14ac:dyDescent="0.2">
      <c r="D76" s="5" t="s">
        <v>1507</v>
      </c>
      <c r="H76" s="120">
        <v>600</v>
      </c>
      <c r="I76" s="215">
        <f>H76*(1+GenAssumptions!$E$6)</f>
        <v>633.6</v>
      </c>
      <c r="J76" s="215">
        <f>I76*(1+GenAssumptions!$F$6)</f>
        <v>669.08160000000009</v>
      </c>
      <c r="K76" s="215">
        <f>H76*(1+GenAssumptions!$G$6)</f>
        <v>600</v>
      </c>
      <c r="L76" s="215">
        <f>H76*(1+GenAssumptions!$H$6)</f>
        <v>600</v>
      </c>
      <c r="M76" s="215">
        <f>'Budget Choices'!D97</f>
        <v>600</v>
      </c>
    </row>
    <row r="78" spans="2:13" s="315" customFormat="1" x14ac:dyDescent="0.2">
      <c r="B78" s="315" t="s">
        <v>493</v>
      </c>
    </row>
    <row r="79" spans="2:13" s="24" customFormat="1" x14ac:dyDescent="0.2">
      <c r="D79" s="316" t="s">
        <v>552</v>
      </c>
    </row>
    <row r="80" spans="2:13" x14ac:dyDescent="0.2">
      <c r="D80" s="6" t="s">
        <v>37</v>
      </c>
      <c r="E80" s="5" t="s">
        <v>476</v>
      </c>
      <c r="H80" s="69">
        <v>0.25</v>
      </c>
      <c r="I80" s="69">
        <v>0.25</v>
      </c>
      <c r="J80" s="69">
        <v>0.25</v>
      </c>
      <c r="K80" s="69">
        <v>0.25</v>
      </c>
      <c r="L80" s="69">
        <v>0.25</v>
      </c>
      <c r="M80" s="69">
        <f>H80</f>
        <v>0.25</v>
      </c>
    </row>
    <row r="81" spans="4:13" x14ac:dyDescent="0.2">
      <c r="D81" s="316" t="s">
        <v>551</v>
      </c>
    </row>
    <row r="82" spans="4:13" x14ac:dyDescent="0.2">
      <c r="D82" s="6" t="s">
        <v>380</v>
      </c>
      <c r="E82" s="5" t="s">
        <v>494</v>
      </c>
      <c r="H82" s="120">
        <v>30</v>
      </c>
      <c r="I82" s="120">
        <v>30</v>
      </c>
      <c r="J82" s="120">
        <v>30</v>
      </c>
      <c r="K82" s="120">
        <v>30</v>
      </c>
      <c r="L82" s="120">
        <v>30</v>
      </c>
      <c r="M82" s="120">
        <f>H82</f>
        <v>30</v>
      </c>
    </row>
    <row r="83" spans="4:13" x14ac:dyDescent="0.2">
      <c r="D83" s="316" t="s">
        <v>549</v>
      </c>
      <c r="E83" s="4" t="s">
        <v>484</v>
      </c>
      <c r="F83" s="4"/>
      <c r="G83" s="4"/>
    </row>
    <row r="84" spans="4:13" x14ac:dyDescent="0.2">
      <c r="D84" s="6" t="s">
        <v>761</v>
      </c>
      <c r="E84" s="5" t="s">
        <v>485</v>
      </c>
      <c r="H84" s="120">
        <v>10</v>
      </c>
      <c r="I84" s="120">
        <v>10</v>
      </c>
      <c r="J84" s="120">
        <v>10</v>
      </c>
      <c r="K84" s="120">
        <v>10</v>
      </c>
      <c r="L84" s="120">
        <v>10</v>
      </c>
      <c r="M84" s="120">
        <f>H84</f>
        <v>10</v>
      </c>
    </row>
    <row r="85" spans="4:13" x14ac:dyDescent="0.2">
      <c r="D85" s="6"/>
      <c r="E85" s="5" t="s">
        <v>486</v>
      </c>
      <c r="H85" s="120">
        <v>15</v>
      </c>
      <c r="I85" s="120">
        <v>15</v>
      </c>
      <c r="J85" s="120">
        <v>15</v>
      </c>
      <c r="K85" s="120">
        <v>15</v>
      </c>
      <c r="L85" s="120">
        <v>15</v>
      </c>
      <c r="M85" s="120">
        <f t="shared" ref="M85:M88" si="18">H85</f>
        <v>15</v>
      </c>
    </row>
    <row r="86" spans="4:13" x14ac:dyDescent="0.2">
      <c r="D86" s="6" t="s">
        <v>762</v>
      </c>
      <c r="E86" s="5" t="s">
        <v>487</v>
      </c>
      <c r="H86" s="120">
        <v>10</v>
      </c>
      <c r="I86" s="120">
        <v>10</v>
      </c>
      <c r="J86" s="120">
        <v>10</v>
      </c>
      <c r="K86" s="120">
        <v>10</v>
      </c>
      <c r="L86" s="120">
        <v>10</v>
      </c>
      <c r="M86" s="120">
        <f t="shared" si="18"/>
        <v>10</v>
      </c>
    </row>
    <row r="87" spans="4:13" x14ac:dyDescent="0.2">
      <c r="D87" s="6" t="s">
        <v>768</v>
      </c>
      <c r="E87" s="5" t="s">
        <v>769</v>
      </c>
      <c r="H87" s="120">
        <v>500</v>
      </c>
      <c r="I87" s="120">
        <v>500</v>
      </c>
      <c r="J87" s="120">
        <v>500</v>
      </c>
      <c r="K87" s="120">
        <v>500</v>
      </c>
      <c r="L87" s="120">
        <v>500</v>
      </c>
      <c r="M87" s="120">
        <f t="shared" si="18"/>
        <v>500</v>
      </c>
    </row>
    <row r="88" spans="4:13" x14ac:dyDescent="0.2">
      <c r="E88" s="5" t="s">
        <v>770</v>
      </c>
      <c r="H88" s="190">
        <v>350</v>
      </c>
      <c r="I88" s="190">
        <v>350</v>
      </c>
      <c r="J88" s="190">
        <v>350</v>
      </c>
      <c r="K88" s="190">
        <v>350</v>
      </c>
      <c r="L88" s="190">
        <v>350</v>
      </c>
      <c r="M88" s="120">
        <f t="shared" si="18"/>
        <v>350</v>
      </c>
    </row>
    <row r="89" spans="4:13" x14ac:dyDescent="0.2">
      <c r="D89" s="316" t="s">
        <v>550</v>
      </c>
    </row>
    <row r="90" spans="4:13" x14ac:dyDescent="0.2">
      <c r="D90" s="6" t="s">
        <v>422</v>
      </c>
      <c r="E90" s="5" t="s">
        <v>61</v>
      </c>
      <c r="H90" s="120">
        <v>60</v>
      </c>
      <c r="I90" s="120">
        <v>60</v>
      </c>
      <c r="J90" s="120">
        <v>60</v>
      </c>
      <c r="K90" s="120">
        <v>60</v>
      </c>
      <c r="L90" s="120">
        <v>60</v>
      </c>
      <c r="M90" s="120">
        <f>H90</f>
        <v>60</v>
      </c>
    </row>
    <row r="91" spans="4:13" x14ac:dyDescent="0.2">
      <c r="E91" s="5" t="s">
        <v>38</v>
      </c>
      <c r="H91" s="120">
        <v>25</v>
      </c>
      <c r="I91" s="120">
        <v>25</v>
      </c>
      <c r="J91" s="120">
        <v>25</v>
      </c>
      <c r="K91" s="120">
        <v>25</v>
      </c>
      <c r="L91" s="120">
        <v>25</v>
      </c>
      <c r="M91" s="120">
        <f t="shared" ref="M91:M92" si="19">H91</f>
        <v>25</v>
      </c>
    </row>
    <row r="92" spans="4:13" x14ac:dyDescent="0.2">
      <c r="E92" s="5" t="s">
        <v>39</v>
      </c>
      <c r="H92" s="120">
        <v>10</v>
      </c>
      <c r="I92" s="120">
        <v>10</v>
      </c>
      <c r="J92" s="120">
        <v>10</v>
      </c>
      <c r="K92" s="120">
        <v>10</v>
      </c>
      <c r="L92" s="120">
        <v>10</v>
      </c>
      <c r="M92" s="120">
        <f t="shared" si="19"/>
        <v>10</v>
      </c>
    </row>
    <row r="99" spans="5:20" s="175" customFormat="1" x14ac:dyDescent="0.2"/>
    <row r="101" spans="5:20" x14ac:dyDescent="0.2">
      <c r="E101" s="5" t="s">
        <v>757</v>
      </c>
    </row>
    <row r="102" spans="5:20" x14ac:dyDescent="0.2">
      <c r="G102" s="5" t="s">
        <v>14</v>
      </c>
      <c r="H102" s="193">
        <f>INDEX('H&amp;S Demand'!$AJ$4:$AJ$13,PDSD!$G$81)</f>
        <v>1168882.7786409459</v>
      </c>
      <c r="I102" s="193">
        <f>INDEX('H&amp;S Demand'!$AJ$4:$AJ$13,PDSD!$G$81)</f>
        <v>1168882.7786409459</v>
      </c>
      <c r="J102" s="193">
        <f>INDEX('H&amp;S Demand'!$AJ$4:$AJ$13,PDSD!$G$81)</f>
        <v>1168882.7786409459</v>
      </c>
      <c r="K102" s="193">
        <f>INDEX('H&amp;S Demand'!$AJ$4:$AJ$13,PDSD!$G$81)</f>
        <v>1168882.7786409459</v>
      </c>
      <c r="L102" s="193">
        <f>INDEX('H&amp;S Demand'!$AJ$4:$AJ$13,PDSD!$G$81)</f>
        <v>1168882.7786409459</v>
      </c>
      <c r="M102" s="193">
        <f>INDEX('H&amp;S Demand'!$AJ$4:$AJ$13,PDSD!$G$81)</f>
        <v>1168882.7786409459</v>
      </c>
      <c r="T102" s="607">
        <f>H102*H24-M24*M102</f>
        <v>0</v>
      </c>
    </row>
    <row r="103" spans="5:20" x14ac:dyDescent="0.2">
      <c r="G103" s="5" t="s">
        <v>15</v>
      </c>
      <c r="H103" s="193">
        <f>INDEX('H&amp;S Demand'!$AK$4:$AK$13,PDSD!$G$81)</f>
        <v>1164012.8577900282</v>
      </c>
      <c r="I103" s="193">
        <f>INDEX('H&amp;S Demand'!$AK$4:$AK$13,PDSD!$G$81)</f>
        <v>1164012.8577900282</v>
      </c>
      <c r="J103" s="193">
        <f>INDEX('H&amp;S Demand'!$AK$4:$AK$13,PDSD!$G$81)</f>
        <v>1164012.8577900282</v>
      </c>
      <c r="K103" s="193">
        <f>INDEX('H&amp;S Demand'!$AK$4:$AK$13,PDSD!$G$81)</f>
        <v>1164012.8577900282</v>
      </c>
      <c r="L103" s="193">
        <f>INDEX('H&amp;S Demand'!$AK$4:$AK$13,PDSD!$G$81)</f>
        <v>1164012.8577900282</v>
      </c>
      <c r="M103" s="193">
        <f>INDEX('H&amp;S Demand'!$AK$4:$AK$13,PDSD!$G$81)</f>
        <v>1164012.8577900282</v>
      </c>
      <c r="T103" s="629">
        <f>H103*H25-M25*M103</f>
        <v>0</v>
      </c>
    </row>
    <row r="104" spans="5:20" x14ac:dyDescent="0.2">
      <c r="E104" s="77" t="s">
        <v>489</v>
      </c>
      <c r="F104" s="77"/>
      <c r="G104" s="77"/>
    </row>
    <row r="105" spans="5:20" x14ac:dyDescent="0.2">
      <c r="E105" s="5" t="s">
        <v>760</v>
      </c>
      <c r="H105" s="215">
        <f>H50*GenAssumptions!D16+'SASSA (2)'!H51*GenAssumptions!D19+'SASSA (2)'!H52*GenAssumptions!D19</f>
        <v>363119.25</v>
      </c>
      <c r="I105" s="215">
        <f>I50*GenAssumptions!E16+'SASSA (2)'!I51*GenAssumptions!E19+'SASSA (2)'!I52*GenAssumptions!E19</f>
        <v>387085.12050000002</v>
      </c>
      <c r="J105" s="215">
        <f>J50*GenAssumptions!F16+'SASSA (2)'!J51*GenAssumptions!F19+'SASSA (2)'!J52*GenAssumptions!F19</f>
        <v>412632.73845300003</v>
      </c>
      <c r="K105" s="215">
        <f>K50*GenAssumptions!G16+'SASSA (2)'!K51*GenAssumptions!G19+'SASSA (2)'!K52*GenAssumptions!G19</f>
        <v>363119.25</v>
      </c>
      <c r="L105" s="215">
        <f>L50*GenAssumptions!H16+'SASSA (2)'!L51*GenAssumptions!H19+'SASSA (2)'!L52*GenAssumptions!H19</f>
        <v>363119.25</v>
      </c>
      <c r="M105" s="215">
        <f>M50*GenAssumptions!I16+'SASSA (2)'!M51*GenAssumptions!I19+'SASSA (2)'!M52*GenAssumptions!I19</f>
        <v>363119.25</v>
      </c>
      <c r="P105" s="5" t="s">
        <v>865</v>
      </c>
      <c r="R105" s="356" t="s">
        <v>984</v>
      </c>
      <c r="S105" s="359" t="str">
        <f t="shared" ref="S105:S133" si="20">CONCATENATE(P105,R105)</f>
        <v>COEPM</v>
      </c>
    </row>
    <row r="106" spans="5:20" x14ac:dyDescent="0.2">
      <c r="S106" s="359" t="str">
        <f t="shared" si="20"/>
        <v/>
      </c>
    </row>
    <row r="107" spans="5:20" x14ac:dyDescent="0.2">
      <c r="E107" s="77" t="s">
        <v>554</v>
      </c>
      <c r="F107" s="77"/>
      <c r="G107" s="77"/>
      <c r="S107" s="359" t="str">
        <f t="shared" si="20"/>
        <v/>
      </c>
    </row>
    <row r="108" spans="5:20" x14ac:dyDescent="0.2">
      <c r="H108" s="215">
        <f>(H58+H59+H60*H61)/GenAssumptions!$E$46*GenAssumptions!D16</f>
        <v>48083.04069767442</v>
      </c>
      <c r="I108" s="215">
        <f>(I58+I59+I60*I61)/GenAssumptions!$E$46*GenAssumptions!E16</f>
        <v>51256.521383720938</v>
      </c>
      <c r="J108" s="215">
        <f>(J58+J59+J60*J61)/GenAssumptions!$E$46*GenAssumptions!F16</f>
        <v>54639.451795046531</v>
      </c>
      <c r="K108" s="215">
        <f>(K58+K59+K60*K61)/GenAssumptions!$E$46*GenAssumptions!G16</f>
        <v>48083.04069767442</v>
      </c>
      <c r="L108" s="215">
        <f>(L58+L59+L60*L61)/GenAssumptions!$E$46*GenAssumptions!H16</f>
        <v>48083.04069767442</v>
      </c>
      <c r="M108" s="215">
        <f>(M58+M59+M60*M61)/GenAssumptions!$E$46*GenAssumptions!I16</f>
        <v>48083.04069767442</v>
      </c>
      <c r="P108" s="5" t="s">
        <v>865</v>
      </c>
      <c r="R108" s="356" t="s">
        <v>984</v>
      </c>
      <c r="S108" s="359" t="str">
        <f t="shared" si="20"/>
        <v>COEPM</v>
      </c>
    </row>
    <row r="109" spans="5:20" x14ac:dyDescent="0.2">
      <c r="E109" s="5" t="s">
        <v>7</v>
      </c>
      <c r="S109" s="359" t="str">
        <f t="shared" si="20"/>
        <v/>
      </c>
    </row>
    <row r="110" spans="5:20" x14ac:dyDescent="0.2">
      <c r="E110" s="77" t="s">
        <v>555</v>
      </c>
      <c r="F110" s="77"/>
      <c r="G110" s="77"/>
      <c r="S110" s="359" t="str">
        <f t="shared" si="20"/>
        <v/>
      </c>
    </row>
    <row r="111" spans="5:20" x14ac:dyDescent="0.2">
      <c r="E111" s="5" t="s">
        <v>773</v>
      </c>
      <c r="H111" s="213">
        <f>VLOOKUP(E1,'H&amp;S Demand'!A18:D27,3,FALSE)</f>
        <v>8</v>
      </c>
      <c r="S111" s="359" t="str">
        <f t="shared" si="20"/>
        <v/>
      </c>
    </row>
    <row r="112" spans="5:20" x14ac:dyDescent="0.2">
      <c r="E112" s="5" t="s">
        <v>774</v>
      </c>
      <c r="H112" s="215">
        <f>H65*GenAssumptions!D17</f>
        <v>28947.059999999998</v>
      </c>
      <c r="I112" s="215">
        <f>I65*GenAssumptions!E17</f>
        <v>30857.56596</v>
      </c>
      <c r="J112" s="215">
        <f>J65*GenAssumptions!F17</f>
        <v>32894.165313359998</v>
      </c>
      <c r="K112" s="215">
        <f>K65*GenAssumptions!G17</f>
        <v>28947.059999999998</v>
      </c>
      <c r="L112" s="215">
        <f>L65*GenAssumptions!H17</f>
        <v>28947.059999999998</v>
      </c>
      <c r="M112" s="215">
        <f>M65*GenAssumptions!I17</f>
        <v>28947.059999999998</v>
      </c>
      <c r="P112" s="5" t="s">
        <v>865</v>
      </c>
      <c r="R112" s="356" t="s">
        <v>984</v>
      </c>
      <c r="S112" s="359" t="str">
        <f t="shared" si="20"/>
        <v>COEPM</v>
      </c>
    </row>
    <row r="113" spans="4:19" x14ac:dyDescent="0.2">
      <c r="H113" s="197"/>
      <c r="I113" s="197"/>
      <c r="J113" s="197"/>
      <c r="K113" s="197"/>
      <c r="L113" s="197"/>
      <c r="M113" s="197"/>
      <c r="S113" s="359" t="str">
        <f t="shared" si="20"/>
        <v/>
      </c>
    </row>
    <row r="114" spans="4:19" x14ac:dyDescent="0.2">
      <c r="E114" s="6" t="s">
        <v>771</v>
      </c>
      <c r="F114" s="6"/>
      <c r="G114" s="6"/>
      <c r="H114" s="210">
        <f t="shared" ref="H114:M114" si="21">H27*H26/H68</f>
        <v>200.12945183754354</v>
      </c>
      <c r="I114" s="210">
        <f t="shared" si="21"/>
        <v>200.12945183754354</v>
      </c>
      <c r="J114" s="210">
        <f t="shared" si="21"/>
        <v>200.12945183754354</v>
      </c>
      <c r="K114" s="210">
        <f t="shared" si="21"/>
        <v>200.12945183754354</v>
      </c>
      <c r="L114" s="210">
        <f t="shared" si="21"/>
        <v>200.12945183754354</v>
      </c>
      <c r="M114" s="210">
        <f t="shared" si="21"/>
        <v>200.12945183754354</v>
      </c>
      <c r="S114" s="359" t="str">
        <f t="shared" si="20"/>
        <v/>
      </c>
    </row>
    <row r="115" spans="4:19" x14ac:dyDescent="0.2">
      <c r="E115" s="6" t="s">
        <v>775</v>
      </c>
      <c r="F115" s="6"/>
      <c r="G115" s="6"/>
      <c r="H115" s="215">
        <f>((H114*H71)+(H70*H69*$H$111))/Minutes_per_Year*GenAssumptions!D18</f>
        <v>72023.808541636536</v>
      </c>
      <c r="I115" s="215">
        <f>((I114*I71)+(I70*I69*$H$111))/Minutes_per_Year*GenAssumptions!E18</f>
        <v>76777.379905384558</v>
      </c>
      <c r="J115" s="215">
        <f>((J114*J71)+(J70*J69*$H$111))/Minutes_per_Year*GenAssumptions!F18</f>
        <v>81844.686979139951</v>
      </c>
      <c r="K115" s="215">
        <f>((K114*K71)+(K70*K69*$H$111))/Minutes_per_Year*GenAssumptions!G18</f>
        <v>72023.808541636536</v>
      </c>
      <c r="L115" s="215">
        <f>((L114*L71)+(L70*L69*$H$111))/Minutes_per_Year*GenAssumptions!H18</f>
        <v>72023.808541636536</v>
      </c>
      <c r="M115" s="215">
        <f>((M114*M71)+(M70*M69*$H$111))/Minutes_per_Year*GenAssumptions!I18</f>
        <v>72023.808541636536</v>
      </c>
      <c r="P115" s="5" t="s">
        <v>865</v>
      </c>
      <c r="R115" s="356" t="s">
        <v>984</v>
      </c>
      <c r="S115" s="359" t="str">
        <f t="shared" si="20"/>
        <v>COEPM</v>
      </c>
    </row>
    <row r="116" spans="4:19" x14ac:dyDescent="0.2">
      <c r="E116" s="6" t="s">
        <v>36</v>
      </c>
      <c r="F116" s="6"/>
      <c r="G116" s="6"/>
      <c r="H116" s="215">
        <f>(H72*H70*$H$111+H114*H73)/Minutes_per_Year*GenAssumptions!D19</f>
        <v>58974.338402221925</v>
      </c>
      <c r="I116" s="215">
        <f>(I72*I70*$H$111+I114*I73)/Minutes_per_Year*GenAssumptions!E19</f>
        <v>62866.644736768569</v>
      </c>
      <c r="J116" s="215">
        <f>(J72*J70*$H$111+J114*J73)/Minutes_per_Year*GenAssumptions!F19</f>
        <v>67015.8432893953</v>
      </c>
      <c r="K116" s="215">
        <f>(K72*K70*$H$111+K114*K73)/Minutes_per_Year*GenAssumptions!G19</f>
        <v>58974.338402221925</v>
      </c>
      <c r="L116" s="215">
        <f>(L72*L70*$H$111+L114*L73)/Minutes_per_Year*GenAssumptions!H19</f>
        <v>58974.338402221925</v>
      </c>
      <c r="M116" s="215">
        <f>(M72*M70*$H$111+M114*M73)/Minutes_per_Year*GenAssumptions!I19</f>
        <v>58974.338402221925</v>
      </c>
      <c r="P116" s="5" t="s">
        <v>865</v>
      </c>
      <c r="R116" s="356" t="s">
        <v>984</v>
      </c>
      <c r="S116" s="359" t="str">
        <f t="shared" si="20"/>
        <v>COEPM</v>
      </c>
    </row>
    <row r="117" spans="4:19" x14ac:dyDescent="0.2">
      <c r="S117" s="359" t="str">
        <f t="shared" si="20"/>
        <v/>
      </c>
    </row>
    <row r="118" spans="4:19" x14ac:dyDescent="0.2">
      <c r="E118" s="5" t="s">
        <v>1509</v>
      </c>
      <c r="H118" s="215">
        <f>H119*H76</f>
        <v>105067962.21471035</v>
      </c>
      <c r="I118" s="215">
        <f t="shared" ref="I118:M118" si="22">I119*I76</f>
        <v>110951768.09873414</v>
      </c>
      <c r="J118" s="215">
        <f t="shared" si="22"/>
        <v>117165067.11226326</v>
      </c>
      <c r="K118" s="215">
        <f t="shared" si="22"/>
        <v>105067962.21471035</v>
      </c>
      <c r="L118" s="215">
        <f t="shared" si="22"/>
        <v>105067962.21471035</v>
      </c>
      <c r="M118" s="215">
        <f t="shared" si="22"/>
        <v>105067962.21471035</v>
      </c>
      <c r="N118" s="215"/>
      <c r="O118" s="215"/>
      <c r="P118" s="215" t="s">
        <v>992</v>
      </c>
      <c r="Q118" s="215"/>
      <c r="R118" s="356" t="s">
        <v>986</v>
      </c>
      <c r="S118" s="359" t="str">
        <f t="shared" si="20"/>
        <v>TSPI</v>
      </c>
    </row>
    <row r="119" spans="4:19" x14ac:dyDescent="0.2">
      <c r="D119" s="219">
        <f>H119/(H119+H122)</f>
        <v>0.39999999999999997</v>
      </c>
      <c r="E119" s="5" t="s">
        <v>1510</v>
      </c>
      <c r="H119" s="452">
        <f t="shared" ref="H119:M119" si="23">H26*H28*H30*3+H26*H28*H31*6</f>
        <v>175113.27035785059</v>
      </c>
      <c r="I119" s="452">
        <f t="shared" si="23"/>
        <v>175113.27035785059</v>
      </c>
      <c r="J119" s="452">
        <f t="shared" si="23"/>
        <v>175113.27035785059</v>
      </c>
      <c r="K119" s="452">
        <f t="shared" si="23"/>
        <v>175113.27035785059</v>
      </c>
      <c r="L119" s="452">
        <f t="shared" si="23"/>
        <v>175113.27035785059</v>
      </c>
      <c r="M119" s="452">
        <f t="shared" si="23"/>
        <v>175113.27035785059</v>
      </c>
      <c r="S119" s="359" t="str">
        <f t="shared" si="20"/>
        <v/>
      </c>
    </row>
    <row r="120" spans="4:19" x14ac:dyDescent="0.2">
      <c r="H120" s="890"/>
      <c r="I120" s="890"/>
      <c r="J120" s="890"/>
      <c r="K120" s="890"/>
      <c r="L120" s="890"/>
      <c r="M120" s="890"/>
      <c r="S120" s="359"/>
    </row>
    <row r="121" spans="4:19" x14ac:dyDescent="0.2">
      <c r="E121" s="5" t="s">
        <v>1508</v>
      </c>
      <c r="H121" s="890">
        <f>H122*H76</f>
        <v>157601943.32206556</v>
      </c>
      <c r="I121" s="890">
        <f t="shared" ref="I121:M121" si="24">I122*I76</f>
        <v>166427652.14810124</v>
      </c>
      <c r="J121" s="890">
        <f t="shared" si="24"/>
        <v>175747600.66839492</v>
      </c>
      <c r="K121" s="890">
        <f t="shared" si="24"/>
        <v>157601943.32206556</v>
      </c>
      <c r="L121" s="890">
        <f t="shared" si="24"/>
        <v>157601943.32206556</v>
      </c>
      <c r="M121" s="890">
        <f t="shared" si="24"/>
        <v>157601943.32206556</v>
      </c>
      <c r="P121" s="215" t="s">
        <v>992</v>
      </c>
      <c r="Q121" s="215"/>
      <c r="R121" s="356" t="s">
        <v>986</v>
      </c>
      <c r="S121" s="359" t="str">
        <f t="shared" ref="S121" si="25">CONCATENATE(P121,R121)</f>
        <v>TSPI</v>
      </c>
    </row>
    <row r="122" spans="4:19" x14ac:dyDescent="0.2">
      <c r="E122" s="5" t="s">
        <v>1511</v>
      </c>
      <c r="H122" s="452">
        <f t="shared" ref="H122:M122" si="26">H26*H27*H30*3+H26*H27*H31*6</f>
        <v>262669.90553677594</v>
      </c>
      <c r="I122" s="452">
        <f t="shared" si="26"/>
        <v>262669.90553677594</v>
      </c>
      <c r="J122" s="452">
        <f t="shared" si="26"/>
        <v>262669.90553677594</v>
      </c>
      <c r="K122" s="452">
        <f t="shared" si="26"/>
        <v>262669.90553677594</v>
      </c>
      <c r="L122" s="452">
        <f t="shared" si="26"/>
        <v>262669.90553677594</v>
      </c>
      <c r="M122" s="452">
        <f t="shared" si="26"/>
        <v>262669.90553677594</v>
      </c>
      <c r="S122" s="359"/>
    </row>
    <row r="123" spans="4:19" x14ac:dyDescent="0.2">
      <c r="E123" s="4" t="s">
        <v>778</v>
      </c>
      <c r="F123" s="4"/>
      <c r="G123" s="4"/>
      <c r="S123" s="359" t="str">
        <f t="shared" si="20"/>
        <v/>
      </c>
    </row>
    <row r="124" spans="4:19" x14ac:dyDescent="0.2">
      <c r="E124" s="5" t="s">
        <v>764</v>
      </c>
      <c r="H124" s="209">
        <f t="shared" ref="H124:M124" si="27">H26*H27*H34</f>
        <v>21013.59244294207</v>
      </c>
      <c r="I124" s="209">
        <f t="shared" si="27"/>
        <v>21013.59244294207</v>
      </c>
      <c r="J124" s="209">
        <f t="shared" si="27"/>
        <v>21013.59244294207</v>
      </c>
      <c r="K124" s="209">
        <f t="shared" si="27"/>
        <v>21013.59244294207</v>
      </c>
      <c r="L124" s="209">
        <f t="shared" si="27"/>
        <v>21013.59244294207</v>
      </c>
      <c r="M124" s="209">
        <f t="shared" si="27"/>
        <v>21013.59244294207</v>
      </c>
      <c r="S124" s="359" t="str">
        <f t="shared" si="20"/>
        <v/>
      </c>
    </row>
    <row r="125" spans="4:19" x14ac:dyDescent="0.2">
      <c r="S125" s="359" t="str">
        <f t="shared" si="20"/>
        <v/>
      </c>
    </row>
    <row r="126" spans="4:19" x14ac:dyDescent="0.2">
      <c r="S126" s="359" t="str">
        <f t="shared" si="20"/>
        <v/>
      </c>
    </row>
    <row r="127" spans="4:19" x14ac:dyDescent="0.2">
      <c r="E127" s="5" t="s">
        <v>37</v>
      </c>
      <c r="H127" s="215">
        <f>H80*GenAssumptions!D17</f>
        <v>241225.5</v>
      </c>
      <c r="I127" s="215">
        <f>I80*GenAssumptions!E17</f>
        <v>257146.383</v>
      </c>
      <c r="J127" s="215">
        <f>J80*GenAssumptions!F17</f>
        <v>274118.04427800002</v>
      </c>
      <c r="K127" s="215">
        <f>K80*GenAssumptions!G17</f>
        <v>241225.5</v>
      </c>
      <c r="L127" s="215">
        <f>L80*GenAssumptions!H17</f>
        <v>241225.5</v>
      </c>
      <c r="M127" s="215">
        <f>M80*GenAssumptions!I17</f>
        <v>241225.5</v>
      </c>
      <c r="P127" s="5" t="s">
        <v>865</v>
      </c>
      <c r="R127" s="356" t="s">
        <v>986</v>
      </c>
      <c r="S127" s="359" t="str">
        <f t="shared" si="20"/>
        <v>COEPI</v>
      </c>
    </row>
    <row r="128" spans="4:19" x14ac:dyDescent="0.2">
      <c r="E128" s="5" t="s">
        <v>380</v>
      </c>
      <c r="H128" s="215">
        <f>H82*H26/Minutes_per_Year*GenAssumptions!D20</f>
        <v>8589826.2734838668</v>
      </c>
      <c r="I128" s="215">
        <f>I82*I26/Minutes_per_Year*GenAssumptions!E20</f>
        <v>9156754.8075338025</v>
      </c>
      <c r="J128" s="215">
        <f>J82*J26/Minutes_per_Year*GenAssumptions!F20</f>
        <v>9761100.6248310357</v>
      </c>
      <c r="K128" s="215">
        <f>K82*K26/Minutes_per_Year*GenAssumptions!G20</f>
        <v>8589826.2734838668</v>
      </c>
      <c r="L128" s="215">
        <f>L82*L26/Minutes_per_Year*GenAssumptions!H20</f>
        <v>8589826.2734838668</v>
      </c>
      <c r="M128" s="215">
        <f>M82*M26/Minutes_per_Year*GenAssumptions!I20</f>
        <v>8589826.2734838668</v>
      </c>
      <c r="P128" s="5" t="s">
        <v>865</v>
      </c>
      <c r="R128" s="356" t="s">
        <v>986</v>
      </c>
      <c r="S128" s="359" t="str">
        <f t="shared" si="20"/>
        <v>COEPI</v>
      </c>
    </row>
    <row r="129" spans="4:19" x14ac:dyDescent="0.2">
      <c r="E129" s="5" t="s">
        <v>761</v>
      </c>
      <c r="H129" s="215">
        <f>(H84*H124+H85*H124)/Minutes_per_Year*GenAssumptions!D18</f>
        <v>3568000.7569018095</v>
      </c>
      <c r="I129" s="215">
        <f>(I84*I124+I85*I124)/Minutes_per_Year*GenAssumptions!E18</f>
        <v>3803488.8068573293</v>
      </c>
      <c r="J129" s="215">
        <f>(J84*J124+J85*J124)/Minutes_per_Year*GenAssumptions!F18</f>
        <v>4054519.0681099133</v>
      </c>
      <c r="K129" s="215">
        <f>(K84*K124+K85*K124)/Minutes_per_Year*GenAssumptions!G18</f>
        <v>3568000.7569018095</v>
      </c>
      <c r="L129" s="215">
        <f>(L84*L124+L85*L124)/Minutes_per_Year*GenAssumptions!H18</f>
        <v>3568000.7569018095</v>
      </c>
      <c r="M129" s="215">
        <f>(M84*M124+M85*M124)/Minutes_per_Year*GenAssumptions!I18</f>
        <v>3568000.7569018095</v>
      </c>
      <c r="P129" s="5" t="s">
        <v>865</v>
      </c>
      <c r="R129" s="356" t="s">
        <v>986</v>
      </c>
      <c r="S129" s="359" t="str">
        <f t="shared" si="20"/>
        <v>COEPI</v>
      </c>
    </row>
    <row r="130" spans="4:19" x14ac:dyDescent="0.2">
      <c r="E130" s="5" t="s">
        <v>762</v>
      </c>
      <c r="H130" s="215">
        <f>H86*H26*H27/Minutes_per_Year*GenAssumptions!D19</f>
        <v>2549006.6819299217</v>
      </c>
      <c r="I130" s="215">
        <f>I86*I26*I27/Minutes_per_Year*GenAssumptions!E19</f>
        <v>2717241.122937297</v>
      </c>
      <c r="J130" s="215">
        <f>J86*J26*J27/Minutes_per_Year*GenAssumptions!F19</f>
        <v>2896579.0370511585</v>
      </c>
      <c r="K130" s="215">
        <f>K86*K26*K27/Minutes_per_Year*GenAssumptions!G19</f>
        <v>2549006.6819299217</v>
      </c>
      <c r="L130" s="215">
        <f>L86*L26*L27/Minutes_per_Year*GenAssumptions!H19</f>
        <v>2549006.6819299217</v>
      </c>
      <c r="M130" s="215">
        <f>M86*M26*M27/Minutes_per_Year*GenAssumptions!I19</f>
        <v>2549006.6819299217</v>
      </c>
      <c r="P130" s="5" t="s">
        <v>865</v>
      </c>
      <c r="R130" s="356" t="s">
        <v>986</v>
      </c>
      <c r="S130" s="359" t="str">
        <f t="shared" si="20"/>
        <v>COEPI</v>
      </c>
    </row>
    <row r="131" spans="4:19" x14ac:dyDescent="0.2">
      <c r="E131" s="5" t="s">
        <v>768</v>
      </c>
      <c r="H131" s="215">
        <f t="shared" ref="H131:M131" si="28">H27*H26/H87*H88</f>
        <v>49031.715700198161</v>
      </c>
      <c r="I131" s="215">
        <f t="shared" si="28"/>
        <v>49031.715700198161</v>
      </c>
      <c r="J131" s="215">
        <f t="shared" si="28"/>
        <v>49031.715700198161</v>
      </c>
      <c r="K131" s="215">
        <f t="shared" si="28"/>
        <v>49031.715700198161</v>
      </c>
      <c r="L131" s="215">
        <f t="shared" si="28"/>
        <v>49031.715700198161</v>
      </c>
      <c r="M131" s="215">
        <f t="shared" si="28"/>
        <v>49031.715700198161</v>
      </c>
      <c r="P131" s="5" t="s">
        <v>866</v>
      </c>
      <c r="R131" s="356" t="s">
        <v>986</v>
      </c>
      <c r="S131" s="359" t="str">
        <f t="shared" si="20"/>
        <v>GSPI</v>
      </c>
    </row>
    <row r="132" spans="4:19" x14ac:dyDescent="0.2">
      <c r="E132" s="5" t="s">
        <v>422</v>
      </c>
      <c r="H132" s="215">
        <f>(H90*H33*H26+H91*H33*H26)/Minutes_per_Year*GenAssumptions!D28</f>
        <v>6843980.1505479477</v>
      </c>
      <c r="I132" s="215">
        <f>(I90*I33*I26+I91*I33*I26)/Minutes_per_Year*GenAssumptions!E28</f>
        <v>7295682.8404841125</v>
      </c>
      <c r="J132" s="215">
        <f>(J90*J33*J26+J91*J33*J26)/Minutes_per_Year*GenAssumptions!F28</f>
        <v>7777197.9079560647</v>
      </c>
      <c r="K132" s="215">
        <f>(K90*K33*K26+K91*K33*K26)/Minutes_per_Year*GenAssumptions!G28</f>
        <v>6843980.1505479477</v>
      </c>
      <c r="L132" s="215">
        <f>(L90*L33*L26+L91*L33*L26)/Minutes_per_Year*GenAssumptions!H28</f>
        <v>6843980.1505479477</v>
      </c>
      <c r="M132" s="215">
        <f>(M90*M33*M26+M91*M33*M26)/Minutes_per_Year*GenAssumptions!I28</f>
        <v>6843980.1505479477</v>
      </c>
      <c r="P132" s="5" t="s">
        <v>865</v>
      </c>
      <c r="R132" s="356" t="s">
        <v>986</v>
      </c>
      <c r="S132" s="359" t="str">
        <f t="shared" si="20"/>
        <v>COEPI</v>
      </c>
    </row>
    <row r="133" spans="4:19" x14ac:dyDescent="0.2">
      <c r="E133" s="5" t="s">
        <v>779</v>
      </c>
      <c r="H133" s="215">
        <f>H92*H33*H26*GenAssumptions!D60</f>
        <v>758824.17155068589</v>
      </c>
      <c r="I133" s="215">
        <f>I92*I33*I26*GenAssumptions!E60</f>
        <v>801318.32515752444</v>
      </c>
      <c r="J133" s="215">
        <f>J92*J33*J26*GenAssumptions!F60</f>
        <v>846192.15136634582</v>
      </c>
      <c r="K133" s="215">
        <f>K92*K33*K26*GenAssumptions!G60</f>
        <v>758824.17155068589</v>
      </c>
      <c r="L133" s="215">
        <f>L92*L33*L26*GenAssumptions!H60</f>
        <v>758824.17155068589</v>
      </c>
      <c r="M133" s="215">
        <f>M92*M33*M26*GenAssumptions!I60</f>
        <v>758824.17155068589</v>
      </c>
      <c r="P133" s="5" t="s">
        <v>866</v>
      </c>
      <c r="R133" s="356" t="s">
        <v>986</v>
      </c>
      <c r="S133" s="359" t="str">
        <f t="shared" si="20"/>
        <v>GSPI</v>
      </c>
    </row>
    <row r="137" spans="4:19" x14ac:dyDescent="0.2">
      <c r="D137" s="1002" t="s">
        <v>1728</v>
      </c>
    </row>
    <row r="138" spans="4:19" ht="14.25" x14ac:dyDescent="0.25">
      <c r="E138" s="5" t="s">
        <v>1729</v>
      </c>
      <c r="H138" s="600"/>
    </row>
    <row r="139" spans="4:19" x14ac:dyDescent="0.2">
      <c r="D139" s="967" t="s">
        <v>1722</v>
      </c>
      <c r="E139" s="193">
        <f>VLOOKUP($E$1,'H&amp;S Demand'!$I$18:$O$27,3,FALSE)</f>
        <v>472313.66016764869</v>
      </c>
      <c r="H139" s="219">
        <f t="shared" ref="H139:M143" si="29">$E139*H38</f>
        <v>448697.97715926624</v>
      </c>
      <c r="I139" s="219">
        <f t="shared" si="29"/>
        <v>448697.97715926624</v>
      </c>
      <c r="J139" s="219">
        <f t="shared" si="29"/>
        <v>448697.97715926624</v>
      </c>
      <c r="K139" s="219">
        <f t="shared" si="29"/>
        <v>448697.97715926624</v>
      </c>
      <c r="L139" s="219">
        <f t="shared" si="29"/>
        <v>448697.97715926624</v>
      </c>
      <c r="M139" s="219">
        <f t="shared" si="29"/>
        <v>448697.97715926624</v>
      </c>
    </row>
    <row r="140" spans="4:19" x14ac:dyDescent="0.2">
      <c r="D140" s="967" t="s">
        <v>1723</v>
      </c>
      <c r="E140" s="193">
        <f>VLOOKUP($E$1,'H&amp;S Demand'!$I$18:$O$27,4,FALSE)</f>
        <v>463133.59609518107</v>
      </c>
      <c r="H140" s="219">
        <f t="shared" si="29"/>
        <v>439976.91629042197</v>
      </c>
      <c r="I140" s="219">
        <f t="shared" si="29"/>
        <v>439976.91629042197</v>
      </c>
      <c r="J140" s="219">
        <f t="shared" si="29"/>
        <v>439976.91629042197</v>
      </c>
      <c r="K140" s="219">
        <f t="shared" si="29"/>
        <v>439976.91629042197</v>
      </c>
      <c r="L140" s="219">
        <f t="shared" si="29"/>
        <v>439976.91629042197</v>
      </c>
      <c r="M140" s="219">
        <f t="shared" si="29"/>
        <v>439976.91629042197</v>
      </c>
    </row>
    <row r="141" spans="4:19" x14ac:dyDescent="0.2">
      <c r="D141" s="967" t="s">
        <v>1725</v>
      </c>
      <c r="E141" s="193">
        <f>VLOOKUP($E$1,'H&amp;S Demand'!$I$18:$O$27,5,FALSE)</f>
        <v>471699.11875320459</v>
      </c>
      <c r="H141" s="219">
        <f t="shared" si="29"/>
        <v>448114.16281554435</v>
      </c>
      <c r="I141" s="219">
        <f t="shared" si="29"/>
        <v>448114.16281554435</v>
      </c>
      <c r="J141" s="219">
        <f t="shared" si="29"/>
        <v>448114.16281554435</v>
      </c>
      <c r="K141" s="219">
        <f t="shared" si="29"/>
        <v>448114.16281554435</v>
      </c>
      <c r="L141" s="219">
        <f t="shared" si="29"/>
        <v>448114.16281554435</v>
      </c>
      <c r="M141" s="219">
        <f t="shared" si="29"/>
        <v>448114.16281554435</v>
      </c>
    </row>
    <row r="142" spans="4:19" x14ac:dyDescent="0.2">
      <c r="D142" s="967" t="s">
        <v>1726</v>
      </c>
      <c r="E142" s="193">
        <f>VLOOKUP($E$1,'H&amp;S Demand'!$I$18:$O$27,6,FALSE)</f>
        <v>468154.19998240314</v>
      </c>
      <c r="H142" s="219">
        <f t="shared" si="29"/>
        <v>444746.48998328298</v>
      </c>
      <c r="I142" s="219">
        <f t="shared" si="29"/>
        <v>444746.48998328298</v>
      </c>
      <c r="J142" s="219">
        <f t="shared" si="29"/>
        <v>444746.48998328298</v>
      </c>
      <c r="K142" s="219">
        <f t="shared" si="29"/>
        <v>444746.48998328298</v>
      </c>
      <c r="L142" s="219">
        <f t="shared" si="29"/>
        <v>444746.48998328298</v>
      </c>
      <c r="M142" s="219">
        <f t="shared" si="29"/>
        <v>444746.48998328298</v>
      </c>
    </row>
    <row r="143" spans="4:19" x14ac:dyDescent="0.2">
      <c r="D143" s="967" t="s">
        <v>1727</v>
      </c>
      <c r="E143" s="193">
        <f>VLOOKUP($E$1,'H&amp;S Demand'!$I$18:$O$27,7,FALSE)</f>
        <v>457595.06143253669</v>
      </c>
      <c r="H143" s="219">
        <f t="shared" si="29"/>
        <v>434715.30836090981</v>
      </c>
      <c r="I143" s="219">
        <f t="shared" si="29"/>
        <v>434715.30836090981</v>
      </c>
      <c r="J143" s="219">
        <f t="shared" si="29"/>
        <v>434715.30836090981</v>
      </c>
      <c r="K143" s="219">
        <f t="shared" si="29"/>
        <v>434715.30836090981</v>
      </c>
      <c r="L143" s="219">
        <f t="shared" si="29"/>
        <v>434715.30836090981</v>
      </c>
      <c r="M143" s="219">
        <f t="shared" si="29"/>
        <v>434715.30836090981</v>
      </c>
    </row>
    <row r="144" spans="4:19" x14ac:dyDescent="0.2">
      <c r="E144" s="5" t="s">
        <v>1754</v>
      </c>
      <c r="H144" s="1003">
        <f>SUM(H139:H143)</f>
        <v>2216250.8546094252</v>
      </c>
      <c r="I144" s="1003">
        <f t="shared" ref="I144:M144" si="30">SUM(I139:I143)</f>
        <v>2216250.8546094252</v>
      </c>
      <c r="J144" s="1003">
        <f t="shared" si="30"/>
        <v>2216250.8546094252</v>
      </c>
      <c r="K144" s="1003">
        <f t="shared" si="30"/>
        <v>2216250.8546094252</v>
      </c>
      <c r="L144" s="1003">
        <f t="shared" si="30"/>
        <v>2216250.8546094252</v>
      </c>
      <c r="M144" s="1003">
        <f t="shared" si="30"/>
        <v>2216250.8546094252</v>
      </c>
    </row>
    <row r="145" spans="4:13" x14ac:dyDescent="0.2">
      <c r="D145" s="967" t="s">
        <v>1722</v>
      </c>
      <c r="E145" s="193">
        <f>VLOOKUP($E$1,'H&amp;S Demand'!$I$33:$O$42,3,FALSE)</f>
        <v>234069.74792765765</v>
      </c>
      <c r="H145" s="219">
        <f t="shared" ref="H145:M149" si="31">$E145*H38</f>
        <v>222366.26053127475</v>
      </c>
      <c r="I145" s="219">
        <f t="shared" si="31"/>
        <v>222366.26053127475</v>
      </c>
      <c r="J145" s="219">
        <f t="shared" si="31"/>
        <v>222366.26053127475</v>
      </c>
      <c r="K145" s="219">
        <f t="shared" si="31"/>
        <v>222366.26053127475</v>
      </c>
      <c r="L145" s="219">
        <f t="shared" si="31"/>
        <v>222366.26053127475</v>
      </c>
      <c r="M145" s="219">
        <f t="shared" si="31"/>
        <v>222366.26053127475</v>
      </c>
    </row>
    <row r="146" spans="4:13" x14ac:dyDescent="0.2">
      <c r="D146" s="967" t="s">
        <v>1723</v>
      </c>
      <c r="E146" s="193">
        <f>VLOOKUP($E$1,'H&amp;S Demand'!$I$33:$O$42,4,FALSE)</f>
        <v>229031.73168392596</v>
      </c>
      <c r="H146" s="219">
        <f t="shared" si="31"/>
        <v>217580.14509972965</v>
      </c>
      <c r="I146" s="219">
        <f t="shared" si="31"/>
        <v>217580.14509972965</v>
      </c>
      <c r="J146" s="219">
        <f t="shared" si="31"/>
        <v>217580.14509972965</v>
      </c>
      <c r="K146" s="219">
        <f t="shared" si="31"/>
        <v>217580.14509972965</v>
      </c>
      <c r="L146" s="219">
        <f t="shared" si="31"/>
        <v>217580.14509972965</v>
      </c>
      <c r="M146" s="219">
        <f t="shared" si="31"/>
        <v>217580.14509972965</v>
      </c>
    </row>
    <row r="147" spans="4:13" x14ac:dyDescent="0.2">
      <c r="D147" s="967" t="s">
        <v>1725</v>
      </c>
      <c r="E147" s="193">
        <f>VLOOKUP($E$1,'H&amp;S Demand'!$I$33:$O$42,5,FALSE)</f>
        <v>232417.79424136973</v>
      </c>
      <c r="H147" s="219">
        <f t="shared" si="31"/>
        <v>220796.90452930125</v>
      </c>
      <c r="I147" s="219">
        <f t="shared" si="31"/>
        <v>220796.90452930125</v>
      </c>
      <c r="J147" s="219">
        <f t="shared" si="31"/>
        <v>220796.90452930125</v>
      </c>
      <c r="K147" s="219">
        <f t="shared" si="31"/>
        <v>220796.90452930125</v>
      </c>
      <c r="L147" s="219">
        <f t="shared" si="31"/>
        <v>220796.90452930125</v>
      </c>
      <c r="M147" s="219">
        <f t="shared" si="31"/>
        <v>220796.90452930125</v>
      </c>
    </row>
    <row r="148" spans="4:13" x14ac:dyDescent="0.2">
      <c r="D148" s="967" t="s">
        <v>1726</v>
      </c>
      <c r="E148" s="193">
        <f>VLOOKUP($E$1,'H&amp;S Demand'!$I$33:$O$42,6,FALSE)</f>
        <v>229741.59359510892</v>
      </c>
      <c r="H148" s="219">
        <f t="shared" si="31"/>
        <v>218254.51391535345</v>
      </c>
      <c r="I148" s="219">
        <f t="shared" si="31"/>
        <v>218254.51391535345</v>
      </c>
      <c r="J148" s="219">
        <f t="shared" si="31"/>
        <v>218254.51391535345</v>
      </c>
      <c r="K148" s="219">
        <f t="shared" si="31"/>
        <v>218254.51391535345</v>
      </c>
      <c r="L148" s="219">
        <f t="shared" si="31"/>
        <v>218254.51391535345</v>
      </c>
      <c r="M148" s="219">
        <f t="shared" si="31"/>
        <v>218254.51391535345</v>
      </c>
    </row>
    <row r="149" spans="4:13" x14ac:dyDescent="0.2">
      <c r="D149" s="967" t="s">
        <v>1727</v>
      </c>
      <c r="E149" s="193">
        <f>VLOOKUP($E$1,'H&amp;S Demand'!$I$33:$O$42,7,FALSE)</f>
        <v>223814.08148510187</v>
      </c>
      <c r="H149" s="219">
        <f t="shared" si="31"/>
        <v>212623.37741084676</v>
      </c>
      <c r="I149" s="219">
        <f t="shared" si="31"/>
        <v>212623.37741084676</v>
      </c>
      <c r="J149" s="219">
        <f t="shared" si="31"/>
        <v>212623.37741084676</v>
      </c>
      <c r="K149" s="219">
        <f t="shared" si="31"/>
        <v>212623.37741084676</v>
      </c>
      <c r="L149" s="219">
        <f t="shared" si="31"/>
        <v>212623.37741084676</v>
      </c>
      <c r="M149" s="219">
        <f t="shared" si="31"/>
        <v>212623.37741084676</v>
      </c>
    </row>
    <row r="150" spans="4:13" x14ac:dyDescent="0.2">
      <c r="H150" s="1003">
        <f>SUM(H145:H149)*IF(H45="No",0,1)</f>
        <v>1091621.2014865058</v>
      </c>
      <c r="I150" s="1003">
        <f t="shared" ref="I150:M150" si="32">SUM(I145:I149)*IF(I45="No",0,1)</f>
        <v>1091621.2014865058</v>
      </c>
      <c r="J150" s="1003">
        <f t="shared" si="32"/>
        <v>1091621.2014865058</v>
      </c>
      <c r="K150" s="1003">
        <f t="shared" si="32"/>
        <v>1091621.2014865058</v>
      </c>
      <c r="L150" s="1003">
        <f t="shared" si="32"/>
        <v>1091621.2014865058</v>
      </c>
      <c r="M150" s="1003">
        <f t="shared" si="32"/>
        <v>1091621.2014865058</v>
      </c>
    </row>
    <row r="151" spans="4:13" x14ac:dyDescent="0.2">
      <c r="H151" s="215">
        <f t="shared" ref="H151:M151" si="33">(H144+H150)*H36*12</f>
        <v>12702228695.408375</v>
      </c>
      <c r="I151" s="215">
        <f t="shared" si="33"/>
        <v>13337340130.178793</v>
      </c>
      <c r="J151" s="215">
        <f t="shared" si="33"/>
        <v>14004207136.687733</v>
      </c>
      <c r="K151" s="215">
        <f t="shared" si="33"/>
        <v>12702228695.408375</v>
      </c>
      <c r="L151" s="215">
        <f t="shared" si="33"/>
        <v>12702228695.408375</v>
      </c>
      <c r="M151" s="215">
        <f t="shared" si="33"/>
        <v>12702228695.408375</v>
      </c>
    </row>
    <row r="153" spans="4:13" x14ac:dyDescent="0.2">
      <c r="M153" s="192">
        <f>H151-M151</f>
        <v>0</v>
      </c>
    </row>
    <row r="154" spans="4:13" x14ac:dyDescent="0.2">
      <c r="D154" s="5" t="s">
        <v>13</v>
      </c>
    </row>
    <row r="155" spans="4:13" ht="15" x14ac:dyDescent="0.2">
      <c r="D155" s="969" t="s">
        <v>1731</v>
      </c>
      <c r="H155" s="219">
        <f>H139+H140</f>
        <v>888674.89344968821</v>
      </c>
      <c r="I155" s="219">
        <f t="shared" ref="I155:M155" si="34">I139+I140</f>
        <v>888674.89344968821</v>
      </c>
      <c r="J155" s="219">
        <f t="shared" si="34"/>
        <v>888674.89344968821</v>
      </c>
      <c r="K155" s="219">
        <f t="shared" si="34"/>
        <v>888674.89344968821</v>
      </c>
      <c r="L155" s="219">
        <f t="shared" si="34"/>
        <v>888674.89344968821</v>
      </c>
      <c r="M155" s="219">
        <f t="shared" si="34"/>
        <v>888674.89344968821</v>
      </c>
    </row>
    <row r="156" spans="4:13" ht="15" x14ac:dyDescent="0.2">
      <c r="D156" s="969" t="s">
        <v>1732</v>
      </c>
      <c r="H156" s="219">
        <f>H141+H142+H143</f>
        <v>1327575.9611597371</v>
      </c>
      <c r="I156" s="219">
        <f t="shared" ref="I156:M156" si="35">I141+I142+I143</f>
        <v>1327575.9611597371</v>
      </c>
      <c r="J156" s="219">
        <f t="shared" si="35"/>
        <v>1327575.9611597371</v>
      </c>
      <c r="K156" s="219">
        <f t="shared" si="35"/>
        <v>1327575.9611597371</v>
      </c>
      <c r="L156" s="219">
        <f t="shared" si="35"/>
        <v>1327575.9611597371</v>
      </c>
      <c r="M156" s="219">
        <f t="shared" si="35"/>
        <v>1327575.9611597371</v>
      </c>
    </row>
    <row r="157" spans="4:13" x14ac:dyDescent="0.2">
      <c r="D157" s="5" t="s">
        <v>1738</v>
      </c>
    </row>
    <row r="158" spans="4:13" ht="15" x14ac:dyDescent="0.2">
      <c r="D158" s="969" t="s">
        <v>1731</v>
      </c>
      <c r="M158" s="219">
        <f>M155-H155</f>
        <v>0</v>
      </c>
    </row>
    <row r="159" spans="4:13" ht="15" x14ac:dyDescent="0.2">
      <c r="D159" s="969" t="s">
        <v>1732</v>
      </c>
      <c r="M159" s="219">
        <f>M156-H156</f>
        <v>0</v>
      </c>
    </row>
    <row r="160" spans="4:13" x14ac:dyDescent="0.2">
      <c r="D160" s="5" t="s">
        <v>1363</v>
      </c>
    </row>
    <row r="161" spans="4:13" ht="15" x14ac:dyDescent="0.2">
      <c r="D161" s="969" t="s">
        <v>1731</v>
      </c>
      <c r="H161" s="962">
        <f>(H139+H140)*H$36*12</f>
        <v>3412511590.8468027</v>
      </c>
      <c r="I161" s="962">
        <f t="shared" ref="I161:M161" si="36">(I139+I140)*I$36*12</f>
        <v>3583137170.389143</v>
      </c>
      <c r="J161" s="962">
        <f t="shared" si="36"/>
        <v>3762294028.9085999</v>
      </c>
      <c r="K161" s="962">
        <f t="shared" si="36"/>
        <v>3412511590.8468027</v>
      </c>
      <c r="L161" s="962">
        <f t="shared" si="36"/>
        <v>3412511590.8468027</v>
      </c>
      <c r="M161" s="962">
        <f t="shared" si="36"/>
        <v>3412511590.8468027</v>
      </c>
    </row>
    <row r="162" spans="4:13" ht="15" x14ac:dyDescent="0.2">
      <c r="D162" s="969" t="s">
        <v>1732</v>
      </c>
      <c r="H162" s="962">
        <f>(H142+H143+H141)*H$36*12</f>
        <v>5097891690.8533897</v>
      </c>
      <c r="I162" s="962">
        <f t="shared" ref="I162:M162" si="37">(I142+I143+I141)*I$36*12</f>
        <v>5352786275.39606</v>
      </c>
      <c r="J162" s="962">
        <f t="shared" si="37"/>
        <v>5620425589.165863</v>
      </c>
      <c r="K162" s="962">
        <f t="shared" si="37"/>
        <v>5097891690.8533897</v>
      </c>
      <c r="L162" s="962">
        <f t="shared" si="37"/>
        <v>5097891690.8533897</v>
      </c>
      <c r="M162" s="962">
        <f t="shared" si="37"/>
        <v>5097891690.8533897</v>
      </c>
    </row>
    <row r="163" spans="4:13" x14ac:dyDescent="0.2">
      <c r="D163" s="5" t="s">
        <v>1738</v>
      </c>
    </row>
    <row r="164" spans="4:13" ht="15" x14ac:dyDescent="0.2">
      <c r="D164" s="969" t="s">
        <v>1731</v>
      </c>
      <c r="M164" s="962">
        <f>H161-M161</f>
        <v>0</v>
      </c>
    </row>
    <row r="165" spans="4:13" ht="15" x14ac:dyDescent="0.2">
      <c r="D165" s="969" t="s">
        <v>1732</v>
      </c>
      <c r="M165" s="962">
        <f>H162-M162</f>
        <v>0</v>
      </c>
    </row>
    <row r="171" spans="4:13" x14ac:dyDescent="0.2">
      <c r="I171" s="5" t="s">
        <v>1484</v>
      </c>
      <c r="J171" s="219">
        <f>M155+M156</f>
        <v>2216250.8546094252</v>
      </c>
    </row>
    <row r="172" spans="4:13" x14ac:dyDescent="0.2">
      <c r="I172" s="5" t="s">
        <v>1431</v>
      </c>
      <c r="J172" s="219">
        <f>IF((M158+M159)&lt;0,ABS(M158+M159),0)</f>
        <v>0</v>
      </c>
    </row>
    <row r="173" spans="4:13" x14ac:dyDescent="0.2">
      <c r="I173" s="5" t="s">
        <v>1433</v>
      </c>
      <c r="J173" s="5">
        <f>IF((M158+M159)&gt;0,M158+M159,0)</f>
        <v>0</v>
      </c>
    </row>
    <row r="174" spans="4:13" x14ac:dyDescent="0.2">
      <c r="I174" s="5" t="s">
        <v>1481</v>
      </c>
      <c r="J174" s="186">
        <f>SUM(E139,E140)-SUM(M139,M140)</f>
        <v>46772.362813141546</v>
      </c>
    </row>
  </sheetData>
  <mergeCells count="1">
    <mergeCell ref="H2:J2"/>
  </mergeCells>
  <dataValidations count="2">
    <dataValidation type="list" allowBlank="1" showInputMessage="1" showErrorMessage="1" sqref="H45:M45">
      <formula1>List_YesNO</formula1>
    </dataValidation>
    <dataValidation type="list" allowBlank="1" showInputMessage="1" showErrorMessage="1" sqref="R127:R133 R8 R105 R112 R115:R116 R108">
      <formula1>$B$20:$B$28</formula1>
    </dataValidation>
  </dataValidations>
  <pageMargins left="0.7" right="0.7" top="0.75" bottom="0.75" header="0.3" footer="0.3"/>
  <pageSetup paperSize="9" scale="84"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14:formula1>
            <xm:f>Scenario!$B$16:$B$36</xm:f>
          </x14:formula1>
          <xm:sqref>R118 R121</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B1:S108"/>
  <sheetViews>
    <sheetView showGridLines="0" workbookViewId="0">
      <pane xSplit="5" ySplit="3" topLeftCell="F7" activePane="bottomRight" state="frozen"/>
      <selection activeCell="H37" sqref="H37"/>
      <selection pane="topRight" activeCell="H37" sqref="H37"/>
      <selection pane="bottomLeft" activeCell="H37" sqref="H37"/>
      <selection pane="bottomRight" activeCell="H2" sqref="H2:L2"/>
    </sheetView>
  </sheetViews>
  <sheetFormatPr defaultColWidth="8.85546875" defaultRowHeight="15" x14ac:dyDescent="0.25"/>
  <cols>
    <col min="1" max="1" width="4" customWidth="1"/>
    <col min="2" max="2" width="4.28515625" customWidth="1"/>
    <col min="3" max="3" width="4.28515625" style="5" customWidth="1"/>
    <col min="4" max="4" width="27.42578125" style="5" customWidth="1"/>
    <col min="5" max="5" width="26.42578125" style="5" bestFit="1" customWidth="1"/>
    <col min="6" max="6" width="12.42578125" style="5" customWidth="1"/>
    <col min="7" max="7" width="17.42578125" customWidth="1"/>
    <col min="8" max="9" width="14" style="5" bestFit="1" customWidth="1"/>
    <col min="10" max="12" width="14.28515625" style="5" bestFit="1" customWidth="1"/>
    <col min="13" max="13" width="14.28515625" style="5" hidden="1" customWidth="1"/>
    <col min="14" max="16" width="0" hidden="1" customWidth="1"/>
  </cols>
  <sheetData>
    <row r="1" spans="2:16" s="3" customFormat="1" ht="15.75" x14ac:dyDescent="0.25">
      <c r="B1" s="306" t="s">
        <v>930</v>
      </c>
      <c r="E1" s="329" t="str">
        <f>Summary!B4</f>
        <v>South Africa</v>
      </c>
      <c r="F1" s="3" t="s">
        <v>1337</v>
      </c>
    </row>
    <row r="2" spans="2:16" ht="25.5" x14ac:dyDescent="0.25">
      <c r="H2" s="1136" t="s">
        <v>1825</v>
      </c>
      <c r="I2" s="1136"/>
      <c r="J2" s="1136"/>
      <c r="K2" s="1089" t="s">
        <v>1814</v>
      </c>
      <c r="L2" s="1088" t="s">
        <v>1759</v>
      </c>
      <c r="M2" s="678" t="s">
        <v>1289</v>
      </c>
    </row>
    <row r="3" spans="2:16" x14ac:dyDescent="0.25">
      <c r="E3" s="4" t="s">
        <v>595</v>
      </c>
      <c r="G3" s="5"/>
      <c r="H3" s="404" t="s">
        <v>385</v>
      </c>
      <c r="I3" s="404" t="s">
        <v>386</v>
      </c>
      <c r="J3" s="404" t="s">
        <v>1033</v>
      </c>
      <c r="K3" s="28" t="s">
        <v>385</v>
      </c>
      <c r="L3" s="29" t="s">
        <v>385</v>
      </c>
      <c r="M3" s="678" t="s">
        <v>385</v>
      </c>
    </row>
    <row r="4" spans="2:16" x14ac:dyDescent="0.25">
      <c r="E4" s="7" t="s">
        <v>596</v>
      </c>
      <c r="G4" s="5"/>
      <c r="H4" s="241">
        <f t="shared" ref="H4:M4" ca="1" si="0">SUMIF($P$83:$P$109,$P4,H83:H108)</f>
        <v>13452685.572439484</v>
      </c>
      <c r="I4" s="241">
        <f t="shared" ca="1" si="0"/>
        <v>14340562.820220491</v>
      </c>
      <c r="J4" s="241">
        <f t="shared" ca="1" si="0"/>
        <v>15287039.966355048</v>
      </c>
      <c r="K4" s="241">
        <f t="shared" ca="1" si="0"/>
        <v>13452685.572439484</v>
      </c>
      <c r="L4" s="241">
        <f t="shared" ca="1" si="0"/>
        <v>13452685.572439484</v>
      </c>
      <c r="M4" s="241">
        <f t="shared" ca="1" si="0"/>
        <v>13452685.572439484</v>
      </c>
      <c r="P4" t="s">
        <v>865</v>
      </c>
    </row>
    <row r="5" spans="2:16" x14ac:dyDescent="0.25">
      <c r="E5" s="5" t="s">
        <v>597</v>
      </c>
      <c r="G5" s="5"/>
      <c r="H5" s="241">
        <f t="shared" ref="H5:M5" ca="1" si="1">SUMIF($P$83:$P$109,$P5,H83:H108)</f>
        <v>16981930.296589658</v>
      </c>
      <c r="I5" s="241">
        <f t="shared" ca="1" si="1"/>
        <v>17932918.393198684</v>
      </c>
      <c r="J5" s="241">
        <f t="shared" ca="1" si="1"/>
        <v>18937161.823217813</v>
      </c>
      <c r="K5" s="241">
        <f t="shared" ca="1" si="1"/>
        <v>16981930.296589658</v>
      </c>
      <c r="L5" s="241">
        <f t="shared" ca="1" si="1"/>
        <v>16981930.296589658</v>
      </c>
      <c r="M5" s="241">
        <f t="shared" ca="1" si="1"/>
        <v>16981930.296589658</v>
      </c>
      <c r="P5" t="s">
        <v>866</v>
      </c>
    </row>
    <row r="6" spans="2:16" ht="15.75" thickBot="1" x14ac:dyDescent="0.3">
      <c r="E6" s="4" t="s">
        <v>598</v>
      </c>
      <c r="F6" s="4"/>
      <c r="G6" s="4"/>
      <c r="H6" s="250">
        <f ca="1">SUM(H4:H5)</f>
        <v>30434615.869029142</v>
      </c>
      <c r="I6" s="250">
        <f t="shared" ref="I6:M6" ca="1" si="2">SUM(I4:I5)</f>
        <v>32273481.213419177</v>
      </c>
      <c r="J6" s="250">
        <f t="shared" ca="1" si="2"/>
        <v>34224201.789572865</v>
      </c>
      <c r="K6" s="250">
        <f t="shared" ca="1" si="2"/>
        <v>30434615.869029142</v>
      </c>
      <c r="L6" s="250">
        <f t="shared" ref="L6" ca="1" si="3">SUM(L4:L5)</f>
        <v>30434615.869029142</v>
      </c>
      <c r="M6" s="250">
        <f t="shared" ca="1" si="2"/>
        <v>30434615.869029142</v>
      </c>
    </row>
    <row r="7" spans="2:16" ht="15.75" thickTop="1" x14ac:dyDescent="0.25">
      <c r="E7" s="4"/>
      <c r="F7" s="4"/>
      <c r="G7" s="274"/>
      <c r="H7" s="274"/>
      <c r="I7" s="274"/>
      <c r="J7" s="274"/>
      <c r="K7" s="274"/>
      <c r="L7" s="274"/>
      <c r="M7" s="274"/>
      <c r="N7" s="274"/>
      <c r="P7" s="547">
        <f ca="1">H6-(H8+H12)</f>
        <v>0</v>
      </c>
    </row>
    <row r="8" spans="2:16" ht="15.75" thickBot="1" x14ac:dyDescent="0.3">
      <c r="E8" s="4" t="s">
        <v>899</v>
      </c>
      <c r="F8" s="4"/>
      <c r="G8" s="4"/>
      <c r="H8" s="235">
        <f>H83+H85</f>
        <v>189710.84441860468</v>
      </c>
      <c r="I8" s="235">
        <f>I83+I85</f>
        <v>202051.76015023259</v>
      </c>
      <c r="J8" s="235">
        <f t="shared" ref="J8:M8" si="4">J83+J85</f>
        <v>215197.09632014795</v>
      </c>
      <c r="K8" s="235">
        <f t="shared" si="4"/>
        <v>189710.84441860468</v>
      </c>
      <c r="L8" s="235">
        <f t="shared" ref="L8" si="5">L83+L85</f>
        <v>189710.84441860468</v>
      </c>
      <c r="M8" s="235">
        <f t="shared" si="4"/>
        <v>189710.84441860468</v>
      </c>
    </row>
    <row r="9" spans="2:16" ht="15.75" thickTop="1" x14ac:dyDescent="0.25">
      <c r="E9" s="6" t="s">
        <v>596</v>
      </c>
      <c r="F9" s="4"/>
      <c r="G9" s="4"/>
      <c r="H9" s="273">
        <f>H83</f>
        <v>171710.84441860468</v>
      </c>
      <c r="I9" s="273">
        <f t="shared" ref="I9:M9" si="6">I83</f>
        <v>183043.76015023259</v>
      </c>
      <c r="J9" s="273">
        <f t="shared" si="6"/>
        <v>195124.64832014794</v>
      </c>
      <c r="K9" s="273">
        <f t="shared" si="6"/>
        <v>171710.84441860468</v>
      </c>
      <c r="L9" s="273">
        <f t="shared" ref="L9" si="7">L83</f>
        <v>171710.84441860468</v>
      </c>
      <c r="M9" s="273">
        <f t="shared" si="6"/>
        <v>171710.84441860468</v>
      </c>
    </row>
    <row r="10" spans="2:16" x14ac:dyDescent="0.25">
      <c r="E10" s="6" t="s">
        <v>597</v>
      </c>
      <c r="F10" s="4"/>
      <c r="G10" s="4"/>
      <c r="H10" s="298">
        <f>H85</f>
        <v>18000</v>
      </c>
      <c r="I10" s="298">
        <f t="shared" ref="I10:M10" si="8">I85</f>
        <v>19008</v>
      </c>
      <c r="J10" s="298">
        <f t="shared" si="8"/>
        <v>20072.448</v>
      </c>
      <c r="K10" s="298">
        <f t="shared" si="8"/>
        <v>18000</v>
      </c>
      <c r="L10" s="298">
        <f t="shared" ref="L10" si="9">L85</f>
        <v>18000</v>
      </c>
      <c r="M10" s="298">
        <f t="shared" si="8"/>
        <v>18000</v>
      </c>
    </row>
    <row r="11" spans="2:16" x14ac:dyDescent="0.25">
      <c r="E11" s="6"/>
      <c r="F11" s="6"/>
      <c r="G11" s="6"/>
      <c r="H11" s="6"/>
      <c r="I11" s="6"/>
      <c r="J11" s="6"/>
      <c r="K11" s="6"/>
      <c r="L11" s="6"/>
      <c r="M11" s="6"/>
    </row>
    <row r="12" spans="2:16" ht="15.75" thickBot="1" x14ac:dyDescent="0.3">
      <c r="E12" s="4" t="s">
        <v>900</v>
      </c>
      <c r="F12" s="4"/>
      <c r="G12" s="4"/>
      <c r="H12" s="235">
        <f>SUM(H13:H14)</f>
        <v>30244905.024610538</v>
      </c>
      <c r="I12" s="235">
        <f t="shared" ref="I12:M12" si="10">SUM(I13:I14)</f>
        <v>32071429.453268941</v>
      </c>
      <c r="J12" s="235">
        <f t="shared" si="10"/>
        <v>34009004.693252712</v>
      </c>
      <c r="K12" s="235">
        <f t="shared" si="10"/>
        <v>30244905.024610538</v>
      </c>
      <c r="L12" s="235">
        <f t="shared" ref="L12" si="11">SUM(L13:L14)</f>
        <v>30244905.024610538</v>
      </c>
      <c r="M12" s="235">
        <f t="shared" si="10"/>
        <v>30244905.024610538</v>
      </c>
      <c r="O12" s="547">
        <f>H12-H15</f>
        <v>0</v>
      </c>
    </row>
    <row r="13" spans="2:16" ht="15.75" thickTop="1" x14ac:dyDescent="0.25">
      <c r="E13" s="6" t="s">
        <v>596</v>
      </c>
      <c r="F13" s="4"/>
      <c r="G13" s="4"/>
      <c r="H13" s="297">
        <f>H88+H89+H93+H100+H103+H90</f>
        <v>13280974.72802088</v>
      </c>
      <c r="I13" s="297">
        <f t="shared" ref="I13:M13" si="12">I88+I89+I93+I100+I103+I90</f>
        <v>14157519.060070258</v>
      </c>
      <c r="J13" s="297">
        <f t="shared" si="12"/>
        <v>15091915.318034898</v>
      </c>
      <c r="K13" s="297">
        <f t="shared" si="12"/>
        <v>13280974.72802088</v>
      </c>
      <c r="L13" s="297">
        <f t="shared" ref="L13" si="13">L88+L89+L93+L100+L103+L90</f>
        <v>13280974.72802088</v>
      </c>
      <c r="M13" s="297">
        <f t="shared" si="12"/>
        <v>13280974.72802088</v>
      </c>
    </row>
    <row r="14" spans="2:16" x14ac:dyDescent="0.25">
      <c r="E14" s="6" t="s">
        <v>597</v>
      </c>
      <c r="F14" s="4"/>
      <c r="G14" s="4"/>
      <c r="H14" s="297">
        <f t="shared" ref="H14:M14" si="14">H95+H99+H105+H107</f>
        <v>16963930.296589658</v>
      </c>
      <c r="I14" s="297">
        <f t="shared" si="14"/>
        <v>17913910.393198684</v>
      </c>
      <c r="J14" s="297">
        <f t="shared" si="14"/>
        <v>18917089.375217814</v>
      </c>
      <c r="K14" s="297">
        <f t="shared" si="14"/>
        <v>16963930.296589658</v>
      </c>
      <c r="L14" s="297">
        <f t="shared" si="14"/>
        <v>16963930.296589658</v>
      </c>
      <c r="M14" s="297">
        <f t="shared" si="14"/>
        <v>16963930.296589658</v>
      </c>
    </row>
    <row r="15" spans="2:16" ht="15.75" thickBot="1" x14ac:dyDescent="0.3">
      <c r="F15" s="4"/>
      <c r="G15" s="4"/>
      <c r="H15" s="235">
        <f>SUM(H16:H18)</f>
        <v>30244905.024610542</v>
      </c>
      <c r="I15" s="235">
        <f t="shared" ref="I15:M15" si="15">SUM(I16:I18)</f>
        <v>32071429.453268941</v>
      </c>
      <c r="J15" s="235">
        <f t="shared" si="15"/>
        <v>34009004.693252705</v>
      </c>
      <c r="K15" s="235">
        <f t="shared" si="15"/>
        <v>30244905.024610542</v>
      </c>
      <c r="L15" s="235">
        <f t="shared" ref="L15" si="16">SUM(L16:L18)</f>
        <v>30244905.024610542</v>
      </c>
      <c r="M15" s="235">
        <f t="shared" si="15"/>
        <v>30244905.024610542</v>
      </c>
    </row>
    <row r="16" spans="2:16" ht="15.75" thickTop="1" x14ac:dyDescent="0.25">
      <c r="E16" s="65" t="s">
        <v>901</v>
      </c>
      <c r="F16" s="4"/>
      <c r="G16" s="4"/>
      <c r="H16" s="273">
        <f>H89+H88+H90</f>
        <v>296024.07000000007</v>
      </c>
      <c r="I16" s="273">
        <f t="shared" ref="I16:M16" si="17">I89+I88+I90</f>
        <v>315561.65862</v>
      </c>
      <c r="J16" s="273">
        <f t="shared" si="17"/>
        <v>336388.72808892</v>
      </c>
      <c r="K16" s="273">
        <f t="shared" si="17"/>
        <v>296024.07000000007</v>
      </c>
      <c r="L16" s="273">
        <f t="shared" ref="L16" si="18">L89+L88+L90</f>
        <v>296024.07000000007</v>
      </c>
      <c r="M16" s="273">
        <f t="shared" si="17"/>
        <v>296024.07000000007</v>
      </c>
    </row>
    <row r="17" spans="2:15" x14ac:dyDescent="0.25">
      <c r="E17" s="65" t="s">
        <v>902</v>
      </c>
      <c r="F17" s="4"/>
      <c r="G17" s="4"/>
      <c r="H17" s="241">
        <f>H93+H95+H99+H100</f>
        <v>25285632.024377983</v>
      </c>
      <c r="I17" s="241">
        <f t="shared" ref="I17:M17" si="19">I93+I95+I99+I100</f>
        <v>26830384.435021035</v>
      </c>
      <c r="J17" s="241">
        <f t="shared" si="19"/>
        <v>28470140.943800438</v>
      </c>
      <c r="K17" s="241">
        <f t="shared" si="19"/>
        <v>25285632.024377983</v>
      </c>
      <c r="L17" s="241">
        <f t="shared" ref="L17" si="20">L93+L95+L99+L100</f>
        <v>25285632.024377983</v>
      </c>
      <c r="M17" s="241">
        <f t="shared" si="19"/>
        <v>25285632.024377983</v>
      </c>
    </row>
    <row r="18" spans="2:15" s="106" customFormat="1" x14ac:dyDescent="0.25">
      <c r="C18" s="79"/>
      <c r="D18" s="79"/>
      <c r="E18" s="272" t="s">
        <v>903</v>
      </c>
      <c r="F18" s="77"/>
      <c r="G18" s="77"/>
      <c r="H18" s="241">
        <f t="shared" ref="H18:M18" si="21">H103+H107+H105</f>
        <v>4663248.9302325584</v>
      </c>
      <c r="I18" s="241">
        <f t="shared" si="21"/>
        <v>4925483.3596279072</v>
      </c>
      <c r="J18" s="241">
        <f t="shared" si="21"/>
        <v>5202475.0213633496</v>
      </c>
      <c r="K18" s="241">
        <f t="shared" si="21"/>
        <v>4663248.9302325584</v>
      </c>
      <c r="L18" s="241">
        <f t="shared" si="21"/>
        <v>4663248.9302325584</v>
      </c>
      <c r="M18" s="241">
        <f t="shared" si="21"/>
        <v>4663248.9302325584</v>
      </c>
    </row>
    <row r="19" spans="2:15" s="106" customFormat="1" ht="15.75" thickBot="1" x14ac:dyDescent="0.3">
      <c r="C19" s="79"/>
      <c r="D19" s="79"/>
      <c r="E19" s="77"/>
      <c r="F19" s="77"/>
      <c r="G19" s="77"/>
      <c r="H19" s="250">
        <f>SUM(H16:H18)</f>
        <v>30244905.024610542</v>
      </c>
      <c r="I19" s="250">
        <f>SUM(I8:I15)</f>
        <v>96618391.880107298</v>
      </c>
      <c r="J19" s="250">
        <f>SUM(J8:J15)</f>
        <v>102457408.27239841</v>
      </c>
      <c r="K19" s="250">
        <f>SUM(K8:K15)</f>
        <v>91114136.762668818</v>
      </c>
      <c r="L19" s="250">
        <f>SUM(L8:L15)</f>
        <v>91114136.762668818</v>
      </c>
      <c r="M19" s="250">
        <f>SUM(M8:M15)</f>
        <v>91114136.762668818</v>
      </c>
    </row>
    <row r="20" spans="2:15" s="106" customFormat="1" ht="15.75" thickTop="1" x14ac:dyDescent="0.25">
      <c r="C20" s="79"/>
      <c r="D20" s="79"/>
      <c r="E20" s="77"/>
      <c r="F20" s="77"/>
      <c r="G20" s="77"/>
      <c r="H20" s="77"/>
      <c r="I20" s="77"/>
      <c r="J20" s="77"/>
      <c r="K20" s="77"/>
      <c r="L20" s="77"/>
      <c r="M20" s="77"/>
    </row>
    <row r="21" spans="2:15" s="78" customFormat="1" ht="12.75" x14ac:dyDescent="0.2"/>
    <row r="22" spans="2:15" s="333" customFormat="1" x14ac:dyDescent="0.25">
      <c r="B22" s="309" t="s">
        <v>426</v>
      </c>
      <c r="C22" s="311"/>
      <c r="D22" s="311"/>
      <c r="E22" s="311"/>
      <c r="F22" s="311"/>
      <c r="G22" s="311"/>
      <c r="H22" s="311"/>
      <c r="I22" s="311"/>
      <c r="J22" s="311"/>
      <c r="K22" s="311"/>
      <c r="L22" s="311"/>
      <c r="M22" s="311"/>
      <c r="N22" s="311"/>
      <c r="O22" s="311"/>
    </row>
    <row r="23" spans="2:15" x14ac:dyDescent="0.25">
      <c r="D23" s="5" t="s">
        <v>869</v>
      </c>
      <c r="G23" s="5"/>
    </row>
    <row r="24" spans="2:15" x14ac:dyDescent="0.25">
      <c r="D24" s="65" t="s">
        <v>14</v>
      </c>
      <c r="G24" s="5"/>
      <c r="H24" s="69">
        <v>0.05</v>
      </c>
      <c r="I24" s="69">
        <v>0.05</v>
      </c>
      <c r="J24" s="69">
        <v>0.05</v>
      </c>
      <c r="K24" s="69">
        <v>0.05</v>
      </c>
      <c r="L24" s="69">
        <v>0.05</v>
      </c>
      <c r="M24" s="69">
        <v>0.05</v>
      </c>
    </row>
    <row r="25" spans="2:15" x14ac:dyDescent="0.25">
      <c r="D25" s="65" t="s">
        <v>15</v>
      </c>
      <c r="G25" s="5"/>
      <c r="H25" s="69">
        <v>0.03</v>
      </c>
      <c r="I25" s="69">
        <v>0.03</v>
      </c>
      <c r="J25" s="69">
        <v>0.03</v>
      </c>
      <c r="K25" s="69">
        <v>0.03</v>
      </c>
      <c r="L25" s="69">
        <v>0.03</v>
      </c>
      <c r="M25" s="69">
        <v>0.03</v>
      </c>
    </row>
    <row r="26" spans="2:15" x14ac:dyDescent="0.25">
      <c r="D26" s="5" t="s">
        <v>867</v>
      </c>
      <c r="G26" s="5"/>
      <c r="H26" s="120">
        <v>30</v>
      </c>
      <c r="I26" s="120">
        <v>30</v>
      </c>
      <c r="J26" s="120">
        <v>30</v>
      </c>
      <c r="K26" s="120">
        <v>30</v>
      </c>
      <c r="L26" s="120">
        <v>30</v>
      </c>
      <c r="M26" s="120">
        <v>30</v>
      </c>
    </row>
    <row r="27" spans="2:15" x14ac:dyDescent="0.25">
      <c r="D27" s="5" t="s">
        <v>874</v>
      </c>
      <c r="G27" s="5"/>
      <c r="H27" s="191">
        <f t="shared" ref="H27:M27" si="22">H77/H26</f>
        <v>17815.321544801853</v>
      </c>
      <c r="I27" s="191">
        <f t="shared" si="22"/>
        <v>17815.321544801853</v>
      </c>
      <c r="J27" s="191">
        <f t="shared" si="22"/>
        <v>17815.321544801853</v>
      </c>
      <c r="K27" s="191">
        <f t="shared" si="22"/>
        <v>17815.321544801853</v>
      </c>
      <c r="L27" s="191">
        <f t="shared" si="22"/>
        <v>17815.321544801853</v>
      </c>
      <c r="M27" s="191">
        <f t="shared" si="22"/>
        <v>17815.321544801853</v>
      </c>
    </row>
    <row r="28" spans="2:15" x14ac:dyDescent="0.25">
      <c r="D28" s="5" t="s">
        <v>875</v>
      </c>
      <c r="G28" s="5"/>
      <c r="H28" s="69">
        <v>0.12</v>
      </c>
      <c r="I28" s="69">
        <v>0.12</v>
      </c>
      <c r="J28" s="69">
        <v>0.12</v>
      </c>
      <c r="K28" s="69">
        <v>0.12</v>
      </c>
      <c r="L28" s="69">
        <v>0.12</v>
      </c>
      <c r="M28" s="69">
        <v>0.12</v>
      </c>
    </row>
    <row r="29" spans="2:15" x14ac:dyDescent="0.25">
      <c r="D29" s="5" t="s">
        <v>887</v>
      </c>
      <c r="G29" s="5"/>
      <c r="H29" s="191">
        <f>H28*H27</f>
        <v>2137.8385853762225</v>
      </c>
      <c r="I29" s="191">
        <f t="shared" ref="I29:M29" si="23">I28*I27</f>
        <v>2137.8385853762225</v>
      </c>
      <c r="J29" s="191">
        <f t="shared" si="23"/>
        <v>2137.8385853762225</v>
      </c>
      <c r="K29" s="191">
        <f t="shared" si="23"/>
        <v>2137.8385853762225</v>
      </c>
      <c r="L29" s="191">
        <f t="shared" ref="L29" si="24">L28*L27</f>
        <v>2137.8385853762225</v>
      </c>
      <c r="M29" s="191">
        <f t="shared" si="23"/>
        <v>2137.8385853762225</v>
      </c>
    </row>
    <row r="30" spans="2:15" x14ac:dyDescent="0.25">
      <c r="D30" s="5" t="s">
        <v>773</v>
      </c>
      <c r="G30" s="5"/>
      <c r="H30" s="191">
        <f>VLOOKUP($E$1,'H&amp;S Demand'!$A$18:$B$27,2,FALSE)</f>
        <v>44</v>
      </c>
      <c r="I30" s="191">
        <f>VLOOKUP($E$1,'H&amp;S Demand'!$A$18:$B$27,2,FALSE)</f>
        <v>44</v>
      </c>
      <c r="J30" s="191">
        <f>VLOOKUP($E$1,'H&amp;S Demand'!$A$18:$B$27,2,FALSE)</f>
        <v>44</v>
      </c>
      <c r="K30" s="191">
        <f>VLOOKUP($E$1,'H&amp;S Demand'!$A$18:$B$27,2,FALSE)</f>
        <v>44</v>
      </c>
      <c r="L30" s="191">
        <f>VLOOKUP($E$1,'H&amp;S Demand'!$A$18:$B$27,2,FALSE)</f>
        <v>44</v>
      </c>
      <c r="M30" s="191">
        <f>VLOOKUP($E$1,'H&amp;S Demand'!$A$18:$B$27,2,FALSE)</f>
        <v>44</v>
      </c>
    </row>
    <row r="32" spans="2:15" s="315" customFormat="1" ht="12.75" x14ac:dyDescent="0.2">
      <c r="B32" s="315" t="s">
        <v>40</v>
      </c>
    </row>
    <row r="33" spans="2:13" s="5" customFormat="1" ht="12.75" x14ac:dyDescent="0.2">
      <c r="B33" s="4"/>
      <c r="C33" s="77" t="s">
        <v>466</v>
      </c>
      <c r="D33" s="79"/>
    </row>
    <row r="34" spans="2:13" x14ac:dyDescent="0.25">
      <c r="G34" s="5"/>
    </row>
    <row r="35" spans="2:13" x14ac:dyDescent="0.25">
      <c r="D35" s="5" t="s">
        <v>2</v>
      </c>
      <c r="E35" s="5" t="s">
        <v>467</v>
      </c>
      <c r="H35" s="69">
        <v>0.03</v>
      </c>
      <c r="I35" s="69">
        <v>0.03</v>
      </c>
      <c r="J35" s="69">
        <v>0.03</v>
      </c>
      <c r="K35" s="69">
        <v>0.03</v>
      </c>
      <c r="L35" s="69">
        <v>0.03</v>
      </c>
      <c r="M35" s="69">
        <v>0.03</v>
      </c>
    </row>
    <row r="36" spans="2:13" x14ac:dyDescent="0.25">
      <c r="D36" s="5" t="s">
        <v>3</v>
      </c>
      <c r="E36" s="5" t="s">
        <v>467</v>
      </c>
      <c r="H36" s="69">
        <v>0.05</v>
      </c>
      <c r="I36" s="69">
        <v>0.05</v>
      </c>
      <c r="J36" s="69">
        <v>0.05</v>
      </c>
      <c r="K36" s="69">
        <v>0.05</v>
      </c>
      <c r="L36" s="69">
        <v>0.05</v>
      </c>
      <c r="M36" s="69">
        <v>0.05</v>
      </c>
    </row>
    <row r="37" spans="2:13" x14ac:dyDescent="0.25">
      <c r="D37" s="5" t="s">
        <v>882</v>
      </c>
      <c r="E37" s="5" t="s">
        <v>881</v>
      </c>
      <c r="H37" s="120">
        <v>24</v>
      </c>
      <c r="I37" s="120">
        <v>24</v>
      </c>
      <c r="J37" s="120">
        <v>24</v>
      </c>
      <c r="K37" s="120">
        <v>24</v>
      </c>
      <c r="L37" s="120">
        <v>24</v>
      </c>
      <c r="M37" s="120">
        <v>24</v>
      </c>
    </row>
    <row r="38" spans="2:13" x14ac:dyDescent="0.25">
      <c r="H38" s="6"/>
      <c r="I38" s="6"/>
      <c r="J38" s="6"/>
      <c r="K38" s="6"/>
      <c r="L38" s="6"/>
      <c r="M38" s="6"/>
    </row>
    <row r="39" spans="2:13" x14ac:dyDescent="0.25">
      <c r="D39" s="5" t="s">
        <v>871</v>
      </c>
      <c r="G39" s="5"/>
    </row>
    <row r="40" spans="2:13" x14ac:dyDescent="0.25">
      <c r="D40" s="5" t="s">
        <v>468</v>
      </c>
      <c r="H40" s="120">
        <v>4</v>
      </c>
      <c r="I40" s="120">
        <v>4</v>
      </c>
      <c r="J40" s="120">
        <v>4</v>
      </c>
      <c r="K40" s="120">
        <v>4</v>
      </c>
      <c r="L40" s="120">
        <v>4</v>
      </c>
      <c r="M40" s="120">
        <v>4</v>
      </c>
    </row>
    <row r="41" spans="2:13" x14ac:dyDescent="0.25">
      <c r="D41" s="5" t="s">
        <v>469</v>
      </c>
      <c r="G41" s="5"/>
      <c r="H41" s="69">
        <v>0.15</v>
      </c>
      <c r="I41" s="69">
        <v>0.15</v>
      </c>
      <c r="J41" s="69">
        <v>0.15</v>
      </c>
      <c r="K41" s="69">
        <v>0.15</v>
      </c>
      <c r="L41" s="69">
        <v>0.15</v>
      </c>
      <c r="M41" s="69">
        <v>0.15</v>
      </c>
    </row>
    <row r="42" spans="2:13" x14ac:dyDescent="0.25">
      <c r="G42" s="5"/>
    </row>
    <row r="43" spans="2:13" s="315" customFormat="1" ht="12.75" x14ac:dyDescent="0.2">
      <c r="B43" s="315" t="s">
        <v>470</v>
      </c>
    </row>
    <row r="44" spans="2:13" s="334" customFormat="1" x14ac:dyDescent="0.25">
      <c r="C44" s="24"/>
      <c r="D44" s="316" t="s">
        <v>544</v>
      </c>
      <c r="E44" s="24"/>
      <c r="F44" s="24"/>
      <c r="H44" s="335"/>
      <c r="I44" s="335"/>
      <c r="J44" s="335"/>
      <c r="K44" s="335"/>
      <c r="L44" s="335"/>
      <c r="M44" s="335"/>
    </row>
    <row r="45" spans="2:13" x14ac:dyDescent="0.25">
      <c r="D45" s="65" t="s">
        <v>2</v>
      </c>
      <c r="E45" s="5" t="s">
        <v>467</v>
      </c>
      <c r="H45" s="69">
        <v>0.03</v>
      </c>
      <c r="I45" s="69">
        <v>0.03</v>
      </c>
      <c r="J45" s="69">
        <v>0.03</v>
      </c>
      <c r="K45" s="69">
        <v>0.03</v>
      </c>
      <c r="L45" s="69">
        <v>0.03</v>
      </c>
      <c r="M45" s="69">
        <v>0.03</v>
      </c>
    </row>
    <row r="46" spans="2:13" x14ac:dyDescent="0.25">
      <c r="D46" s="65" t="s">
        <v>3</v>
      </c>
      <c r="E46" s="5" t="s">
        <v>467</v>
      </c>
      <c r="H46" s="69">
        <v>0.2</v>
      </c>
      <c r="I46" s="69">
        <v>0.2</v>
      </c>
      <c r="J46" s="69">
        <v>0.2</v>
      </c>
      <c r="K46" s="69">
        <v>0.2</v>
      </c>
      <c r="L46" s="69">
        <v>0.2</v>
      </c>
      <c r="M46" s="69">
        <v>0.2</v>
      </c>
    </row>
    <row r="47" spans="2:13" x14ac:dyDescent="0.25">
      <c r="D47" s="65" t="s">
        <v>5</v>
      </c>
      <c r="E47" s="5" t="s">
        <v>467</v>
      </c>
      <c r="H47" s="69">
        <v>0.2</v>
      </c>
      <c r="I47" s="69">
        <v>0.2</v>
      </c>
      <c r="J47" s="69">
        <v>0.2</v>
      </c>
      <c r="K47" s="69">
        <v>0.2</v>
      </c>
      <c r="L47" s="69">
        <v>0.2</v>
      </c>
      <c r="M47" s="69">
        <v>0.2</v>
      </c>
    </row>
    <row r="48" spans="2:13" x14ac:dyDescent="0.25">
      <c r="D48" s="316" t="s">
        <v>1014</v>
      </c>
      <c r="G48" s="5"/>
    </row>
    <row r="49" spans="4:13" x14ac:dyDescent="0.25">
      <c r="D49" s="65" t="s">
        <v>32</v>
      </c>
      <c r="E49" s="5" t="s">
        <v>872</v>
      </c>
      <c r="H49" s="120">
        <v>40</v>
      </c>
      <c r="I49" s="120">
        <v>40</v>
      </c>
      <c r="J49" s="120">
        <v>40</v>
      </c>
      <c r="K49" s="120">
        <v>40</v>
      </c>
      <c r="L49" s="120">
        <v>40</v>
      </c>
      <c r="M49" s="120">
        <v>40</v>
      </c>
    </row>
    <row r="50" spans="4:13" x14ac:dyDescent="0.25">
      <c r="E50" s="5" t="s">
        <v>873</v>
      </c>
      <c r="H50" s="120">
        <v>2</v>
      </c>
      <c r="I50" s="120">
        <v>2</v>
      </c>
      <c r="J50" s="120">
        <v>2</v>
      </c>
      <c r="K50" s="120">
        <v>2</v>
      </c>
      <c r="L50" s="120">
        <v>2</v>
      </c>
      <c r="M50" s="120">
        <v>2</v>
      </c>
    </row>
    <row r="51" spans="4:13" x14ac:dyDescent="0.25">
      <c r="E51" s="5" t="s">
        <v>379</v>
      </c>
      <c r="H51" s="120">
        <v>12</v>
      </c>
      <c r="I51" s="120">
        <v>12</v>
      </c>
      <c r="J51" s="120">
        <v>12</v>
      </c>
      <c r="K51" s="120">
        <v>12</v>
      </c>
      <c r="L51" s="120">
        <v>12</v>
      </c>
      <c r="M51" s="120">
        <v>12</v>
      </c>
    </row>
    <row r="52" spans="4:13" x14ac:dyDescent="0.25">
      <c r="E52" s="5" t="s">
        <v>471</v>
      </c>
      <c r="H52" s="120">
        <v>3</v>
      </c>
      <c r="I52" s="120">
        <v>3</v>
      </c>
      <c r="J52" s="120">
        <v>3</v>
      </c>
      <c r="K52" s="120">
        <v>3</v>
      </c>
      <c r="L52" s="120">
        <v>3</v>
      </c>
      <c r="M52" s="120">
        <v>3</v>
      </c>
    </row>
    <row r="53" spans="4:13" x14ac:dyDescent="0.25">
      <c r="E53" s="5" t="s">
        <v>472</v>
      </c>
      <c r="H53" s="191">
        <f t="shared" ref="H53:M53" si="25">H29+H29*(1-1/H52)</f>
        <v>3563.0643089603709</v>
      </c>
      <c r="I53" s="191">
        <f t="shared" si="25"/>
        <v>3563.0643089603709</v>
      </c>
      <c r="J53" s="191">
        <f t="shared" si="25"/>
        <v>3563.0643089603709</v>
      </c>
      <c r="K53" s="191">
        <f t="shared" si="25"/>
        <v>3563.0643089603709</v>
      </c>
      <c r="L53" s="191">
        <f t="shared" si="25"/>
        <v>3563.0643089603709</v>
      </c>
      <c r="M53" s="191">
        <f t="shared" si="25"/>
        <v>3563.0643089603709</v>
      </c>
    </row>
    <row r="54" spans="4:13" x14ac:dyDescent="0.25">
      <c r="E54" s="5" t="s">
        <v>876</v>
      </c>
      <c r="H54" s="120">
        <v>25</v>
      </c>
      <c r="I54" s="120">
        <v>25</v>
      </c>
      <c r="J54" s="120">
        <v>25</v>
      </c>
      <c r="K54" s="120">
        <v>25</v>
      </c>
      <c r="L54" s="120">
        <v>25</v>
      </c>
      <c r="M54" s="120">
        <v>25</v>
      </c>
    </row>
    <row r="55" spans="4:13" x14ac:dyDescent="0.25">
      <c r="E55" s="5" t="s">
        <v>921</v>
      </c>
      <c r="H55" s="69">
        <v>0.35</v>
      </c>
      <c r="I55" s="69">
        <v>0.35</v>
      </c>
      <c r="J55" s="69">
        <v>0.35</v>
      </c>
      <c r="K55" s="69">
        <v>0.35</v>
      </c>
      <c r="L55" s="69">
        <v>0.35</v>
      </c>
      <c r="M55" s="69">
        <v>0.35</v>
      </c>
    </row>
    <row r="56" spans="4:13" x14ac:dyDescent="0.25">
      <c r="D56" s="316" t="s">
        <v>547</v>
      </c>
      <c r="G56" s="5"/>
    </row>
    <row r="57" spans="4:13" x14ac:dyDescent="0.25">
      <c r="D57" s="65" t="s">
        <v>891</v>
      </c>
      <c r="E57" s="5" t="s">
        <v>904</v>
      </c>
      <c r="H57" s="120">
        <v>180</v>
      </c>
      <c r="I57" s="120">
        <v>180</v>
      </c>
      <c r="J57" s="120">
        <v>180</v>
      </c>
      <c r="K57" s="120">
        <v>180</v>
      </c>
      <c r="L57" s="120">
        <v>180</v>
      </c>
      <c r="M57" s="120">
        <v>180</v>
      </c>
    </row>
    <row r="58" spans="4:13" x14ac:dyDescent="0.25">
      <c r="E58" s="5" t="s">
        <v>473</v>
      </c>
      <c r="H58" s="190">
        <v>16450</v>
      </c>
      <c r="I58" s="191">
        <f>H58*(1+GenAssumptions!E$6)</f>
        <v>17371.2</v>
      </c>
      <c r="J58" s="191">
        <f>I58*(1+GenAssumptions!F6)</f>
        <v>18343.987200000003</v>
      </c>
      <c r="K58" s="191">
        <f>H58*(1+GenAssumptions!G6)</f>
        <v>16450</v>
      </c>
      <c r="L58" s="191">
        <f>H58*(1+GenAssumptions!H6)</f>
        <v>16450</v>
      </c>
      <c r="M58" s="191">
        <f>H58*(1+GenAssumptions!I6)</f>
        <v>16450</v>
      </c>
    </row>
    <row r="59" spans="4:13" x14ac:dyDescent="0.25">
      <c r="D59" s="316" t="s">
        <v>546</v>
      </c>
    </row>
    <row r="60" spans="4:13" x14ac:dyDescent="0.25">
      <c r="D60" s="4"/>
      <c r="E60" s="5" t="s">
        <v>879</v>
      </c>
      <c r="H60" s="120">
        <v>2</v>
      </c>
      <c r="I60" s="120">
        <v>2</v>
      </c>
      <c r="J60" s="120">
        <v>2</v>
      </c>
      <c r="K60" s="120">
        <v>2</v>
      </c>
      <c r="L60" s="120">
        <v>2</v>
      </c>
      <c r="M60" s="120">
        <v>2</v>
      </c>
    </row>
    <row r="61" spans="4:13" x14ac:dyDescent="0.25">
      <c r="E61" s="5" t="s">
        <v>877</v>
      </c>
      <c r="H61" s="120">
        <v>90</v>
      </c>
      <c r="I61" s="120">
        <v>90</v>
      </c>
      <c r="J61" s="120">
        <v>90</v>
      </c>
      <c r="K61" s="120">
        <v>90</v>
      </c>
      <c r="L61" s="120">
        <v>90</v>
      </c>
      <c r="M61" s="120">
        <v>90</v>
      </c>
    </row>
    <row r="62" spans="4:13" x14ac:dyDescent="0.25">
      <c r="E62" s="5" t="s">
        <v>378</v>
      </c>
      <c r="H62" s="120">
        <v>4</v>
      </c>
      <c r="I62" s="120">
        <v>4</v>
      </c>
      <c r="J62" s="120">
        <v>4</v>
      </c>
      <c r="K62" s="120">
        <v>4</v>
      </c>
      <c r="L62" s="120">
        <v>4</v>
      </c>
      <c r="M62" s="120">
        <v>4</v>
      </c>
    </row>
    <row r="63" spans="4:13" x14ac:dyDescent="0.25">
      <c r="E63" s="5" t="s">
        <v>895</v>
      </c>
      <c r="H63" s="69">
        <v>0.35</v>
      </c>
      <c r="I63" s="69">
        <v>0.35</v>
      </c>
      <c r="J63" s="69">
        <v>0.35</v>
      </c>
      <c r="K63" s="69">
        <v>0.35</v>
      </c>
      <c r="L63" s="69">
        <v>0.35</v>
      </c>
      <c r="M63" s="69">
        <v>0.35</v>
      </c>
    </row>
    <row r="64" spans="4:13" x14ac:dyDescent="0.25">
      <c r="D64" s="316" t="s">
        <v>475</v>
      </c>
      <c r="G64" s="5"/>
    </row>
    <row r="65" spans="3:15" x14ac:dyDescent="0.25">
      <c r="E65" s="5" t="s">
        <v>474</v>
      </c>
      <c r="H65" s="120">
        <v>4</v>
      </c>
      <c r="I65" s="120">
        <v>4</v>
      </c>
      <c r="J65" s="120">
        <v>4</v>
      </c>
      <c r="K65" s="120">
        <v>4</v>
      </c>
      <c r="L65" s="120">
        <v>4</v>
      </c>
      <c r="M65" s="120">
        <v>4</v>
      </c>
    </row>
    <row r="66" spans="3:15" x14ac:dyDescent="0.25">
      <c r="E66" s="5" t="s">
        <v>896</v>
      </c>
      <c r="H66" s="69">
        <v>0.25</v>
      </c>
      <c r="I66" s="69">
        <v>0.25</v>
      </c>
      <c r="J66" s="69">
        <v>0.25</v>
      </c>
      <c r="K66" s="69">
        <v>0.25</v>
      </c>
      <c r="L66" s="69">
        <v>0.25</v>
      </c>
      <c r="M66" s="69">
        <v>0.25</v>
      </c>
    </row>
    <row r="67" spans="3:15" x14ac:dyDescent="0.25">
      <c r="D67" s="316" t="s">
        <v>548</v>
      </c>
    </row>
    <row r="68" spans="3:15" x14ac:dyDescent="0.25">
      <c r="D68" s="65" t="s">
        <v>993</v>
      </c>
      <c r="H68" s="190">
        <v>350000</v>
      </c>
      <c r="I68" s="241">
        <f>H68*(1+GenAssumptions!E$6)</f>
        <v>369600</v>
      </c>
      <c r="J68" s="241">
        <f>I68*(1+GenAssumptions!F$6)</f>
        <v>390297.60000000003</v>
      </c>
      <c r="K68" s="241">
        <f>H68*(1+GenAssumptions!G$6)</f>
        <v>350000</v>
      </c>
      <c r="L68" s="241">
        <f>H68*(1+GenAssumptions!H$6)</f>
        <v>350000</v>
      </c>
      <c r="M68" s="241">
        <f>H68*(1+GenAssumptions!I$6)</f>
        <v>350000</v>
      </c>
    </row>
    <row r="69" spans="3:15" x14ac:dyDescent="0.25">
      <c r="D69" s="65" t="s">
        <v>994</v>
      </c>
      <c r="H69" s="241">
        <f>H68*H30</f>
        <v>15400000</v>
      </c>
      <c r="I69" s="241">
        <f t="shared" ref="I69:M69" si="26">I68*I30</f>
        <v>16262400</v>
      </c>
      <c r="J69" s="241">
        <f t="shared" si="26"/>
        <v>17173094.400000002</v>
      </c>
      <c r="K69" s="241">
        <f>K68*K30</f>
        <v>15400000</v>
      </c>
      <c r="L69" s="241">
        <f>L68*L30</f>
        <v>15400000</v>
      </c>
      <c r="M69" s="241">
        <f t="shared" si="26"/>
        <v>15400000</v>
      </c>
    </row>
    <row r="70" spans="3:15" x14ac:dyDescent="0.25">
      <c r="D70" s="65" t="s">
        <v>995</v>
      </c>
      <c r="H70" s="69">
        <v>0.25</v>
      </c>
      <c r="I70" s="69">
        <v>0.25</v>
      </c>
      <c r="J70" s="69">
        <v>0.25</v>
      </c>
      <c r="K70" s="69">
        <v>0.25</v>
      </c>
      <c r="L70" s="69">
        <v>0.25</v>
      </c>
      <c r="M70" s="69">
        <v>0.25</v>
      </c>
    </row>
    <row r="71" spans="3:15" x14ac:dyDescent="0.25">
      <c r="G71" s="5"/>
      <c r="N71" s="5"/>
      <c r="O71" s="5"/>
    </row>
    <row r="72" spans="3:15" x14ac:dyDescent="0.25">
      <c r="G72" s="5"/>
      <c r="N72" s="5"/>
      <c r="O72" s="5"/>
    </row>
    <row r="73" spans="3:15" s="269" customFormat="1" x14ac:dyDescent="0.25">
      <c r="C73" s="176"/>
      <c r="D73" s="176"/>
      <c r="E73" s="176"/>
      <c r="F73" s="176"/>
      <c r="G73" s="176"/>
      <c r="H73" s="176"/>
      <c r="I73" s="176"/>
      <c r="J73" s="176"/>
      <c r="K73" s="176"/>
      <c r="L73" s="176"/>
      <c r="M73" s="176"/>
      <c r="N73" s="176"/>
      <c r="O73" s="176"/>
    </row>
    <row r="74" spans="3:15" x14ac:dyDescent="0.25">
      <c r="G74" s="5"/>
      <c r="N74" s="5"/>
      <c r="O74" s="5"/>
    </row>
    <row r="75" spans="3:15" x14ac:dyDescent="0.25">
      <c r="D75" s="5" t="s">
        <v>14</v>
      </c>
      <c r="G75" s="5"/>
      <c r="H75" s="120">
        <f>VLOOKUP($E$1,'Agric Demand'!$A$16:$C$25,2,FALSE)*H24</f>
        <v>333082.87662907265</v>
      </c>
      <c r="I75" s="120">
        <f>VLOOKUP($E$1,'Agric Demand'!$A$16:$C$25,2,FALSE)*I24</f>
        <v>333082.87662907265</v>
      </c>
      <c r="J75" s="120">
        <f>VLOOKUP($E$1,'Agric Demand'!$A$16:$C$25,2,FALSE)*J24</f>
        <v>333082.87662907265</v>
      </c>
      <c r="K75" s="120">
        <f>VLOOKUP($E$1,'Agric Demand'!$A$16:$C$25,2,FALSE)*K24</f>
        <v>333082.87662907265</v>
      </c>
      <c r="L75" s="120">
        <f>VLOOKUP($E$1,'Agric Demand'!$A$16:$C$25,2,FALSE)*L24</f>
        <v>333082.87662907265</v>
      </c>
      <c r="M75" s="120">
        <f>VLOOKUP($E$1,'Agric Demand'!$A$16:$C$25,2,FALSE)*M24</f>
        <v>333082.87662907265</v>
      </c>
      <c r="N75" s="5"/>
      <c r="O75" s="5"/>
    </row>
    <row r="76" spans="3:15" x14ac:dyDescent="0.25">
      <c r="D76" s="5" t="s">
        <v>15</v>
      </c>
      <c r="G76" s="5"/>
      <c r="H76" s="120">
        <f>VLOOKUP($E$1,'Agric Demand'!$A$16:$C$25,3,FALSE)*H25</f>
        <v>201376.76971498289</v>
      </c>
      <c r="I76" s="120">
        <f>VLOOKUP($E$1,'Agric Demand'!$A$16:$C$25,3,FALSE)*I25</f>
        <v>201376.76971498289</v>
      </c>
      <c r="J76" s="120">
        <f>VLOOKUP($E$1,'Agric Demand'!$A$16:$C$25,3,FALSE)*J25</f>
        <v>201376.76971498289</v>
      </c>
      <c r="K76" s="120">
        <f>VLOOKUP($E$1,'Agric Demand'!$A$16:$C$25,3,FALSE)*K25</f>
        <v>201376.76971498289</v>
      </c>
      <c r="L76" s="120">
        <f>VLOOKUP($E$1,'Agric Demand'!$A$16:$C$25,3,FALSE)*L25</f>
        <v>201376.76971498289</v>
      </c>
      <c r="M76" s="120">
        <f>VLOOKUP($E$1,'Agric Demand'!$A$16:$C$25,3,FALSE)*M25</f>
        <v>201376.76971498289</v>
      </c>
      <c r="N76" s="5"/>
      <c r="O76" s="5"/>
    </row>
    <row r="77" spans="3:15" x14ac:dyDescent="0.25">
      <c r="G77" s="5"/>
      <c r="H77" s="270">
        <f>SUM(H75:H76)</f>
        <v>534459.64634405554</v>
      </c>
      <c r="I77" s="270">
        <f t="shared" ref="I77:M77" si="27">SUM(I75:I76)</f>
        <v>534459.64634405554</v>
      </c>
      <c r="J77" s="270">
        <f t="shared" si="27"/>
        <v>534459.64634405554</v>
      </c>
      <c r="K77" s="270">
        <f t="shared" si="27"/>
        <v>534459.64634405554</v>
      </c>
      <c r="L77" s="270">
        <f t="shared" ref="L77" si="28">SUM(L75:L76)</f>
        <v>534459.64634405554</v>
      </c>
      <c r="M77" s="270">
        <f t="shared" si="27"/>
        <v>534459.64634405554</v>
      </c>
      <c r="N77" s="5"/>
      <c r="O77" s="5"/>
    </row>
    <row r="78" spans="3:15" x14ac:dyDescent="0.25">
      <c r="G78" s="5"/>
      <c r="N78" s="5"/>
      <c r="O78" s="5"/>
    </row>
    <row r="79" spans="3:15" x14ac:dyDescent="0.25">
      <c r="C79" s="77" t="s">
        <v>466</v>
      </c>
      <c r="G79" s="5"/>
      <c r="N79" s="5"/>
      <c r="O79" s="5"/>
    </row>
    <row r="80" spans="3:15" x14ac:dyDescent="0.25">
      <c r="D80" s="5" t="s">
        <v>883</v>
      </c>
      <c r="G80" s="5"/>
      <c r="H80" s="197">
        <f>H35*GenAssumptions!D16</f>
        <v>35444.07</v>
      </c>
      <c r="I80" s="197">
        <f>I35*GenAssumptions!E16</f>
        <v>37783.378620000003</v>
      </c>
      <c r="J80" s="197">
        <f>J35*GenAssumptions!F16</f>
        <v>40277.081608920009</v>
      </c>
      <c r="K80" s="197">
        <f>K35*GenAssumptions!G16</f>
        <v>35444.07</v>
      </c>
      <c r="L80" s="197">
        <f>L35*GenAssumptions!H16</f>
        <v>35444.07</v>
      </c>
      <c r="M80" s="197">
        <f>M35*GenAssumptions!I16</f>
        <v>35444.07</v>
      </c>
      <c r="N80" s="5"/>
      <c r="O80" s="5"/>
    </row>
    <row r="81" spans="3:19" x14ac:dyDescent="0.25">
      <c r="D81" s="5" t="s">
        <v>884</v>
      </c>
      <c r="G81" s="5"/>
      <c r="H81" s="197">
        <f>H36*GenAssumptions!D17</f>
        <v>48245.100000000006</v>
      </c>
      <c r="I81" s="197">
        <f>I36*GenAssumptions!E17</f>
        <v>51429.276600000005</v>
      </c>
      <c r="J81" s="197">
        <f>J36*GenAssumptions!F17</f>
        <v>54823.608855600003</v>
      </c>
      <c r="K81" s="197">
        <f>K36*GenAssumptions!G17</f>
        <v>48245.100000000006</v>
      </c>
      <c r="L81" s="197">
        <f>L36*GenAssumptions!H17</f>
        <v>48245.100000000006</v>
      </c>
      <c r="M81" s="197">
        <f>M36*GenAssumptions!I17</f>
        <v>48245.100000000006</v>
      </c>
      <c r="N81" s="5"/>
      <c r="O81" s="5"/>
    </row>
    <row r="82" spans="3:19" x14ac:dyDescent="0.25">
      <c r="D82" s="5" t="s">
        <v>885</v>
      </c>
      <c r="G82" s="5"/>
      <c r="H82" s="197">
        <f>H37*9/GenAssumptions!$E$46*GenAssumptions!D18</f>
        <v>88021.674418604656</v>
      </c>
      <c r="I82" s="197">
        <f>I37*9/GenAssumptions!$E$46*GenAssumptions!E18</f>
        <v>93831.10493023257</v>
      </c>
      <c r="J82" s="197">
        <f>J37*9/GenAssumptions!$E$46*GenAssumptions!F18</f>
        <v>100023.95785562792</v>
      </c>
      <c r="K82" s="197">
        <f>K37*9/GenAssumptions!$E$46*GenAssumptions!G18</f>
        <v>88021.674418604656</v>
      </c>
      <c r="L82" s="197">
        <f>L37*9/GenAssumptions!$E$46*GenAssumptions!H18</f>
        <v>88021.674418604656</v>
      </c>
      <c r="M82" s="197">
        <f>M37*9/GenAssumptions!$E$46*GenAssumptions!I18</f>
        <v>88021.674418604656</v>
      </c>
      <c r="N82" s="5"/>
      <c r="O82" s="5"/>
    </row>
    <row r="83" spans="3:19" x14ac:dyDescent="0.25">
      <c r="G83" s="5"/>
      <c r="H83" s="271">
        <f>SUM(H80:H82)</f>
        <v>171710.84441860468</v>
      </c>
      <c r="I83" s="271">
        <f t="shared" ref="I83:M83" si="29">SUM(I80:I82)</f>
        <v>183043.76015023259</v>
      </c>
      <c r="J83" s="271">
        <f t="shared" si="29"/>
        <v>195124.64832014794</v>
      </c>
      <c r="K83" s="271">
        <f t="shared" si="29"/>
        <v>171710.84441860468</v>
      </c>
      <c r="L83" s="271">
        <f t="shared" ref="L83" si="30">SUM(L80:L82)</f>
        <v>171710.84441860468</v>
      </c>
      <c r="M83" s="271">
        <f t="shared" si="29"/>
        <v>171710.84441860468</v>
      </c>
      <c r="N83" s="5"/>
      <c r="O83" s="5"/>
      <c r="P83" t="s">
        <v>865</v>
      </c>
      <c r="R83" s="356" t="s">
        <v>984</v>
      </c>
      <c r="S83" s="359" t="str">
        <f t="shared" ref="S83:S107" si="31">CONCATENATE(P83,R83)</f>
        <v>COEPM</v>
      </c>
    </row>
    <row r="84" spans="3:19" x14ac:dyDescent="0.25">
      <c r="G84" s="5"/>
      <c r="N84" s="5"/>
      <c r="O84" s="5"/>
      <c r="S84" s="359" t="str">
        <f t="shared" si="31"/>
        <v/>
      </c>
    </row>
    <row r="85" spans="3:19" x14ac:dyDescent="0.25">
      <c r="D85" s="5" t="s">
        <v>886</v>
      </c>
      <c r="G85" s="5"/>
      <c r="H85" s="271">
        <f>H40*H41*GenAssumptions!D69</f>
        <v>18000</v>
      </c>
      <c r="I85" s="271">
        <f>I40*I41*GenAssumptions!E69</f>
        <v>19008</v>
      </c>
      <c r="J85" s="271">
        <f>J40*J41*GenAssumptions!F69</f>
        <v>20072.448</v>
      </c>
      <c r="K85" s="271">
        <f>K40*K41*GenAssumptions!G69</f>
        <v>18000</v>
      </c>
      <c r="L85" s="271">
        <f>L40*L41*GenAssumptions!H69</f>
        <v>18000</v>
      </c>
      <c r="M85" s="271">
        <f>M40*M41*GenAssumptions!I69</f>
        <v>18000</v>
      </c>
      <c r="N85" s="5"/>
      <c r="O85" s="5"/>
      <c r="P85" t="s">
        <v>866</v>
      </c>
      <c r="R85" s="356" t="s">
        <v>984</v>
      </c>
      <c r="S85" s="359" t="str">
        <f t="shared" si="31"/>
        <v>GSPM</v>
      </c>
    </row>
    <row r="86" spans="3:19" x14ac:dyDescent="0.25">
      <c r="G86" s="5"/>
      <c r="N86" s="5"/>
      <c r="O86" s="5"/>
      <c r="S86" s="359" t="str">
        <f t="shared" si="31"/>
        <v/>
      </c>
    </row>
    <row r="87" spans="3:19" x14ac:dyDescent="0.25">
      <c r="C87" s="2" t="s">
        <v>470</v>
      </c>
      <c r="D87" s="2"/>
      <c r="E87" s="2"/>
      <c r="G87" s="5"/>
      <c r="N87" s="5"/>
      <c r="O87" s="5"/>
      <c r="S87" s="359" t="str">
        <f t="shared" si="31"/>
        <v/>
      </c>
    </row>
    <row r="88" spans="3:19" x14ac:dyDescent="0.25">
      <c r="D88" s="5" t="s">
        <v>2</v>
      </c>
      <c r="G88" s="5"/>
      <c r="H88" s="271">
        <f>H45*GenAssumptions!D16</f>
        <v>35444.07</v>
      </c>
      <c r="I88" s="271">
        <f>I45*GenAssumptions!E16</f>
        <v>37783.378620000003</v>
      </c>
      <c r="J88" s="271">
        <f>J45*GenAssumptions!F16</f>
        <v>40277.081608920009</v>
      </c>
      <c r="K88" s="271">
        <f>K45*GenAssumptions!G16</f>
        <v>35444.07</v>
      </c>
      <c r="L88" s="271">
        <f>L45*GenAssumptions!H16</f>
        <v>35444.07</v>
      </c>
      <c r="M88" s="271">
        <f>M45*GenAssumptions!I16</f>
        <v>35444.07</v>
      </c>
      <c r="N88" s="5"/>
      <c r="O88" s="5"/>
      <c r="P88" t="s">
        <v>865</v>
      </c>
      <c r="R88" s="356" t="s">
        <v>984</v>
      </c>
      <c r="S88" s="359" t="str">
        <f t="shared" si="31"/>
        <v>COEPM</v>
      </c>
    </row>
    <row r="89" spans="3:19" x14ac:dyDescent="0.25">
      <c r="D89" s="5" t="s">
        <v>3</v>
      </c>
      <c r="G89" s="5"/>
      <c r="H89" s="271">
        <f>H46*GenAssumptions!D17</f>
        <v>192980.40000000002</v>
      </c>
      <c r="I89" s="271">
        <f>I46*GenAssumptions!E17</f>
        <v>205717.10640000002</v>
      </c>
      <c r="J89" s="271">
        <f>J46*GenAssumptions!F17</f>
        <v>219294.43542240001</v>
      </c>
      <c r="K89" s="271">
        <f>K46*GenAssumptions!G17</f>
        <v>192980.40000000002</v>
      </c>
      <c r="L89" s="271">
        <f>L46*GenAssumptions!H17</f>
        <v>192980.40000000002</v>
      </c>
      <c r="M89" s="271">
        <f>M46*GenAssumptions!I17</f>
        <v>192980.40000000002</v>
      </c>
      <c r="N89" s="5"/>
      <c r="O89" s="5"/>
      <c r="P89" t="s">
        <v>865</v>
      </c>
      <c r="R89" s="356" t="s">
        <v>984</v>
      </c>
      <c r="S89" s="359" t="str">
        <f t="shared" si="31"/>
        <v>COEPM</v>
      </c>
    </row>
    <row r="90" spans="3:19" x14ac:dyDescent="0.25">
      <c r="D90" s="5" t="s">
        <v>5</v>
      </c>
      <c r="G90" s="5"/>
      <c r="H90" s="346">
        <f>H47*GenAssumptions!D19</f>
        <v>67599.600000000006</v>
      </c>
      <c r="I90" s="346">
        <f>I47*GenAssumptions!E19</f>
        <v>72061.173600000009</v>
      </c>
      <c r="J90" s="346">
        <f>J47*GenAssumptions!F19</f>
        <v>76817.211057600012</v>
      </c>
      <c r="K90" s="346">
        <f>K47*GenAssumptions!G19</f>
        <v>67599.600000000006</v>
      </c>
      <c r="L90" s="346">
        <f>L47*GenAssumptions!H19</f>
        <v>67599.600000000006</v>
      </c>
      <c r="M90" s="346">
        <f>M47*GenAssumptions!I19</f>
        <v>67599.600000000006</v>
      </c>
      <c r="N90" s="5"/>
      <c r="O90" s="5"/>
      <c r="P90" t="s">
        <v>865</v>
      </c>
      <c r="R90" s="356" t="s">
        <v>984</v>
      </c>
      <c r="S90" s="359" t="str">
        <f t="shared" ref="S90" si="32">CONCATENATE(P90,R90)</f>
        <v>COEPM</v>
      </c>
    </row>
    <row r="91" spans="3:19" x14ac:dyDescent="0.25">
      <c r="C91" s="4" t="s">
        <v>545</v>
      </c>
      <c r="G91" s="5"/>
      <c r="N91" s="5"/>
      <c r="O91" s="5"/>
      <c r="S91" s="359" t="str">
        <f t="shared" si="31"/>
        <v/>
      </c>
    </row>
    <row r="92" spans="3:19" x14ac:dyDescent="0.25">
      <c r="D92" s="5" t="s">
        <v>888</v>
      </c>
      <c r="G92" s="5"/>
      <c r="H92" s="209">
        <f>(H49*H29+H50*H53*H51)/GenAssumptions!$E$46*GenAssumptions!D28</f>
        <v>35387360.373066321</v>
      </c>
      <c r="I92" s="192">
        <f>(I49*I29+I50*I53*I51)/GenAssumptions!$E$46*GenAssumptions!E28</f>
        <v>37722926.1576887</v>
      </c>
      <c r="J92" s="192">
        <f>(J49*J29+J50*J53*J51)/GenAssumptions!$E$46*GenAssumptions!F28</f>
        <v>40212639.284096159</v>
      </c>
      <c r="K92" s="192">
        <f>(K49*K29+K50*K53*K51)/GenAssumptions!$E$46*GenAssumptions!G28</f>
        <v>35387360.373066321</v>
      </c>
      <c r="L92" s="192">
        <f>(L49*L29+L50*L53*L51)/GenAssumptions!$E$46*GenAssumptions!H28</f>
        <v>35387360.373066321</v>
      </c>
      <c r="M92" s="192">
        <f>(M49*M29+M50*M53*M51)/GenAssumptions!$E$46*GenAssumptions!I28</f>
        <v>35387360.373066321</v>
      </c>
      <c r="N92" s="5"/>
      <c r="O92" s="5"/>
      <c r="S92" s="359" t="str">
        <f t="shared" si="31"/>
        <v/>
      </c>
    </row>
    <row r="93" spans="3:19" x14ac:dyDescent="0.25">
      <c r="D93" s="65" t="s">
        <v>889</v>
      </c>
      <c r="G93" s="5"/>
      <c r="H93" s="271">
        <f t="shared" ref="H93:M93" si="33">H55*H92</f>
        <v>12385576.130573211</v>
      </c>
      <c r="I93" s="271">
        <f t="shared" si="33"/>
        <v>13203024.155191043</v>
      </c>
      <c r="J93" s="271">
        <f t="shared" si="33"/>
        <v>14074423.749433655</v>
      </c>
      <c r="K93" s="271">
        <f t="shared" si="33"/>
        <v>12385576.130573211</v>
      </c>
      <c r="L93" s="271">
        <f t="shared" si="33"/>
        <v>12385576.130573211</v>
      </c>
      <c r="M93" s="271">
        <f t="shared" si="33"/>
        <v>12385576.130573211</v>
      </c>
      <c r="N93" s="5"/>
      <c r="O93" s="5"/>
      <c r="P93" t="s">
        <v>865</v>
      </c>
      <c r="R93" s="356" t="s">
        <v>988</v>
      </c>
      <c r="S93" s="359" t="str">
        <f t="shared" si="31"/>
        <v>COENSP</v>
      </c>
    </row>
    <row r="94" spans="3:19" x14ac:dyDescent="0.25">
      <c r="D94" s="5" t="s">
        <v>7</v>
      </c>
      <c r="G94" s="5"/>
      <c r="H94" s="197">
        <f>H54*H53*GenAssumptions!D60</f>
        <v>289498.97510303016</v>
      </c>
      <c r="I94" s="197">
        <f>I54*I53*GenAssumptions!E60</f>
        <v>305710.91770879983</v>
      </c>
      <c r="J94" s="197">
        <f>J54*J53*GenAssumptions!F60</f>
        <v>322830.72910049267</v>
      </c>
      <c r="K94" s="197">
        <f>K54*K53*GenAssumptions!G60</f>
        <v>289498.97510303016</v>
      </c>
      <c r="L94" s="197">
        <f>L54*L53*GenAssumptions!H60</f>
        <v>289498.97510303016</v>
      </c>
      <c r="M94" s="197">
        <f>M54*M53*GenAssumptions!I60</f>
        <v>289498.97510303016</v>
      </c>
      <c r="N94" s="5"/>
      <c r="O94" s="5"/>
      <c r="S94" s="359" t="str">
        <f t="shared" si="31"/>
        <v/>
      </c>
    </row>
    <row r="95" spans="3:19" x14ac:dyDescent="0.25">
      <c r="D95" s="65" t="s">
        <v>889</v>
      </c>
      <c r="G95" s="5"/>
      <c r="H95" s="271">
        <f t="shared" ref="H95:M95" si="34">H55*H94</f>
        <v>101324.64128606055</v>
      </c>
      <c r="I95" s="271">
        <f t="shared" si="34"/>
        <v>106998.82119807994</v>
      </c>
      <c r="J95" s="271">
        <f t="shared" si="34"/>
        <v>112990.75518517243</v>
      </c>
      <c r="K95" s="271">
        <f t="shared" si="34"/>
        <v>101324.64128606055</v>
      </c>
      <c r="L95" s="271">
        <f t="shared" si="34"/>
        <v>101324.64128606055</v>
      </c>
      <c r="M95" s="271">
        <f t="shared" si="34"/>
        <v>101324.64128606055</v>
      </c>
      <c r="N95" s="5"/>
      <c r="O95" s="5"/>
      <c r="P95" t="s">
        <v>866</v>
      </c>
      <c r="R95" s="356" t="s">
        <v>988</v>
      </c>
      <c r="S95" s="359" t="str">
        <f t="shared" si="31"/>
        <v>GSNSP</v>
      </c>
    </row>
    <row r="96" spans="3:19" x14ac:dyDescent="0.25">
      <c r="G96" s="5"/>
      <c r="N96" s="5"/>
      <c r="O96" s="5"/>
      <c r="S96" s="359" t="str">
        <f t="shared" si="31"/>
        <v/>
      </c>
    </row>
    <row r="97" spans="3:19" x14ac:dyDescent="0.25">
      <c r="C97" s="4" t="s">
        <v>547</v>
      </c>
      <c r="G97" s="5"/>
      <c r="N97" s="5"/>
      <c r="O97" s="5"/>
      <c r="S97" s="359" t="str">
        <f t="shared" si="31"/>
        <v/>
      </c>
    </row>
    <row r="98" spans="3:19" x14ac:dyDescent="0.25">
      <c r="D98" s="5" t="s">
        <v>892</v>
      </c>
      <c r="G98" s="5"/>
      <c r="H98" s="209">
        <f t="shared" ref="H98:M98" si="35">H58*H29</f>
        <v>35167444.729438856</v>
      </c>
      <c r="I98" s="209">
        <f t="shared" si="35"/>
        <v>37136821.634287439</v>
      </c>
      <c r="J98" s="209">
        <f t="shared" si="35"/>
        <v>39216483.645807542</v>
      </c>
      <c r="K98" s="209">
        <f t="shared" si="35"/>
        <v>35167444.729438856</v>
      </c>
      <c r="L98" s="209">
        <f t="shared" si="35"/>
        <v>35167444.729438856</v>
      </c>
      <c r="M98" s="209">
        <f t="shared" si="35"/>
        <v>35167444.729438856</v>
      </c>
      <c r="N98" s="5"/>
      <c r="O98" s="5"/>
      <c r="S98" s="359" t="str">
        <f t="shared" si="31"/>
        <v/>
      </c>
    </row>
    <row r="99" spans="3:19" x14ac:dyDescent="0.25">
      <c r="D99" s="5" t="s">
        <v>889</v>
      </c>
      <c r="G99" s="5"/>
      <c r="H99" s="271">
        <f t="shared" ref="H99:M99" si="36">H98*H55</f>
        <v>12308605.655303599</v>
      </c>
      <c r="I99" s="271">
        <f t="shared" si="36"/>
        <v>12997887.572000602</v>
      </c>
      <c r="J99" s="271">
        <f t="shared" si="36"/>
        <v>13725769.27603264</v>
      </c>
      <c r="K99" s="271">
        <f t="shared" si="36"/>
        <v>12308605.655303599</v>
      </c>
      <c r="L99" s="271">
        <f t="shared" si="36"/>
        <v>12308605.655303599</v>
      </c>
      <c r="M99" s="271">
        <f t="shared" si="36"/>
        <v>12308605.655303599</v>
      </c>
      <c r="N99" s="5"/>
      <c r="O99" s="5"/>
      <c r="P99" t="s">
        <v>866</v>
      </c>
      <c r="R99" s="356" t="s">
        <v>988</v>
      </c>
      <c r="S99" s="359" t="str">
        <f t="shared" si="31"/>
        <v>GSNSP</v>
      </c>
    </row>
    <row r="100" spans="3:19" x14ac:dyDescent="0.25">
      <c r="D100" s="5" t="s">
        <v>890</v>
      </c>
      <c r="G100" s="5"/>
      <c r="H100" s="271">
        <f>H55*H57*H29/Minutes_per_Year*GenAssumptions!D19</f>
        <v>490125.59721511108</v>
      </c>
      <c r="I100" s="271">
        <f>I55*I57*I29/Minutes_per_Year*GenAssumptions!E19</f>
        <v>522473.88663130847</v>
      </c>
      <c r="J100" s="271">
        <f>J55*J57*J29/Minutes_per_Year*GenAssumptions!F19</f>
        <v>556957.16314897488</v>
      </c>
      <c r="K100" s="271">
        <f>K55*K57*K29/Minutes_per_Year*GenAssumptions!G19</f>
        <v>490125.59721511108</v>
      </c>
      <c r="L100" s="271">
        <f>L55*L57*L29/Minutes_per_Year*GenAssumptions!H19</f>
        <v>490125.59721511108</v>
      </c>
      <c r="M100" s="271">
        <f>M55*M57*M29/Minutes_per_Year*GenAssumptions!I19</f>
        <v>490125.59721511108</v>
      </c>
      <c r="N100" s="5"/>
      <c r="O100" s="5"/>
      <c r="P100" t="s">
        <v>865</v>
      </c>
      <c r="R100" s="356" t="s">
        <v>988</v>
      </c>
      <c r="S100" s="359" t="str">
        <f t="shared" si="31"/>
        <v>COENSP</v>
      </c>
    </row>
    <row r="101" spans="3:19" x14ac:dyDescent="0.25">
      <c r="G101" s="5"/>
      <c r="N101" s="5"/>
      <c r="O101" s="5"/>
      <c r="S101" s="359" t="str">
        <f t="shared" si="31"/>
        <v/>
      </c>
    </row>
    <row r="102" spans="3:19" x14ac:dyDescent="0.25">
      <c r="C102" s="4" t="s">
        <v>546</v>
      </c>
      <c r="G102" s="5"/>
      <c r="H102" s="219"/>
      <c r="N102" s="5"/>
      <c r="O102" s="5"/>
      <c r="S102" s="359" t="str">
        <f t="shared" si="31"/>
        <v/>
      </c>
    </row>
    <row r="103" spans="3:19" x14ac:dyDescent="0.25">
      <c r="D103" s="5" t="s">
        <v>894</v>
      </c>
      <c r="G103" s="5"/>
      <c r="H103" s="271">
        <f>H62*H61*H60/Minutes_per_Year*GenAssumptions!D28*H30</f>
        <v>109248.93023255814</v>
      </c>
      <c r="I103" s="271">
        <f>I62*I61*I60/Minutes_per_Year*GenAssumptions!E28*I30</f>
        <v>116459.35962790696</v>
      </c>
      <c r="J103" s="271">
        <f>J62*J61*J60/Minutes_per_Year*GenAssumptions!F28*J30</f>
        <v>124145.67736334885</v>
      </c>
      <c r="K103" s="271">
        <f>K62*K61*K60/Minutes_per_Year*GenAssumptions!G28*K30</f>
        <v>109248.93023255814</v>
      </c>
      <c r="L103" s="271">
        <f>L62*L61*L60/Minutes_per_Year*GenAssumptions!H28*L30</f>
        <v>109248.93023255814</v>
      </c>
      <c r="M103" s="271">
        <f>M62*M61*M60/Minutes_per_Year*GenAssumptions!I28*M30</f>
        <v>109248.93023255814</v>
      </c>
      <c r="N103" s="5"/>
      <c r="O103" s="5"/>
      <c r="P103" t="s">
        <v>865</v>
      </c>
      <c r="R103" s="356" t="s">
        <v>988</v>
      </c>
      <c r="S103" s="359" t="str">
        <f t="shared" si="31"/>
        <v>COENSP</v>
      </c>
    </row>
    <row r="104" spans="3:19" x14ac:dyDescent="0.25">
      <c r="G104" s="5"/>
      <c r="N104" s="5"/>
      <c r="O104" s="5"/>
      <c r="S104" s="359" t="str">
        <f t="shared" si="31"/>
        <v/>
      </c>
    </row>
    <row r="105" spans="3:19" x14ac:dyDescent="0.25">
      <c r="C105" s="4" t="s">
        <v>475</v>
      </c>
      <c r="G105" s="5"/>
      <c r="H105" s="271">
        <f>H65*H66*H30*GenAssumptions!D76</f>
        <v>704000</v>
      </c>
      <c r="I105" s="271">
        <f>I65*I66*I30*GenAssumptions!E76</f>
        <v>743424</v>
      </c>
      <c r="J105" s="271">
        <f>J65*J66*J30*GenAssumptions!F76</f>
        <v>785055.74399999995</v>
      </c>
      <c r="K105" s="271">
        <f>K65*K66*K30*GenAssumptions!G76</f>
        <v>704000</v>
      </c>
      <c r="L105" s="271">
        <f>L65*L66*L30*GenAssumptions!H76</f>
        <v>704000</v>
      </c>
      <c r="M105" s="271">
        <f>M65*M66*M30*GenAssumptions!I76</f>
        <v>704000</v>
      </c>
      <c r="N105" s="5"/>
      <c r="O105" s="5"/>
      <c r="P105" t="s">
        <v>866</v>
      </c>
      <c r="R105" s="356" t="s">
        <v>985</v>
      </c>
      <c r="S105" s="359" t="str">
        <f t="shared" si="31"/>
        <v>GSEC</v>
      </c>
    </row>
    <row r="106" spans="3:19" x14ac:dyDescent="0.25">
      <c r="S106" s="359" t="str">
        <f t="shared" si="31"/>
        <v/>
      </c>
    </row>
    <row r="107" spans="3:19" x14ac:dyDescent="0.25">
      <c r="C107" s="5" t="s">
        <v>375</v>
      </c>
      <c r="H107" s="271">
        <f>H70*H69</f>
        <v>3850000</v>
      </c>
      <c r="I107" s="271">
        <f t="shared" ref="I107:M107" si="37">I70*I69</f>
        <v>4065600</v>
      </c>
      <c r="J107" s="271">
        <f t="shared" si="37"/>
        <v>4293273.6000000006</v>
      </c>
      <c r="K107" s="271">
        <f t="shared" si="37"/>
        <v>3850000</v>
      </c>
      <c r="L107" s="271">
        <f t="shared" ref="L107" si="38">L70*L69</f>
        <v>3850000</v>
      </c>
      <c r="M107" s="271">
        <f t="shared" si="37"/>
        <v>3850000</v>
      </c>
      <c r="P107" t="s">
        <v>866</v>
      </c>
      <c r="R107" s="356" t="s">
        <v>988</v>
      </c>
      <c r="S107" s="359" t="str">
        <f t="shared" si="31"/>
        <v>GSNSP</v>
      </c>
    </row>
    <row r="108" spans="3:19" x14ac:dyDescent="0.25">
      <c r="H108" s="192"/>
      <c r="I108" s="192"/>
      <c r="J108" s="192"/>
      <c r="K108" s="192"/>
      <c r="L108" s="192"/>
      <c r="M108" s="192"/>
    </row>
  </sheetData>
  <mergeCells count="1">
    <mergeCell ref="H2:J2"/>
  </mergeCells>
  <dataValidations count="1">
    <dataValidation type="list" allowBlank="1" showInputMessage="1" showErrorMessage="1" sqref="R85 R107 R88:R90 R103 R99:R100 R95 R93">
      <formula1>$B$16:$B$23</formula1>
    </dataValidation>
  </dataValidations>
  <pageMargins left="0.7" right="0.7" top="0.75" bottom="0.75" header="0.3" footer="0.3"/>
  <pageSetup paperSize="9"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14:formula1>
            <xm:f>Scenario!$B$16:$B$36</xm:f>
          </x14:formula1>
          <xm:sqref>R83</xm:sqref>
        </x14:dataValidation>
      </x14:dataValidations>
    </ex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42"/>
  <sheetViews>
    <sheetView showGridLines="0" topLeftCell="M1" workbookViewId="0">
      <selection activeCell="Z13" activeCellId="1" sqref="U13:W13 Z13:AB13"/>
    </sheetView>
  </sheetViews>
  <sheetFormatPr defaultColWidth="8.85546875" defaultRowHeight="12.75" x14ac:dyDescent="0.2"/>
  <cols>
    <col min="1" max="1" width="12.42578125" style="8" bestFit="1" customWidth="1"/>
    <col min="2" max="2" width="11.28515625" style="8" bestFit="1" customWidth="1"/>
    <col min="3" max="3" width="10.7109375" style="8" customWidth="1"/>
    <col min="4" max="4" width="14.42578125" style="8" bestFit="1" customWidth="1"/>
    <col min="5" max="9" width="16" style="8" customWidth="1"/>
    <col min="10" max="10" width="14.42578125" style="8" bestFit="1" customWidth="1"/>
    <col min="11" max="15" width="8" style="149" customWidth="1"/>
    <col min="16" max="16" width="8.7109375" style="8" bestFit="1" customWidth="1"/>
    <col min="17" max="20" width="8" style="8" customWidth="1"/>
    <col min="21" max="21" width="12.5703125" style="8" customWidth="1"/>
    <col min="22" max="22" width="8" style="8" customWidth="1"/>
    <col min="23" max="23" width="12.5703125" style="8" customWidth="1"/>
    <col min="24" max="24" width="10.85546875" style="8" customWidth="1"/>
    <col min="25" max="25" width="8" style="8" customWidth="1"/>
    <col min="26" max="27" width="8.85546875" style="8" bestFit="1" customWidth="1"/>
    <col min="28" max="29" width="8" style="8" customWidth="1"/>
    <col min="30" max="30" width="10.7109375" style="8" customWidth="1"/>
    <col min="31" max="35" width="9.28515625" style="8" customWidth="1"/>
    <col min="36" max="40" width="9.7109375" style="8" bestFit="1" customWidth="1"/>
    <col min="41" max="16384" width="8.85546875" style="8"/>
  </cols>
  <sheetData>
    <row r="1" spans="1:40" x14ac:dyDescent="0.2">
      <c r="B1" s="20" t="s">
        <v>143</v>
      </c>
      <c r="C1" s="20"/>
      <c r="D1" s="20"/>
      <c r="E1" s="20"/>
      <c r="F1" s="20"/>
      <c r="G1" s="20"/>
      <c r="H1" s="20"/>
      <c r="I1" s="20"/>
      <c r="J1" s="20"/>
      <c r="K1" s="149">
        <v>1</v>
      </c>
      <c r="L1" s="149">
        <v>2</v>
      </c>
      <c r="M1" s="149">
        <v>3</v>
      </c>
      <c r="N1" s="149">
        <v>4</v>
      </c>
      <c r="O1" s="149">
        <v>5</v>
      </c>
      <c r="P1" s="149">
        <v>6</v>
      </c>
      <c r="Q1" s="149">
        <v>7</v>
      </c>
      <c r="R1" s="149">
        <v>8</v>
      </c>
      <c r="S1" s="149">
        <v>9</v>
      </c>
      <c r="T1" s="149">
        <v>10</v>
      </c>
      <c r="U1" s="149">
        <v>11</v>
      </c>
      <c r="V1" s="149">
        <v>12</v>
      </c>
      <c r="W1" s="149">
        <v>13</v>
      </c>
      <c r="X1" s="149">
        <v>14</v>
      </c>
      <c r="Y1" s="149">
        <v>15</v>
      </c>
      <c r="Z1" s="149">
        <v>16</v>
      </c>
      <c r="AA1" s="149">
        <v>17</v>
      </c>
      <c r="AB1" s="149">
        <v>18</v>
      </c>
      <c r="AC1" s="149">
        <v>19</v>
      </c>
      <c r="AD1" s="149">
        <v>20</v>
      </c>
      <c r="AE1" s="149">
        <v>21</v>
      </c>
      <c r="AF1" s="149">
        <v>22</v>
      </c>
      <c r="AG1" s="149">
        <v>23</v>
      </c>
      <c r="AH1" s="149">
        <v>24</v>
      </c>
      <c r="AI1" s="149">
        <v>25</v>
      </c>
      <c r="AJ1" s="149">
        <v>26</v>
      </c>
      <c r="AK1" s="149">
        <v>27</v>
      </c>
      <c r="AL1" s="149">
        <v>28</v>
      </c>
      <c r="AM1" s="149">
        <v>29</v>
      </c>
      <c r="AN1" s="149">
        <v>30</v>
      </c>
    </row>
    <row r="2" spans="1:40" ht="33.75" customHeight="1" x14ac:dyDescent="0.2">
      <c r="B2" s="20"/>
      <c r="C2" s="20"/>
      <c r="D2" s="20"/>
      <c r="E2" s="20"/>
      <c r="F2" s="20"/>
      <c r="G2" s="20"/>
      <c r="H2" s="20"/>
      <c r="I2" s="20"/>
      <c r="J2" s="20"/>
      <c r="K2" s="150" t="s">
        <v>438</v>
      </c>
      <c r="L2" s="156"/>
      <c r="M2" s="156"/>
      <c r="N2" s="156"/>
      <c r="O2" s="157"/>
      <c r="P2" s="1141" t="s">
        <v>439</v>
      </c>
      <c r="Q2" s="1142"/>
      <c r="R2" s="1142"/>
      <c r="S2" s="1142"/>
      <c r="T2" s="1143"/>
      <c r="U2" s="150" t="s">
        <v>440</v>
      </c>
      <c r="V2" s="156"/>
      <c r="W2" s="156"/>
      <c r="X2" s="156"/>
      <c r="Y2" s="157"/>
      <c r="Z2" s="152" t="s">
        <v>441</v>
      </c>
      <c r="AA2" s="158"/>
      <c r="AB2" s="158"/>
      <c r="AC2" s="158"/>
      <c r="AD2" s="158"/>
      <c r="AE2" s="159" t="s">
        <v>1015</v>
      </c>
      <c r="AF2" s="159"/>
      <c r="AG2" s="159"/>
      <c r="AH2" s="159"/>
      <c r="AI2" s="159"/>
      <c r="AJ2" s="151" t="s">
        <v>1263</v>
      </c>
      <c r="AK2" s="158"/>
      <c r="AL2" s="158"/>
      <c r="AM2" s="158"/>
      <c r="AN2" s="159"/>
    </row>
    <row r="3" spans="1:40" ht="22.5" x14ac:dyDescent="0.2">
      <c r="A3" s="23" t="s">
        <v>142</v>
      </c>
      <c r="B3" s="22" t="s">
        <v>1668</v>
      </c>
      <c r="C3" s="22" t="s">
        <v>1669</v>
      </c>
      <c r="D3" s="20" t="s">
        <v>1670</v>
      </c>
      <c r="E3" s="22" t="s">
        <v>438</v>
      </c>
      <c r="F3" s="22" t="s">
        <v>439</v>
      </c>
      <c r="G3" s="22" t="s">
        <v>440</v>
      </c>
      <c r="H3" s="22" t="s">
        <v>441</v>
      </c>
      <c r="I3" s="22" t="s">
        <v>1015</v>
      </c>
      <c r="J3" s="20"/>
      <c r="K3" s="160" t="s">
        <v>14</v>
      </c>
      <c r="L3" s="161" t="s">
        <v>15</v>
      </c>
      <c r="M3" s="161" t="s">
        <v>16</v>
      </c>
      <c r="N3" s="161" t="s">
        <v>17</v>
      </c>
      <c r="O3" s="162" t="s">
        <v>18</v>
      </c>
      <c r="P3" s="160" t="s">
        <v>14</v>
      </c>
      <c r="Q3" s="161" t="s">
        <v>15</v>
      </c>
      <c r="R3" s="161" t="s">
        <v>16</v>
      </c>
      <c r="S3" s="161" t="s">
        <v>17</v>
      </c>
      <c r="T3" s="161" t="s">
        <v>18</v>
      </c>
      <c r="U3" s="161" t="s">
        <v>14</v>
      </c>
      <c r="V3" s="161" t="s">
        <v>15</v>
      </c>
      <c r="W3" s="161" t="s">
        <v>16</v>
      </c>
      <c r="X3" s="161" t="s">
        <v>17</v>
      </c>
      <c r="Y3" s="161" t="s">
        <v>18</v>
      </c>
      <c r="Z3" s="161" t="s">
        <v>14</v>
      </c>
      <c r="AA3" s="161" t="s">
        <v>15</v>
      </c>
      <c r="AB3" s="161" t="s">
        <v>16</v>
      </c>
      <c r="AC3" s="161" t="s">
        <v>17</v>
      </c>
      <c r="AD3" s="162" t="s">
        <v>18</v>
      </c>
      <c r="AE3" s="161" t="s">
        <v>14</v>
      </c>
      <c r="AF3" s="161" t="s">
        <v>15</v>
      </c>
      <c r="AG3" s="161" t="s">
        <v>16</v>
      </c>
      <c r="AH3" s="161" t="s">
        <v>17</v>
      </c>
      <c r="AI3" s="162" t="s">
        <v>18</v>
      </c>
      <c r="AJ3" s="161" t="s">
        <v>14</v>
      </c>
      <c r="AK3" s="161" t="s">
        <v>15</v>
      </c>
      <c r="AL3" s="161" t="s">
        <v>16</v>
      </c>
      <c r="AM3" s="161" t="s">
        <v>17</v>
      </c>
      <c r="AN3" s="162" t="s">
        <v>18</v>
      </c>
    </row>
    <row r="4" spans="1:40" x14ac:dyDescent="0.2">
      <c r="A4" s="591" t="s">
        <v>115</v>
      </c>
      <c r="B4" s="592">
        <f>'Census - years'!B8+'Census - years'!C8+'Census - years'!D8+'Census - years'!E8+'Census - years'!F8</f>
        <v>767216</v>
      </c>
      <c r="C4" s="148">
        <f>'Census - years'!G8</f>
        <v>158683</v>
      </c>
      <c r="D4" s="148">
        <f>C4+B4</f>
        <v>925899</v>
      </c>
      <c r="E4" s="929">
        <f>'Census - years'!B8+'Census - years'!C8</f>
        <v>291413</v>
      </c>
      <c r="F4" s="148">
        <f>'Census - years'!D8</f>
        <v>155462</v>
      </c>
      <c r="G4" s="148">
        <f>'Census - years'!E8</f>
        <v>159748</v>
      </c>
      <c r="H4" s="148">
        <f>'Census - years'!F8</f>
        <v>160593</v>
      </c>
      <c r="I4" s="148">
        <f>'Census - years'!G8</f>
        <v>158683</v>
      </c>
      <c r="J4" s="9">
        <v>1</v>
      </c>
      <c r="K4" s="928">
        <f>$E4*IES!B5/100</f>
        <v>79559.164007945932</v>
      </c>
      <c r="L4" s="154">
        <f>$E4*IES!C5/100</f>
        <v>72066.892903486601</v>
      </c>
      <c r="M4" s="154">
        <f>$E4*IES!D5/100</f>
        <v>57173.267957683449</v>
      </c>
      <c r="N4" s="154">
        <f>$E4*IES!E5/100</f>
        <v>49506.74955587853</v>
      </c>
      <c r="O4" s="155">
        <f>$E4*IES!F5/100</f>
        <v>33106.925575005502</v>
      </c>
      <c r="P4" s="1092">
        <f>$F4*IES!B5/100</f>
        <v>42442.947826635362</v>
      </c>
      <c r="Q4" s="164">
        <f>$F4*IES!C5/100</f>
        <v>38445.996934116993</v>
      </c>
      <c r="R4" s="164">
        <f>$F4*IES!D5/100</f>
        <v>30500.597376360645</v>
      </c>
      <c r="S4" s="164">
        <f>$F4*IES!E5/100</f>
        <v>26410.689637922769</v>
      </c>
      <c r="T4" s="165">
        <f>$F4*IES!F5/100</f>
        <v>17661.768224964246</v>
      </c>
      <c r="U4" s="153">
        <f>$G4*IES!B5/100</f>
        <v>43613.076053372184</v>
      </c>
      <c r="V4" s="164">
        <f>$G4*IES!C5/100</f>
        <v>39505.931470271324</v>
      </c>
      <c r="W4" s="164">
        <f>$G4*IES!D5/100</f>
        <v>31341.481710507134</v>
      </c>
      <c r="X4" s="164">
        <f>$G4*IES!E5/100</f>
        <v>27138.817513468803</v>
      </c>
      <c r="Y4" s="165">
        <f>$G4*IES!F5/100</f>
        <v>18148.69325238057</v>
      </c>
      <c r="Z4" s="153">
        <f>$H4*IES!B5/100</f>
        <v>43843.770955750297</v>
      </c>
      <c r="AA4" s="164">
        <f>$H4*IES!C5/100</f>
        <v>39714.901298327888</v>
      </c>
      <c r="AB4" s="164">
        <f>$H4*IES!D5/100</f>
        <v>31507.265019502418</v>
      </c>
      <c r="AC4" s="164">
        <f>$H4*IES!E5/100</f>
        <v>27282.370489398898</v>
      </c>
      <c r="AD4" s="165">
        <f>$H4*IES!F5/100</f>
        <v>18244.692237020514</v>
      </c>
      <c r="AE4" s="163">
        <f>$I4*IES!B5/100</f>
        <v>43322.318572860117</v>
      </c>
      <c r="AF4" s="164">
        <f>$I4*IES!C5/100</f>
        <v>39242.555296448561</v>
      </c>
      <c r="AG4" s="164">
        <f>$I4*IES!D5/100</f>
        <v>31132.535883193552</v>
      </c>
      <c r="AH4" s="164">
        <f>$I4*IES!E5/100</f>
        <v>26957.889798243294</v>
      </c>
      <c r="AI4" s="164">
        <f>$I4*IES!F5/100</f>
        <v>18027.700449254491</v>
      </c>
      <c r="AJ4" s="163">
        <f>K4+P4+U4+Z4</f>
        <v>209458.95884370379</v>
      </c>
      <c r="AK4" s="164">
        <f t="shared" ref="AK4:AN4" si="0">L4+Q4+V4+AA4</f>
        <v>189733.72260620282</v>
      </c>
      <c r="AL4" s="164">
        <f t="shared" si="0"/>
        <v>150522.61206405365</v>
      </c>
      <c r="AM4" s="164">
        <f t="shared" si="0"/>
        <v>130338.627196669</v>
      </c>
      <c r="AN4" s="164">
        <f t="shared" si="0"/>
        <v>87162.079289370828</v>
      </c>
    </row>
    <row r="5" spans="1:40" x14ac:dyDescent="0.2">
      <c r="A5" s="591" t="s">
        <v>109</v>
      </c>
      <c r="B5" s="592">
        <f>'Census - years'!B9+'Census - years'!C9+'Census - years'!D9+'Census - years'!E9+'Census - years'!F9</f>
        <v>295896</v>
      </c>
      <c r="C5" s="148">
        <f>'Census - years'!G9</f>
        <v>56531</v>
      </c>
      <c r="D5" s="148">
        <f t="shared" ref="D5:D11" si="1">C5+B5</f>
        <v>352427</v>
      </c>
      <c r="E5" s="929">
        <f>'Census - years'!B9+'Census - years'!C9</f>
        <v>118089</v>
      </c>
      <c r="F5" s="148">
        <f>'Census - years'!D9</f>
        <v>59369</v>
      </c>
      <c r="G5" s="148">
        <f>'Census - years'!E9</f>
        <v>60184</v>
      </c>
      <c r="H5" s="148">
        <f>'Census - years'!F9</f>
        <v>58254</v>
      </c>
      <c r="I5" s="148">
        <f>'Census - years'!G9</f>
        <v>56531</v>
      </c>
      <c r="J5" s="9">
        <v>2</v>
      </c>
      <c r="K5" s="153">
        <f>$E5*IES!B6/100</f>
        <v>24230.195751562322</v>
      </c>
      <c r="L5" s="154">
        <f>$E5*IES!C6/100</f>
        <v>24654.32210581371</v>
      </c>
      <c r="M5" s="154">
        <f>$E5*IES!D6/100</f>
        <v>26467.151912295125</v>
      </c>
      <c r="N5" s="154">
        <f>$E5*IES!E6/100</f>
        <v>24537.534247783478</v>
      </c>
      <c r="O5" s="155">
        <f>$E5*IES!F6/100</f>
        <v>18199.795982545373</v>
      </c>
      <c r="P5" s="153">
        <f>$F5*IES!B6/100</f>
        <v>12181.680694853063</v>
      </c>
      <c r="Q5" s="154">
        <f>$F5*IES!C6/100</f>
        <v>12394.909340413196</v>
      </c>
      <c r="R5" s="154">
        <f>$F5*IES!D6/100</f>
        <v>13306.305768370037</v>
      </c>
      <c r="S5" s="154">
        <f>$F5*IES!E6/100</f>
        <v>12336.194486841767</v>
      </c>
      <c r="T5" s="155">
        <f>$F5*IES!F6/100</f>
        <v>9149.9097095219386</v>
      </c>
      <c r="U5" s="153">
        <f>$G5*IES!B6/100</f>
        <v>12348.907189594516</v>
      </c>
      <c r="V5" s="154">
        <f>$G5*IES!C6/100</f>
        <v>12565.062974674122</v>
      </c>
      <c r="W5" s="154">
        <f>$G5*IES!D6/100</f>
        <v>13488.970782118316</v>
      </c>
      <c r="X5" s="154">
        <f>$G5*IES!E6/100</f>
        <v>12505.542101030587</v>
      </c>
      <c r="Y5" s="155">
        <f>$G5*IES!F6/100</f>
        <v>9275.5169525824658</v>
      </c>
      <c r="Z5" s="153">
        <f>$H5*IES!B6/100</f>
        <v>11952.898435176108</v>
      </c>
      <c r="AA5" s="154">
        <f>$H5*IES!C6/100</f>
        <v>12162.122466547025</v>
      </c>
      <c r="AB5" s="154">
        <f>$H5*IES!D6/100</f>
        <v>13056.402099254294</v>
      </c>
      <c r="AC5" s="154">
        <f>$H5*IES!E6/100</f>
        <v>12104.510327552769</v>
      </c>
      <c r="AD5" s="155">
        <f>$H5*IES!F6/100</f>
        <v>8978.0666714698073</v>
      </c>
      <c r="AE5" s="153">
        <f>$I5*IES!B6/100</f>
        <v>11599.363158563199</v>
      </c>
      <c r="AF5" s="154">
        <f>$I5*IES!C6/100</f>
        <v>11802.398893747553</v>
      </c>
      <c r="AG5" s="154">
        <f>$I5*IES!D6/100</f>
        <v>12670.22808859382</v>
      </c>
      <c r="AH5" s="154">
        <f>$I5*IES!E6/100</f>
        <v>11746.490770194074</v>
      </c>
      <c r="AI5" s="154">
        <f>$I5*IES!F6/100</f>
        <v>8712.5190889013575</v>
      </c>
      <c r="AJ5" s="153">
        <f t="shared" ref="AJ5:AJ12" si="2">K5+P5+U5+Z5</f>
        <v>60713.682071186013</v>
      </c>
      <c r="AK5" s="154">
        <f t="shared" ref="AK5:AK12" si="3">L5+Q5+V5+AA5</f>
        <v>61776.416887448053</v>
      </c>
      <c r="AL5" s="154">
        <f t="shared" ref="AL5:AL12" si="4">M5+R5+W5+AB5</f>
        <v>66318.830562037765</v>
      </c>
      <c r="AM5" s="154">
        <f t="shared" ref="AM5:AM12" si="5">N5+S5+X5+AC5</f>
        <v>61483.781163208594</v>
      </c>
      <c r="AN5" s="154">
        <f t="shared" ref="AN5:AN12" si="6">O5+T5+Y5+AD5</f>
        <v>45603.28931611959</v>
      </c>
    </row>
    <row r="6" spans="1:40" x14ac:dyDescent="0.2">
      <c r="A6" s="591" t="s">
        <v>103</v>
      </c>
      <c r="B6" s="592">
        <f>'Census - years'!B10+'Census - years'!C10+'Census - years'!D10+'Census - years'!E10+'Census - years'!F10</f>
        <v>1191419</v>
      </c>
      <c r="C6" s="148">
        <f>'Census - years'!G10</f>
        <v>203198</v>
      </c>
      <c r="D6" s="148">
        <f t="shared" si="1"/>
        <v>1394617</v>
      </c>
      <c r="E6" s="929">
        <f>'Census - years'!B10+'Census - years'!C10</f>
        <v>501403</v>
      </c>
      <c r="F6" s="148">
        <f>'Census - years'!D10</f>
        <v>241270</v>
      </c>
      <c r="G6" s="148">
        <f>'Census - years'!E10</f>
        <v>231135</v>
      </c>
      <c r="H6" s="148">
        <f>'Census - years'!F10</f>
        <v>217611</v>
      </c>
      <c r="I6" s="148">
        <f>'Census - years'!G10</f>
        <v>203198</v>
      </c>
      <c r="J6" s="9">
        <v>3</v>
      </c>
      <c r="K6" s="153">
        <f>$E6*IES!B7/100</f>
        <v>70879.968757295559</v>
      </c>
      <c r="L6" s="154">
        <f>$E6*IES!C7/100</f>
        <v>73874.046905412266</v>
      </c>
      <c r="M6" s="154">
        <f>$E6*IES!D7/100</f>
        <v>89616.625921325554</v>
      </c>
      <c r="N6" s="154">
        <f>$E6*IES!E7/100</f>
        <v>109827.35319087561</v>
      </c>
      <c r="O6" s="155">
        <f>$E6*IES!F7/100</f>
        <v>157205.00522509101</v>
      </c>
      <c r="P6" s="153">
        <f>$F6*IES!B7/100</f>
        <v>34106.716677149321</v>
      </c>
      <c r="Q6" s="154">
        <f>$F6*IES!C7/100</f>
        <v>35547.436486955237</v>
      </c>
      <c r="R6" s="154">
        <f>$F6*IES!D7/100</f>
        <v>43122.604643446917</v>
      </c>
      <c r="S6" s="154">
        <f>$F6*IES!E7/100</f>
        <v>52847.800081695874</v>
      </c>
      <c r="T6" s="155">
        <f>$F6*IES!F7/100</f>
        <v>75645.442110752643</v>
      </c>
      <c r="U6" s="153">
        <f>$G6*IES!B7/100</f>
        <v>32673.999913677242</v>
      </c>
      <c r="V6" s="154">
        <f>$G6*IES!C7/100</f>
        <v>34054.199578946405</v>
      </c>
      <c r="W6" s="154">
        <f>$G6*IES!D7/100</f>
        <v>41311.158553749345</v>
      </c>
      <c r="X6" s="154">
        <f>$G6*IES!E7/100</f>
        <v>50627.828871731981</v>
      </c>
      <c r="Y6" s="155">
        <f>$G6*IES!F7/100</f>
        <v>72467.81308189503</v>
      </c>
      <c r="Z6" s="153">
        <f>$H6*IES!B7/100</f>
        <v>30762.203020811292</v>
      </c>
      <c r="AA6" s="154">
        <f>$H6*IES!C7/100</f>
        <v>32061.64546509229</v>
      </c>
      <c r="AB6" s="154">
        <f>$H6*IES!D7/100</f>
        <v>38893.990629026106</v>
      </c>
      <c r="AC6" s="154">
        <f>$H6*IES!E7/100</f>
        <v>47665.530830927681</v>
      </c>
      <c r="AD6" s="155">
        <f>$H6*IES!F7/100</f>
        <v>68227.630054142646</v>
      </c>
      <c r="AE6" s="153">
        <f>$I6*IES!B7/100</f>
        <v>28724.734178983657</v>
      </c>
      <c r="AF6" s="154">
        <f>$I6*IES!C7/100</f>
        <v>29938.110827190823</v>
      </c>
      <c r="AG6" s="154">
        <f>$I6*IES!D7/100</f>
        <v>36317.930195793619</v>
      </c>
      <c r="AH6" s="154">
        <f>$I6*IES!E7/100</f>
        <v>44508.506159076707</v>
      </c>
      <c r="AI6" s="154">
        <f>$I6*IES!F7/100</f>
        <v>63708.718638955179</v>
      </c>
      <c r="AJ6" s="153">
        <f t="shared" si="2"/>
        <v>168422.8883689334</v>
      </c>
      <c r="AK6" s="154">
        <f t="shared" si="3"/>
        <v>175537.32843640621</v>
      </c>
      <c r="AL6" s="154">
        <f t="shared" si="4"/>
        <v>212944.37974754794</v>
      </c>
      <c r="AM6" s="154">
        <f t="shared" si="5"/>
        <v>260968.51297523113</v>
      </c>
      <c r="AN6" s="154">
        <f t="shared" si="6"/>
        <v>373545.89047188137</v>
      </c>
    </row>
    <row r="7" spans="1:40" x14ac:dyDescent="0.2">
      <c r="A7" s="591" t="s">
        <v>91</v>
      </c>
      <c r="B7" s="592">
        <f>'Census - years'!B11+'Census - years'!C11+'Census - years'!D11+'Census - years'!E11+'Census - years'!F11</f>
        <v>1198134</v>
      </c>
      <c r="C7" s="148">
        <f>'Census - years'!G11</f>
        <v>225549</v>
      </c>
      <c r="D7" s="148">
        <f t="shared" si="1"/>
        <v>1423683</v>
      </c>
      <c r="E7" s="929">
        <f>'Census - years'!B11+'Census - years'!C11</f>
        <v>474790</v>
      </c>
      <c r="F7" s="148">
        <f>'Census - years'!D11</f>
        <v>242731</v>
      </c>
      <c r="G7" s="148">
        <f>'Census - years'!E11</f>
        <v>242335</v>
      </c>
      <c r="H7" s="148">
        <f>'Census - years'!F11</f>
        <v>238278</v>
      </c>
      <c r="I7" s="148">
        <f>'Census - years'!G11</f>
        <v>225549</v>
      </c>
      <c r="J7" s="9">
        <v>4</v>
      </c>
      <c r="K7" s="153">
        <f>$E7*IES!B8/100</f>
        <v>104890.89170244454</v>
      </c>
      <c r="L7" s="154">
        <f>$E7*IES!C8/100</f>
        <v>110229.45529698679</v>
      </c>
      <c r="M7" s="154">
        <f>$E7*IES!D8/100</f>
        <v>95851.942316594053</v>
      </c>
      <c r="N7" s="154">
        <f>$E7*IES!E8/100</f>
        <v>88826.517637861514</v>
      </c>
      <c r="O7" s="155">
        <f>$E7*IES!F8/100</f>
        <v>74991.193046113098</v>
      </c>
      <c r="P7" s="153">
        <f>$F7*IES!B8/100</f>
        <v>53624.278173141945</v>
      </c>
      <c r="Q7" s="154">
        <f>$F7*IES!C8/100</f>
        <v>56353.558233519878</v>
      </c>
      <c r="R7" s="154">
        <f>$F7*IES!D8/100</f>
        <v>49003.217865686289</v>
      </c>
      <c r="S7" s="154">
        <f>$F7*IES!E8/100</f>
        <v>45411.549217034408</v>
      </c>
      <c r="T7" s="155">
        <f>$F7*IES!F8/100</f>
        <v>38338.396510617487</v>
      </c>
      <c r="U7" s="153">
        <f>$G7*IES!B8/100</f>
        <v>53536.793615518225</v>
      </c>
      <c r="V7" s="154">
        <f>$G7*IES!C8/100</f>
        <v>56261.621031182825</v>
      </c>
      <c r="W7" s="154">
        <f>$G7*IES!D8/100</f>
        <v>48923.272270460249</v>
      </c>
      <c r="X7" s="154">
        <f>$G7*IES!E8/100</f>
        <v>45337.463197984733</v>
      </c>
      <c r="Y7" s="155">
        <f>$G7*IES!F8/100</f>
        <v>38275.849884853975</v>
      </c>
      <c r="Z7" s="153">
        <f>$H7*IES!B8/100</f>
        <v>52640.518741075175</v>
      </c>
      <c r="AA7" s="154">
        <f>$H7*IES!C8/100</f>
        <v>55319.729036532815</v>
      </c>
      <c r="AB7" s="154">
        <f>$H7*IES!D8/100</f>
        <v>48104.2336850258</v>
      </c>
      <c r="AC7" s="154">
        <f>$H7*IES!E8/100</f>
        <v>44578.455674538993</v>
      </c>
      <c r="AD7" s="155">
        <f>$H7*IES!F8/100</f>
        <v>37635.062862827217</v>
      </c>
      <c r="AE7" s="153">
        <f>$I7*IES!B8/100</f>
        <v>49828.420422912575</v>
      </c>
      <c r="AF7" s="154">
        <f>$I7*IES!C8/100</f>
        <v>52364.505176562423</v>
      </c>
      <c r="AG7" s="154">
        <f>$I7*IES!D8/100</f>
        <v>45534.467317267576</v>
      </c>
      <c r="AH7" s="154">
        <f>$I7*IES!E8/100</f>
        <v>42197.039168268137</v>
      </c>
      <c r="AI7" s="154">
        <f>$I7*IES!F8/100</f>
        <v>35624.567914989282</v>
      </c>
      <c r="AJ7" s="153">
        <f t="shared" si="2"/>
        <v>264692.4822321799</v>
      </c>
      <c r="AK7" s="154">
        <f t="shared" si="3"/>
        <v>278164.36359822232</v>
      </c>
      <c r="AL7" s="154">
        <f t="shared" si="4"/>
        <v>241882.66613776641</v>
      </c>
      <c r="AM7" s="154">
        <f t="shared" si="5"/>
        <v>224153.98572741964</v>
      </c>
      <c r="AN7" s="154">
        <f t="shared" si="6"/>
        <v>189240.50230441178</v>
      </c>
    </row>
    <row r="8" spans="1:40" x14ac:dyDescent="0.2">
      <c r="A8" s="591" t="s">
        <v>85</v>
      </c>
      <c r="B8" s="592">
        <f>'Census - years'!B12+'Census - years'!C12+'Census - years'!D12+'Census - years'!E12+'Census - years'!F12</f>
        <v>680163</v>
      </c>
      <c r="C8" s="148">
        <f>'Census - years'!G12</f>
        <v>128869</v>
      </c>
      <c r="D8" s="148">
        <f t="shared" si="1"/>
        <v>809032</v>
      </c>
      <c r="E8" s="929">
        <f>'Census - years'!B12+'Census - years'!C12</f>
        <v>275459</v>
      </c>
      <c r="F8" s="148">
        <f>'Census - years'!D12</f>
        <v>135357</v>
      </c>
      <c r="G8" s="148">
        <f>'Census - years'!E12</f>
        <v>135501</v>
      </c>
      <c r="H8" s="148">
        <f>'Census - years'!F12</f>
        <v>133846</v>
      </c>
      <c r="I8" s="148">
        <f>'Census - years'!G12</f>
        <v>128869</v>
      </c>
      <c r="J8" s="9">
        <v>5</v>
      </c>
      <c r="K8" s="153">
        <f>$E8*IES!B9/100</f>
        <v>77757.754300146364</v>
      </c>
      <c r="L8" s="154">
        <f>$E8*IES!C9/100</f>
        <v>67846.737843194263</v>
      </c>
      <c r="M8" s="154">
        <f>$E8*IES!D9/100</f>
        <v>66753.492934957234</v>
      </c>
      <c r="N8" s="154">
        <f>$E8*IES!E9/100</f>
        <v>41092.029698143277</v>
      </c>
      <c r="O8" s="155">
        <f>$E8*IES!F9/100</f>
        <v>22008.985223558884</v>
      </c>
      <c r="P8" s="153">
        <f>$F8*IES!B9/100</f>
        <v>38209.1576198451</v>
      </c>
      <c r="Q8" s="154">
        <f>$F8*IES!C9/100</f>
        <v>33339.011955467955</v>
      </c>
      <c r="R8" s="154">
        <f>$F8*IES!D9/100</f>
        <v>32801.805507160796</v>
      </c>
      <c r="S8" s="154">
        <f>$F8*IES!E9/100</f>
        <v>20192.093428973385</v>
      </c>
      <c r="T8" s="155">
        <f>$F8*IES!F9/100</f>
        <v>10814.931488552778</v>
      </c>
      <c r="U8" s="153">
        <f>$G8*IES!B9/100</f>
        <v>38249.806560773592</v>
      </c>
      <c r="V8" s="154">
        <f>$G8*IES!C9/100</f>
        <v>33374.479775540705</v>
      </c>
      <c r="W8" s="154">
        <f>$G8*IES!D9/100</f>
        <v>32836.701818345522</v>
      </c>
      <c r="X8" s="154">
        <f>$G8*IES!E9/100</f>
        <v>20213.574855525185</v>
      </c>
      <c r="Y8" s="155">
        <f>$G8*IES!F9/100</f>
        <v>10826.436989815007</v>
      </c>
      <c r="Z8" s="153">
        <f>$H8*IES!B9/100</f>
        <v>37782.626024407953</v>
      </c>
      <c r="AA8" s="154">
        <f>$H8*IES!C9/100</f>
        <v>32966.846149010125</v>
      </c>
      <c r="AB8" s="154">
        <f>$H8*IES!D9/100</f>
        <v>32435.6365752155</v>
      </c>
      <c r="AC8" s="154">
        <f>$H8*IES!E9/100</f>
        <v>19966.687626752748</v>
      </c>
      <c r="AD8" s="155">
        <f>$H8*IES!F9/100</f>
        <v>10694.20362461369</v>
      </c>
      <c r="AE8" s="153">
        <f>$I8*IES!B9/100</f>
        <v>36377.697003567002</v>
      </c>
      <c r="AF8" s="154">
        <f>$I8*IES!C9/100</f>
        <v>31740.989617745661</v>
      </c>
      <c r="AG8" s="154">
        <f>$I8*IES!D9/100</f>
        <v>31229.532819893357</v>
      </c>
      <c r="AH8" s="154">
        <f>$I8*IES!E9/100</f>
        <v>19224.235821556114</v>
      </c>
      <c r="AI8" s="154">
        <f>$I8*IES!F9/100</f>
        <v>10296.544737237882</v>
      </c>
      <c r="AJ8" s="153">
        <f t="shared" si="2"/>
        <v>191999.34450517301</v>
      </c>
      <c r="AK8" s="154">
        <f t="shared" si="3"/>
        <v>167527.07572321303</v>
      </c>
      <c r="AL8" s="154">
        <f t="shared" si="4"/>
        <v>164827.63683567906</v>
      </c>
      <c r="AM8" s="154">
        <f t="shared" si="5"/>
        <v>101464.38560939458</v>
      </c>
      <c r="AN8" s="154">
        <f t="shared" si="6"/>
        <v>54344.557326540358</v>
      </c>
    </row>
    <row r="9" spans="1:40" x14ac:dyDescent="0.2">
      <c r="A9" s="591" t="s">
        <v>81</v>
      </c>
      <c r="B9" s="592">
        <f>'Census - years'!B13+'Census - years'!C13+'Census - years'!D13+'Census - years'!E13+'Census - years'!F13</f>
        <v>461559</v>
      </c>
      <c r="C9" s="148">
        <f>'Census - years'!G13</f>
        <v>86155</v>
      </c>
      <c r="D9" s="148">
        <f t="shared" si="1"/>
        <v>547714</v>
      </c>
      <c r="E9" s="929">
        <f>'Census - years'!B13+'Census - years'!C13</f>
        <v>185846</v>
      </c>
      <c r="F9" s="148">
        <f>'Census - years'!D13</f>
        <v>94473</v>
      </c>
      <c r="G9" s="148">
        <f>'Census - years'!E13</f>
        <v>91901</v>
      </c>
      <c r="H9" s="148">
        <f>'Census - years'!F13</f>
        <v>89339</v>
      </c>
      <c r="I9" s="148">
        <f>'Census - years'!G13</f>
        <v>86155</v>
      </c>
      <c r="J9" s="9">
        <v>6</v>
      </c>
      <c r="K9" s="153">
        <f>$E9*IES!B10/100</f>
        <v>42985.055635186887</v>
      </c>
      <c r="L9" s="154">
        <f>$E9*IES!C10/100</f>
        <v>44833.893013381668</v>
      </c>
      <c r="M9" s="154">
        <f>$E9*IES!D10/100</f>
        <v>39958.712883112144</v>
      </c>
      <c r="N9" s="154">
        <f>$E9*IES!E10/100</f>
        <v>32899.308588016902</v>
      </c>
      <c r="O9" s="155">
        <f>$E9*IES!F10/100</f>
        <v>25169.029880302387</v>
      </c>
      <c r="P9" s="153">
        <f>$F9*IES!B10/100</f>
        <v>21851.033441790576</v>
      </c>
      <c r="Q9" s="154">
        <f>$F9*IES!C10/100</f>
        <v>22790.871875925266</v>
      </c>
      <c r="R9" s="154">
        <f>$F9*IES!D10/100</f>
        <v>20312.621644836338</v>
      </c>
      <c r="S9" s="154">
        <f>$F9*IES!E10/100</f>
        <v>16724.042380442523</v>
      </c>
      <c r="T9" s="155">
        <f>$F9*IES!F10/100</f>
        <v>12794.430657005301</v>
      </c>
      <c r="U9" s="153">
        <f>$G9*IES!B10/100</f>
        <v>21256.145399574434</v>
      </c>
      <c r="V9" s="154">
        <f>$G9*IES!C10/100</f>
        <v>22170.397005169812</v>
      </c>
      <c r="W9" s="154">
        <f>$G9*IES!D10/100</f>
        <v>19759.616417199668</v>
      </c>
      <c r="X9" s="154">
        <f>$G9*IES!E10/100</f>
        <v>16268.735181533857</v>
      </c>
      <c r="Y9" s="155">
        <f>$G9*IES!F10/100</f>
        <v>12446.105996522223</v>
      </c>
      <c r="Z9" s="153">
        <f>$H9*IES!B10/100</f>
        <v>20663.570296869242</v>
      </c>
      <c r="AA9" s="154">
        <f>$H9*IES!C10/100</f>
        <v>21552.33455615136</v>
      </c>
      <c r="AB9" s="154">
        <f>$H9*IES!D10/100</f>
        <v>19208.761287648675</v>
      </c>
      <c r="AC9" s="154">
        <f>$H9*IES!E10/100</f>
        <v>15815.198228344123</v>
      </c>
      <c r="AD9" s="155">
        <f>$H9*IES!F10/100</f>
        <v>12099.135630986595</v>
      </c>
      <c r="AE9" s="153">
        <f>$I9*IES!B10/100</f>
        <v>19927.130356583009</v>
      </c>
      <c r="AF9" s="154">
        <f>$I9*IES!C10/100</f>
        <v>20784.21947509173</v>
      </c>
      <c r="AG9" s="154">
        <f>$I9*IES!D10/100</f>
        <v>18524.170057168445</v>
      </c>
      <c r="AH9" s="154">
        <f>$I9*IES!E10/100</f>
        <v>15251.551991436974</v>
      </c>
      <c r="AI9" s="154">
        <f>$I9*IES!F10/100</f>
        <v>11667.928119719832</v>
      </c>
      <c r="AJ9" s="153">
        <f t="shared" si="2"/>
        <v>106755.80477342114</v>
      </c>
      <c r="AK9" s="154">
        <f t="shared" si="3"/>
        <v>111347.49645062811</v>
      </c>
      <c r="AL9" s="154">
        <f t="shared" si="4"/>
        <v>99239.712232796825</v>
      </c>
      <c r="AM9" s="154">
        <f t="shared" si="5"/>
        <v>81707.284378337397</v>
      </c>
      <c r="AN9" s="154">
        <f t="shared" si="6"/>
        <v>62508.70216481651</v>
      </c>
    </row>
    <row r="10" spans="1:40" x14ac:dyDescent="0.2">
      <c r="A10" s="591" t="s">
        <v>76</v>
      </c>
      <c r="B10" s="592">
        <f>'Census - years'!B14+'Census - years'!C14+'Census - years'!D14+'Census - years'!E14+'Census - years'!F14</f>
        <v>404347</v>
      </c>
      <c r="C10" s="148">
        <f>'Census - years'!G14</f>
        <v>71620</v>
      </c>
      <c r="D10" s="148">
        <f t="shared" si="1"/>
        <v>475967</v>
      </c>
      <c r="E10" s="929">
        <f>'Census - years'!B14+'Census - years'!C14</f>
        <v>165082</v>
      </c>
      <c r="F10" s="148">
        <f>'Census - years'!D14</f>
        <v>81729</v>
      </c>
      <c r="G10" s="148">
        <f>'Census - years'!E14</f>
        <v>80449</v>
      </c>
      <c r="H10" s="148">
        <f>'Census - years'!F14</f>
        <v>77087</v>
      </c>
      <c r="I10" s="148">
        <f>'Census - years'!G14</f>
        <v>71620</v>
      </c>
      <c r="J10" s="9">
        <v>7</v>
      </c>
      <c r="K10" s="153">
        <f>$E10*IES!B11/100</f>
        <v>35516.175439558894</v>
      </c>
      <c r="L10" s="154">
        <f>$E10*IES!C11/100</f>
        <v>31802.808274863244</v>
      </c>
      <c r="M10" s="154">
        <f>$E10*IES!D11/100</f>
        <v>34228.106463355391</v>
      </c>
      <c r="N10" s="154">
        <f>$E10*IES!E11/100</f>
        <v>35285.999181032515</v>
      </c>
      <c r="O10" s="155">
        <f>$E10*IES!F11/100</f>
        <v>28248.910641189959</v>
      </c>
      <c r="P10" s="153">
        <f>$F10*IES!B11/100</f>
        <v>17583.391905233209</v>
      </c>
      <c r="Q10" s="154">
        <f>$F10*IES!C11/100</f>
        <v>15744.973513140729</v>
      </c>
      <c r="R10" s="154">
        <f>$F10*IES!D11/100</f>
        <v>16945.693129133233</v>
      </c>
      <c r="S10" s="154">
        <f>$F10*IES!E11/100</f>
        <v>17469.435959502593</v>
      </c>
      <c r="T10" s="155">
        <f>$F10*IES!F11/100</f>
        <v>13985.505492990236</v>
      </c>
      <c r="U10" s="153">
        <f>$G10*IES!B11/100</f>
        <v>17308.009340431261</v>
      </c>
      <c r="V10" s="154">
        <f>$G10*IES!C11/100</f>
        <v>15498.383366475287</v>
      </c>
      <c r="W10" s="154">
        <f>$G10*IES!D11/100</f>
        <v>16680.297893595169</v>
      </c>
      <c r="X10" s="154">
        <f>$G10*IES!E11/100</f>
        <v>17195.838117510601</v>
      </c>
      <c r="Y10" s="155">
        <f>$G10*IES!F11/100</f>
        <v>13766.471281987684</v>
      </c>
      <c r="Z10" s="153">
        <f>$H10*IES!B11/100</f>
        <v>16584.69982256864</v>
      </c>
      <c r="AA10" s="154">
        <f>$H10*IES!C11/100</f>
        <v>14850.698934374328</v>
      </c>
      <c r="AB10" s="154">
        <f>$H10*IES!D11/100</f>
        <v>15983.220720252219</v>
      </c>
      <c r="AC10" s="154">
        <f>$H10*IES!E11/100</f>
        <v>16477.216285653514</v>
      </c>
      <c r="AD10" s="155">
        <f>$H10*IES!F11/100</f>
        <v>13191.164237151297</v>
      </c>
      <c r="AE10" s="153">
        <f>$I10*IES!B11/100</f>
        <v>15408.515071184065</v>
      </c>
      <c r="AF10" s="154">
        <f>$I10*IES!C11/100</f>
        <v>13797.489300139963</v>
      </c>
      <c r="AG10" s="154">
        <f>$I10*IES!D11/100</f>
        <v>14849.692788465811</v>
      </c>
      <c r="AH10" s="154">
        <f>$I10*IES!E11/100</f>
        <v>15308.654252708042</v>
      </c>
      <c r="AI10" s="154">
        <f>$I10*IES!F11/100</f>
        <v>12255.648587502121</v>
      </c>
      <c r="AJ10" s="153">
        <f t="shared" si="2"/>
        <v>86992.276507792005</v>
      </c>
      <c r="AK10" s="154">
        <f t="shared" si="3"/>
        <v>77896.864088853588</v>
      </c>
      <c r="AL10" s="154">
        <f t="shared" si="4"/>
        <v>83837.318206336</v>
      </c>
      <c r="AM10" s="154">
        <f t="shared" si="5"/>
        <v>86428.489543699223</v>
      </c>
      <c r="AN10" s="154">
        <f t="shared" si="6"/>
        <v>69192.051653319184</v>
      </c>
    </row>
    <row r="11" spans="1:40" x14ac:dyDescent="0.2">
      <c r="A11" s="591" t="s">
        <v>70</v>
      </c>
      <c r="B11" s="592">
        <f>'Census - years'!B15+'Census - years'!C15+'Census - years'!D15+'Census - years'!E15+'Census - years'!F15</f>
        <v>121918</v>
      </c>
      <c r="C11" s="148">
        <f>'Census - years'!G15</f>
        <v>23881</v>
      </c>
      <c r="D11" s="148">
        <f t="shared" si="1"/>
        <v>145799</v>
      </c>
      <c r="E11" s="929">
        <f>'Census - years'!B15+'Census - years'!C15</f>
        <v>49136</v>
      </c>
      <c r="F11" s="148">
        <f>'Census - years'!D15</f>
        <v>24753</v>
      </c>
      <c r="G11" s="148">
        <f>'Census - years'!E15</f>
        <v>24190</v>
      </c>
      <c r="H11" s="148">
        <f>'Census - years'!F15</f>
        <v>23839</v>
      </c>
      <c r="I11" s="148">
        <f>'Census - years'!G15</f>
        <v>23881</v>
      </c>
      <c r="J11" s="9">
        <v>8</v>
      </c>
      <c r="K11" s="153">
        <f>$E11*IES!B12/100</f>
        <v>12579.432120151907</v>
      </c>
      <c r="L11" s="154">
        <f>$E11*IES!C12/100</f>
        <v>10953.908724726451</v>
      </c>
      <c r="M11" s="154">
        <f>$E11*IES!D12/100</f>
        <v>10201.792578490382</v>
      </c>
      <c r="N11" s="154">
        <f>$E11*IES!E12/100</f>
        <v>8655.2142205263463</v>
      </c>
      <c r="O11" s="155">
        <f>$E11*IES!F12/100</f>
        <v>6745.6523561049171</v>
      </c>
      <c r="P11" s="153">
        <f>$F11*IES!B12/100</f>
        <v>6337.0783798054408</v>
      </c>
      <c r="Q11" s="154">
        <f>$F11*IES!C12/100</f>
        <v>5518.1964885858397</v>
      </c>
      <c r="R11" s="154">
        <f>$F11*IES!D12/100</f>
        <v>5139.3066528690242</v>
      </c>
      <c r="S11" s="154">
        <f>$F11*IES!E12/100</f>
        <v>4360.1945132019018</v>
      </c>
      <c r="T11" s="155">
        <f>$F11*IES!F12/100</f>
        <v>3398.223965537793</v>
      </c>
      <c r="U11" s="153">
        <f>$G11*IES!B12/100</f>
        <v>6192.9433203043509</v>
      </c>
      <c r="V11" s="154">
        <f>$G11*IES!C12/100</f>
        <v>5392.6866666218839</v>
      </c>
      <c r="W11" s="154">
        <f>$G11*IES!D12/100</f>
        <v>5022.4145733002752</v>
      </c>
      <c r="X11" s="154">
        <f>$G11*IES!E12/100</f>
        <v>4261.0231193937707</v>
      </c>
      <c r="Y11" s="155">
        <f>$G11*IES!F12/100</f>
        <v>3320.9323203797203</v>
      </c>
      <c r="Z11" s="153">
        <f>$H11*IES!B12/100</f>
        <v>6103.082919087864</v>
      </c>
      <c r="AA11" s="154">
        <f>$H11*IES!C12/100</f>
        <v>5314.4380920049225</v>
      </c>
      <c r="AB11" s="154">
        <f>$H11*IES!D12/100</f>
        <v>4949.5386942085679</v>
      </c>
      <c r="AC11" s="154">
        <f>$H11*IES!E12/100</f>
        <v>4199.1951278721826</v>
      </c>
      <c r="AD11" s="155">
        <f>$H11*IES!F12/100</f>
        <v>3272.7451668264634</v>
      </c>
      <c r="AE11" s="153">
        <f>$I11*IES!B12/100</f>
        <v>6113.8354457291534</v>
      </c>
      <c r="AF11" s="154">
        <f>$I11*IES!C12/100</f>
        <v>5323.8011693095159</v>
      </c>
      <c r="AG11" s="154">
        <f>$I11*IES!D12/100</f>
        <v>4958.2588848691139</v>
      </c>
      <c r="AH11" s="154">
        <f>$I11*IES!E12/100</f>
        <v>4206.5933490798943</v>
      </c>
      <c r="AI11" s="154">
        <f>$I11*IES!F12/100</f>
        <v>3278.5111510123229</v>
      </c>
      <c r="AJ11" s="153">
        <f t="shared" si="2"/>
        <v>31212.536739349565</v>
      </c>
      <c r="AK11" s="154">
        <f t="shared" si="3"/>
        <v>27179.229971939098</v>
      </c>
      <c r="AL11" s="154">
        <f t="shared" si="4"/>
        <v>25313.052498868252</v>
      </c>
      <c r="AM11" s="154">
        <f t="shared" si="5"/>
        <v>21475.626980994202</v>
      </c>
      <c r="AN11" s="154">
        <f t="shared" si="6"/>
        <v>16737.553808848894</v>
      </c>
    </row>
    <row r="12" spans="1:40" x14ac:dyDescent="0.2">
      <c r="A12" s="593" t="s">
        <v>63</v>
      </c>
      <c r="B12" s="592">
        <f>'Census - years'!B16+'Census - years'!C16+'Census - years'!D16+'Census - years'!E16+'Census - years'!F16</f>
        <v>564800</v>
      </c>
      <c r="C12" s="148">
        <f>'Census - years'!G16</f>
        <v>101491</v>
      </c>
      <c r="D12" s="170">
        <f>C12+B12</f>
        <v>666291</v>
      </c>
      <c r="E12" s="929">
        <f>'Census - years'!B16+'Census - years'!C16</f>
        <v>232289</v>
      </c>
      <c r="F12" s="148">
        <f>'Census - years'!D16</f>
        <v>115388</v>
      </c>
      <c r="G12" s="148">
        <f>'Census - years'!E16</f>
        <v>110466</v>
      </c>
      <c r="H12" s="148">
        <f>'Census - years'!F16</f>
        <v>106657</v>
      </c>
      <c r="I12" s="148">
        <f>'Census - years'!G16</f>
        <v>101491</v>
      </c>
      <c r="J12" s="169">
        <v>9</v>
      </c>
      <c r="K12" s="153">
        <f>$E12*IES!B13/100</f>
        <v>20002.35503814659</v>
      </c>
      <c r="L12" s="154">
        <f>$E12*IES!C13/100</f>
        <v>30784.198442525769</v>
      </c>
      <c r="M12" s="154">
        <f>$E12*IES!D13/100</f>
        <v>42850.386643770282</v>
      </c>
      <c r="N12" s="154">
        <f>$E12*IES!E13/100</f>
        <v>64927.473210805554</v>
      </c>
      <c r="O12" s="155">
        <f>$E12*IES!F13/100</f>
        <v>73724.586664751827</v>
      </c>
      <c r="P12" s="153">
        <f>$F12*IES!B13/100</f>
        <v>9936.0354693578192</v>
      </c>
      <c r="Q12" s="154">
        <f>$F12*IES!C13/100</f>
        <v>15291.843737267642</v>
      </c>
      <c r="R12" s="154">
        <f>$F12*IES!D13/100</f>
        <v>21285.641653506471</v>
      </c>
      <c r="S12" s="154">
        <f>$F12*IES!E13/100</f>
        <v>32252.286069716738</v>
      </c>
      <c r="T12" s="155">
        <f>$F12*IES!F13/100</f>
        <v>36622.193070151341</v>
      </c>
      <c r="U12" s="153">
        <f>$G12*IES!B13/100</f>
        <v>9512.2031247450432</v>
      </c>
      <c r="V12" s="154">
        <f>$G12*IES!C13/100</f>
        <v>14639.553595529929</v>
      </c>
      <c r="W12" s="154">
        <f>$G12*IES!D13/100</f>
        <v>20377.679575833245</v>
      </c>
      <c r="X12" s="154">
        <f>$G12*IES!E13/100</f>
        <v>30876.5299075929</v>
      </c>
      <c r="Y12" s="155">
        <f>$G12*IES!F13/100</f>
        <v>35060.033796298907</v>
      </c>
      <c r="Z12" s="153">
        <f>$H12*IES!B13/100</f>
        <v>9184.2109669575439</v>
      </c>
      <c r="AA12" s="154">
        <f>$H12*IES!C13/100</f>
        <v>14134.764251791825</v>
      </c>
      <c r="AB12" s="154">
        <f>$H12*IES!D13/100</f>
        <v>19675.03277496828</v>
      </c>
      <c r="AC12" s="154">
        <f>$H12*IES!E13/100</f>
        <v>29811.870171402381</v>
      </c>
      <c r="AD12" s="930">
        <f>$H12*IES!F13/100</f>
        <v>33851.121834879981</v>
      </c>
      <c r="AE12" s="153">
        <f>$I12*IES!B13/100</f>
        <v>8739.3678356553064</v>
      </c>
      <c r="AF12" s="154">
        <f>$I12*IES!C13/100</f>
        <v>13450.137906359676</v>
      </c>
      <c r="AG12" s="154">
        <f>$I12*IES!D13/100</f>
        <v>18722.059980726117</v>
      </c>
      <c r="AH12" s="154">
        <f>$I12*IES!E13/100</f>
        <v>28367.913175560901</v>
      </c>
      <c r="AI12" s="154">
        <f>$I12*IES!F13/100</f>
        <v>32211.52110169801</v>
      </c>
      <c r="AJ12" s="153">
        <f t="shared" si="2"/>
        <v>48634.804599206996</v>
      </c>
      <c r="AK12" s="154">
        <f t="shared" si="3"/>
        <v>74850.360027115166</v>
      </c>
      <c r="AL12" s="154">
        <f t="shared" si="4"/>
        <v>104188.74064807827</v>
      </c>
      <c r="AM12" s="154">
        <f t="shared" si="5"/>
        <v>157868.15935951757</v>
      </c>
      <c r="AN12" s="154">
        <f t="shared" si="6"/>
        <v>179257.93536608203</v>
      </c>
    </row>
    <row r="13" spans="1:40" s="171" customFormat="1" x14ac:dyDescent="0.2">
      <c r="A13" s="594" t="s">
        <v>724</v>
      </c>
      <c r="B13" s="595">
        <f>SUM(B4:B12)</f>
        <v>5685452</v>
      </c>
      <c r="D13" s="590">
        <f>SUM(D4:D12)</f>
        <v>6741429</v>
      </c>
      <c r="K13" s="172">
        <f>SUM(K4:K12)</f>
        <v>468400.99275243899</v>
      </c>
      <c r="L13" s="172">
        <f t="shared" ref="L13:AN13" si="7">SUM(L4:L12)</f>
        <v>467046.26351039077</v>
      </c>
      <c r="M13" s="172">
        <f t="shared" si="7"/>
        <v>463101.47961158358</v>
      </c>
      <c r="N13" s="172">
        <f t="shared" si="7"/>
        <v>455558.17953092366</v>
      </c>
      <c r="O13" s="172">
        <f t="shared" si="7"/>
        <v>439400.08459466294</v>
      </c>
      <c r="P13" s="172">
        <f>SUM(P4:P12)</f>
        <v>236272.32018781183</v>
      </c>
      <c r="Q13" s="172">
        <f t="shared" si="7"/>
        <v>235426.79856539273</v>
      </c>
      <c r="R13" s="172">
        <f t="shared" si="7"/>
        <v>232417.79424136973</v>
      </c>
      <c r="S13" s="172">
        <f t="shared" si="7"/>
        <v>228004.28577533193</v>
      </c>
      <c r="T13" s="172">
        <f t="shared" si="7"/>
        <v>218410.80123009376</v>
      </c>
      <c r="U13" s="172">
        <f t="shared" si="7"/>
        <v>234691.88451799084</v>
      </c>
      <c r="V13" s="172">
        <f t="shared" si="7"/>
        <v>233462.31546441227</v>
      </c>
      <c r="W13" s="172">
        <f t="shared" si="7"/>
        <v>229741.59359510895</v>
      </c>
      <c r="X13" s="172">
        <f t="shared" si="7"/>
        <v>224425.35286577241</v>
      </c>
      <c r="Y13" s="172">
        <f t="shared" si="7"/>
        <v>213587.85355671553</v>
      </c>
      <c r="Z13" s="172">
        <f t="shared" si="7"/>
        <v>229517.58118270407</v>
      </c>
      <c r="AA13" s="172">
        <f t="shared" si="7"/>
        <v>228077.48024983253</v>
      </c>
      <c r="AB13" s="172">
        <f t="shared" si="7"/>
        <v>223814.08148510187</v>
      </c>
      <c r="AC13" s="172">
        <f t="shared" si="7"/>
        <v>217901.03476244325</v>
      </c>
      <c r="AD13" s="172">
        <f t="shared" si="7"/>
        <v>206193.82231991822</v>
      </c>
      <c r="AE13" s="172">
        <f t="shared" si="7"/>
        <v>220041.38204603808</v>
      </c>
      <c r="AF13" s="172">
        <f t="shared" si="7"/>
        <v>218444.2076625959</v>
      </c>
      <c r="AG13" s="172">
        <f t="shared" si="7"/>
        <v>213938.87601597141</v>
      </c>
      <c r="AH13" s="172">
        <f t="shared" si="7"/>
        <v>207768.87448612414</v>
      </c>
      <c r="AI13" s="172">
        <f t="shared" si="7"/>
        <v>195783.65978927052</v>
      </c>
      <c r="AJ13" s="172">
        <f t="shared" si="7"/>
        <v>1168882.7786409459</v>
      </c>
      <c r="AK13" s="172">
        <f t="shared" si="7"/>
        <v>1164012.8577900282</v>
      </c>
      <c r="AL13" s="172">
        <f t="shared" si="7"/>
        <v>1149074.9489331641</v>
      </c>
      <c r="AM13" s="172">
        <f t="shared" si="7"/>
        <v>1125888.8529344713</v>
      </c>
      <c r="AN13" s="172">
        <f t="shared" si="7"/>
        <v>1077592.5617013904</v>
      </c>
    </row>
    <row r="14" spans="1:40" x14ac:dyDescent="0.2">
      <c r="K14" s="8"/>
      <c r="L14" s="8"/>
      <c r="M14" s="8"/>
      <c r="N14" s="8"/>
      <c r="O14" s="8"/>
    </row>
    <row r="15" spans="1:40" x14ac:dyDescent="0.2">
      <c r="J15" s="8" t="s">
        <v>1671</v>
      </c>
      <c r="K15" s="8"/>
      <c r="L15" s="8"/>
      <c r="M15" s="8"/>
      <c r="N15" s="8"/>
      <c r="O15" s="8"/>
      <c r="W15" s="8">
        <f>(W13+AB13)*0.05</f>
        <v>22677.783754010539</v>
      </c>
      <c r="X15" s="8">
        <f>W15+U15</f>
        <v>22677.783754010539</v>
      </c>
    </row>
    <row r="16" spans="1:40" x14ac:dyDescent="0.2">
      <c r="K16" s="932" t="s">
        <v>1672</v>
      </c>
    </row>
    <row r="17" spans="1:24" x14ac:dyDescent="0.2">
      <c r="B17" s="22" t="s">
        <v>24</v>
      </c>
      <c r="C17" s="22" t="s">
        <v>373</v>
      </c>
      <c r="D17" s="22" t="s">
        <v>772</v>
      </c>
      <c r="E17" s="22" t="s">
        <v>825</v>
      </c>
      <c r="F17" s="22" t="s">
        <v>11</v>
      </c>
      <c r="G17" s="22" t="s">
        <v>828</v>
      </c>
      <c r="H17" s="396"/>
      <c r="I17" s="23" t="s">
        <v>142</v>
      </c>
      <c r="J17" s="22" t="s">
        <v>1668</v>
      </c>
      <c r="K17" s="149">
        <v>12</v>
      </c>
      <c r="L17" s="933" t="s">
        <v>1565</v>
      </c>
      <c r="M17" s="149">
        <v>36</v>
      </c>
      <c r="N17" s="149">
        <v>48</v>
      </c>
      <c r="O17" s="149">
        <v>59</v>
      </c>
    </row>
    <row r="18" spans="1:24" ht="12.75" customHeight="1" x14ac:dyDescent="0.2">
      <c r="A18" s="10" t="s">
        <v>115</v>
      </c>
      <c r="B18" s="9">
        <v>6</v>
      </c>
      <c r="C18" s="9">
        <v>2</v>
      </c>
      <c r="D18" s="9">
        <f>SUM(B18:C18)</f>
        <v>8</v>
      </c>
      <c r="E18" s="9">
        <v>8</v>
      </c>
      <c r="F18" s="9">
        <v>771</v>
      </c>
      <c r="G18" s="9">
        <v>715</v>
      </c>
      <c r="H18" s="397"/>
      <c r="I18" s="591" t="s">
        <v>115</v>
      </c>
      <c r="J18" s="592">
        <f>(IES!$B5+IES!$C5)/100*'H&amp;S Demand'!B4</f>
        <v>399192.68144990655</v>
      </c>
      <c r="K18" s="592">
        <f>(IES!$B5+IES!$C5)/100*'Census - years'!B8</f>
        <v>75480.288106470136</v>
      </c>
      <c r="L18" s="592">
        <f>(IES!$B5+IES!$C5)/100*'Census - years'!C8</f>
        <v>76145.768804962383</v>
      </c>
      <c r="M18" s="592">
        <f>(IES!$B5+IES!$C5)/100*'Census - years'!D8</f>
        <v>80888.944760752347</v>
      </c>
      <c r="N18" s="592">
        <f>(IES!$B5+IES!$C5)/100*'Census - years'!E8</f>
        <v>83119.007523643508</v>
      </c>
      <c r="O18" s="592">
        <f>(IES!$B5+IES!$C5)/100*'Census - years'!F8</f>
        <v>83558.672254078178</v>
      </c>
      <c r="P18" s="912"/>
      <c r="U18" s="912"/>
      <c r="W18" s="1139" t="s">
        <v>1531</v>
      </c>
    </row>
    <row r="19" spans="1:24" x14ac:dyDescent="0.2">
      <c r="A19" s="10" t="s">
        <v>109</v>
      </c>
      <c r="B19" s="9">
        <v>4</v>
      </c>
      <c r="C19" s="9">
        <v>1</v>
      </c>
      <c r="D19" s="9">
        <f t="shared" ref="D19:D26" si="8">SUM(B19:C19)</f>
        <v>5</v>
      </c>
      <c r="E19" s="9">
        <v>5</v>
      </c>
      <c r="F19" s="9">
        <v>281</v>
      </c>
      <c r="G19" s="9">
        <v>317</v>
      </c>
      <c r="H19" s="397"/>
      <c r="I19" s="591" t="s">
        <v>109</v>
      </c>
      <c r="J19" s="592">
        <f>(IES!B6+IES!C6)/100*'H&amp;S Demand'!B5</f>
        <v>122490.09895863406</v>
      </c>
      <c r="K19" s="592">
        <f>(IES!$B6+IES!$C6)/100*'Census - years'!B9</f>
        <v>24413.902439317877</v>
      </c>
      <c r="L19" s="592">
        <f>(IES!$B6+IES!$C6)/100*'Census - years'!C9</f>
        <v>24470.615418058154</v>
      </c>
      <c r="M19" s="592">
        <f>(IES!$B6+IES!$C6)/100*'Census - years'!D9</f>
        <v>24576.590035266261</v>
      </c>
      <c r="N19" s="592">
        <f>(IES!$B6+IES!$C6)/100*'Census - years'!E9</f>
        <v>24913.970164268638</v>
      </c>
      <c r="O19" s="592">
        <f>(IES!$B6+IES!$C6)/100*'Census - years'!F9</f>
        <v>24115.020901723135</v>
      </c>
      <c r="U19" s="912"/>
      <c r="W19" s="1140"/>
    </row>
    <row r="20" spans="1:24" x14ac:dyDescent="0.2">
      <c r="A20" s="10" t="s">
        <v>103</v>
      </c>
      <c r="B20" s="9">
        <v>2</v>
      </c>
      <c r="C20" s="9">
        <v>3</v>
      </c>
      <c r="D20" s="9">
        <f t="shared" si="8"/>
        <v>5</v>
      </c>
      <c r="E20" s="9">
        <v>5</v>
      </c>
      <c r="F20" s="9">
        <v>354</v>
      </c>
      <c r="G20" s="9">
        <v>508</v>
      </c>
      <c r="H20" s="397"/>
      <c r="I20" s="591" t="s">
        <v>103</v>
      </c>
      <c r="J20" s="592">
        <f>(IES!B7+IES!C7)/100*'H&amp;S Demand'!B6</f>
        <v>343960.21680533962</v>
      </c>
      <c r="K20" s="592">
        <f>(IES!$B7+IES!$C7)/100*'Census - years'!B10</f>
        <v>73867.122273914225</v>
      </c>
      <c r="L20" s="592">
        <f>(IES!$B7+IES!$C7)/100*'Census - years'!C10</f>
        <v>70886.893388793615</v>
      </c>
      <c r="M20" s="592">
        <f>(IES!$B7+IES!$C7)/100*'Census - years'!D10</f>
        <v>69654.153164104559</v>
      </c>
      <c r="N20" s="592">
        <f>(IES!$B7+IES!$C7)/100*'Census - years'!E10</f>
        <v>66728.199492623651</v>
      </c>
      <c r="O20" s="592">
        <f>(IES!$B7+IES!$C7)/100*'Census - years'!F10</f>
        <v>62823.848485903582</v>
      </c>
      <c r="U20" s="912"/>
      <c r="W20" s="913">
        <v>231551</v>
      </c>
      <c r="X20" s="912">
        <f>U4+V4+Z4+AA4+AE4+AF4</f>
        <v>249242.55364703038</v>
      </c>
    </row>
    <row r="21" spans="1:24" x14ac:dyDescent="0.2">
      <c r="A21" s="10" t="s">
        <v>91</v>
      </c>
      <c r="B21" s="9">
        <v>10</v>
      </c>
      <c r="C21" s="9">
        <v>1</v>
      </c>
      <c r="D21" s="9">
        <f t="shared" si="8"/>
        <v>11</v>
      </c>
      <c r="E21" s="9">
        <v>11</v>
      </c>
      <c r="F21" s="9">
        <v>643</v>
      </c>
      <c r="G21" s="9">
        <v>828</v>
      </c>
      <c r="H21" s="397"/>
      <c r="I21" s="591" t="s">
        <v>91</v>
      </c>
      <c r="J21" s="592">
        <f>(IES!B8+IES!C8)/100*'H&amp;S Demand'!B7</f>
        <v>542856.84583040222</v>
      </c>
      <c r="K21" s="592">
        <f>(IES!$B8+IES!$C8)/100*'Census - years'!B11</f>
        <v>107582.37467708455</v>
      </c>
      <c r="L21" s="592">
        <f>(IES!$B8+IES!$C8)/100*'Census - years'!C11</f>
        <v>107537.97232234679</v>
      </c>
      <c r="M21" s="592">
        <f>(IES!$B8+IES!$C8)/100*'Census - years'!D11</f>
        <v>109977.83640666182</v>
      </c>
      <c r="N21" s="592">
        <f>(IES!$B8+IES!$C8)/100*'Census - years'!E11</f>
        <v>109798.41464670106</v>
      </c>
      <c r="O21" s="592">
        <f>(IES!$B8+IES!$C8)/100*'Census - years'!F11</f>
        <v>107960.24777760799</v>
      </c>
      <c r="U21" s="912"/>
      <c r="W21" s="914">
        <v>61228</v>
      </c>
      <c r="X21" s="912">
        <f t="shared" ref="X21:X28" si="9">U5+V5+Z5+AA5+AE5+AF5</f>
        <v>72430.753118302513</v>
      </c>
    </row>
    <row r="22" spans="1:24" x14ac:dyDescent="0.2">
      <c r="A22" s="10" t="s">
        <v>85</v>
      </c>
      <c r="B22" s="9">
        <v>5</v>
      </c>
      <c r="C22" s="9">
        <v>0</v>
      </c>
      <c r="D22" s="9">
        <f t="shared" si="8"/>
        <v>5</v>
      </c>
      <c r="E22" s="9">
        <v>5</v>
      </c>
      <c r="F22" s="9">
        <v>471</v>
      </c>
      <c r="G22" s="9">
        <v>543</v>
      </c>
      <c r="H22" s="397"/>
      <c r="I22" s="591" t="s">
        <v>85</v>
      </c>
      <c r="J22" s="592">
        <f>(IES!B9+IES!C9)/100*'H&amp;S Demand'!B8</f>
        <v>359526.42022838601</v>
      </c>
      <c r="K22" s="592">
        <f>(IES!$B9+IES!$C9)/100*'Census - years'!B12</f>
        <v>74596.540135689167</v>
      </c>
      <c r="L22" s="592">
        <f>(IES!$B9+IES!$C9)/100*'Census - years'!C12</f>
        <v>71007.95200765146</v>
      </c>
      <c r="M22" s="592">
        <f>(IES!$B9+IES!$C9)/100*'Census - years'!D12</f>
        <v>71548.169575313048</v>
      </c>
      <c r="N22" s="592">
        <f>(IES!$B9+IES!$C9)/100*'Census - years'!E12</f>
        <v>71624.286336314282</v>
      </c>
      <c r="O22" s="592">
        <f>(IES!$B9+IES!$C9)/100*'Census - years'!F12</f>
        <v>70749.472173418078</v>
      </c>
      <c r="U22" s="912"/>
      <c r="W22" s="914">
        <v>175501</v>
      </c>
      <c r="X22" s="912">
        <f t="shared" si="9"/>
        <v>188214.89298470173</v>
      </c>
    </row>
    <row r="23" spans="1:24" x14ac:dyDescent="0.2">
      <c r="A23" s="10" t="s">
        <v>81</v>
      </c>
      <c r="B23" s="9">
        <v>3</v>
      </c>
      <c r="C23" s="9">
        <v>0</v>
      </c>
      <c r="D23" s="9">
        <f t="shared" si="8"/>
        <v>3</v>
      </c>
      <c r="E23" s="9">
        <v>3</v>
      </c>
      <c r="F23" s="9">
        <v>277</v>
      </c>
      <c r="G23" s="9">
        <v>402</v>
      </c>
      <c r="H23" s="397"/>
      <c r="I23" s="591" t="s">
        <v>81</v>
      </c>
      <c r="J23" s="592">
        <f>(IES!B10+IES!C10)/100*'H&amp;S Demand'!B9</f>
        <v>218103.30122404927</v>
      </c>
      <c r="K23" s="592">
        <f>(IES!$B10+IES!$C10)/100*'Census - years'!B13</f>
        <v>44616.860903101726</v>
      </c>
      <c r="L23" s="592">
        <f>(IES!$B10+IES!$C10)/100*'Census - years'!C13</f>
        <v>43202.087745466837</v>
      </c>
      <c r="M23" s="592">
        <f>(IES!$B10+IES!$C10)/100*'Census - years'!D13</f>
        <v>44641.905317715842</v>
      </c>
      <c r="N23" s="592">
        <f>(IES!$B10+IES!$C10)/100*'Census - years'!E13</f>
        <v>43426.54240474425</v>
      </c>
      <c r="O23" s="592">
        <f>(IES!$B10+IES!$C10)/100*'Census - years'!F13</f>
        <v>42215.904853020606</v>
      </c>
      <c r="U23" s="912"/>
      <c r="W23" s="914">
        <v>315607</v>
      </c>
      <c r="X23" s="912">
        <f t="shared" si="9"/>
        <v>319951.58802378405</v>
      </c>
    </row>
    <row r="24" spans="1:24" x14ac:dyDescent="0.2">
      <c r="A24" s="10" t="s">
        <v>76</v>
      </c>
      <c r="B24" s="9">
        <v>4</v>
      </c>
      <c r="C24" s="9">
        <v>0</v>
      </c>
      <c r="D24" s="9">
        <f t="shared" si="8"/>
        <v>4</v>
      </c>
      <c r="E24" s="9">
        <v>4</v>
      </c>
      <c r="F24" s="9">
        <v>320</v>
      </c>
      <c r="G24" s="9">
        <v>383</v>
      </c>
      <c r="H24" s="397"/>
      <c r="I24" s="591" t="s">
        <v>76</v>
      </c>
      <c r="J24" s="592">
        <f>(IES!B11+IES!C11)/100*'H&amp;S Demand'!B10</f>
        <v>164889.14059664559</v>
      </c>
      <c r="K24" s="592">
        <f>(IES!$B11+IES!$C11)/100*'Census - years'!B14</f>
        <v>34214.087863145178</v>
      </c>
      <c r="L24" s="592">
        <f>(IES!$B11+IES!$C11)/100*'Census - years'!C14</f>
        <v>33104.895851276968</v>
      </c>
      <c r="M24" s="592">
        <f>(IES!$B11+IES!$C11)/100*'Census - years'!D14</f>
        <v>33328.365418373942</v>
      </c>
      <c r="N24" s="592">
        <f>(IES!$B11+IES!$C11)/100*'Census - years'!E14</f>
        <v>32806.392706906547</v>
      </c>
      <c r="O24" s="592">
        <f>(IES!$B11+IES!$C11)/100*'Census - years'!F14</f>
        <v>31435.39875694297</v>
      </c>
      <c r="U24" s="912"/>
      <c r="W24" s="914">
        <v>194453</v>
      </c>
      <c r="X24" s="912">
        <f t="shared" si="9"/>
        <v>210492.44513104504</v>
      </c>
    </row>
    <row r="25" spans="1:24" x14ac:dyDescent="0.2">
      <c r="A25" s="10" t="s">
        <v>70</v>
      </c>
      <c r="B25" s="9">
        <v>5</v>
      </c>
      <c r="C25" s="9">
        <v>0</v>
      </c>
      <c r="D25" s="9">
        <f t="shared" si="8"/>
        <v>5</v>
      </c>
      <c r="E25" s="9">
        <v>5</v>
      </c>
      <c r="F25" s="9">
        <v>156</v>
      </c>
      <c r="G25" s="9">
        <v>194</v>
      </c>
      <c r="H25" s="397"/>
      <c r="I25" s="591" t="s">
        <v>70</v>
      </c>
      <c r="J25" s="592">
        <f>(IES!B12+IES!C12)/100*'H&amp;S Demand'!B11</f>
        <v>58391.766711288656</v>
      </c>
      <c r="K25" s="592">
        <f>(IES!$B12+IES!$C12)/100*'Census - years'!B15</f>
        <v>11819.833090010439</v>
      </c>
      <c r="L25" s="592">
        <f>(IES!$B12+IES!$C12)/100*'Census - years'!C15</f>
        <v>11713.507754867916</v>
      </c>
      <c r="M25" s="592">
        <f>(IES!$B12+IES!$C12)/100*'Census - years'!D15</f>
        <v>11855.27486839128</v>
      </c>
      <c r="N25" s="592">
        <f>(IES!$B12+IES!$C12)/100*'Census - years'!E15</f>
        <v>11585.629986926233</v>
      </c>
      <c r="O25" s="592">
        <f>(IES!$B12+IES!$C12)/100*'Census - years'!F15</f>
        <v>11417.521011092786</v>
      </c>
      <c r="U25" s="912"/>
      <c r="W25" s="914">
        <v>123453</v>
      </c>
      <c r="X25" s="912">
        <f t="shared" si="9"/>
        <v>126353.79708943958</v>
      </c>
    </row>
    <row r="26" spans="1:24" x14ac:dyDescent="0.2">
      <c r="A26" s="10" t="s">
        <v>63</v>
      </c>
      <c r="B26" s="9">
        <v>5</v>
      </c>
      <c r="C26" s="9">
        <v>1</v>
      </c>
      <c r="D26" s="9">
        <f t="shared" si="8"/>
        <v>6</v>
      </c>
      <c r="E26" s="9">
        <v>6</v>
      </c>
      <c r="F26" s="9">
        <v>308</v>
      </c>
      <c r="G26" s="9">
        <v>387</v>
      </c>
      <c r="H26" s="397"/>
      <c r="I26" s="593" t="s">
        <v>63</v>
      </c>
      <c r="J26" s="592">
        <f>(IES!B13+IES!C13)/100*'H&amp;S Demand'!B12</f>
        <v>123485.16462632216</v>
      </c>
      <c r="K26" s="592">
        <f>(IES!$B13+IES!$C13)/100*'Census - years'!B16</f>
        <v>25722.650678915419</v>
      </c>
      <c r="L26" s="592">
        <f>(IES!$B13+IES!$C13)/100*'Census - years'!C16</f>
        <v>25063.902801756944</v>
      </c>
      <c r="M26" s="592">
        <f>(IES!$B13+IES!$C13)/100*'Census - years'!D16</f>
        <v>25227.879206625465</v>
      </c>
      <c r="N26" s="592">
        <f>(IES!$B13+IES!$C13)/100*'Census - years'!E16</f>
        <v>24151.756720274974</v>
      </c>
      <c r="O26" s="592">
        <f>(IES!$B13+IES!$C13)/100*'Census - years'!F16</f>
        <v>23318.975218749369</v>
      </c>
      <c r="U26" s="912"/>
      <c r="W26" s="914">
        <v>105684</v>
      </c>
      <c r="X26" s="912">
        <f t="shared" si="9"/>
        <v>93447.795835173543</v>
      </c>
    </row>
    <row r="27" spans="1:24" x14ac:dyDescent="0.2">
      <c r="A27" s="211" t="s">
        <v>724</v>
      </c>
      <c r="B27" s="212">
        <f>SUM(B18:B26)</f>
        <v>44</v>
      </c>
      <c r="C27" s="212">
        <f t="shared" ref="C27:G27" si="10">SUM(C18:C26)</f>
        <v>8</v>
      </c>
      <c r="D27" s="212">
        <f t="shared" si="10"/>
        <v>52</v>
      </c>
      <c r="E27" s="212">
        <f t="shared" si="10"/>
        <v>52</v>
      </c>
      <c r="F27" s="212">
        <f t="shared" si="10"/>
        <v>3581</v>
      </c>
      <c r="G27" s="212">
        <f t="shared" si="10"/>
        <v>4277</v>
      </c>
      <c r="H27" s="398"/>
      <c r="I27" s="594" t="s">
        <v>724</v>
      </c>
      <c r="J27" s="595">
        <f>SUM(J18:J26)</f>
        <v>2332895.6364309741</v>
      </c>
      <c r="K27" s="968">
        <f>SUM(K18:K26)</f>
        <v>472313.66016764869</v>
      </c>
      <c r="L27" s="968">
        <f t="shared" ref="L27:O27" si="11">SUM(L18:L26)</f>
        <v>463133.59609518107</v>
      </c>
      <c r="M27" s="968">
        <f t="shared" si="11"/>
        <v>471699.11875320459</v>
      </c>
      <c r="N27" s="968">
        <f t="shared" si="11"/>
        <v>468154.19998240314</v>
      </c>
      <c r="O27" s="968">
        <f t="shared" si="11"/>
        <v>457595.06143253669</v>
      </c>
      <c r="U27" s="912"/>
      <c r="W27" s="914">
        <v>28177</v>
      </c>
      <c r="X27" s="912">
        <f t="shared" si="9"/>
        <v>34440.787613057691</v>
      </c>
    </row>
    <row r="28" spans="1:24" x14ac:dyDescent="0.2">
      <c r="U28" s="912"/>
      <c r="W28" s="915">
        <v>69735</v>
      </c>
      <c r="X28" s="912">
        <f t="shared" si="9"/>
        <v>69660.237681039318</v>
      </c>
    </row>
    <row r="29" spans="1:24" ht="15" x14ac:dyDescent="0.25">
      <c r="U29" s="912"/>
      <c r="W29" s="916">
        <f>SUM(W20:W28)</f>
        <v>1305389</v>
      </c>
      <c r="X29" s="916">
        <f>SUM(X20:X28)</f>
        <v>1364234.851123574</v>
      </c>
    </row>
    <row r="30" spans="1:24" x14ac:dyDescent="0.2">
      <c r="J30" s="8" t="s">
        <v>1671</v>
      </c>
      <c r="K30" s="8"/>
      <c r="L30" s="8"/>
      <c r="M30" s="8"/>
      <c r="N30" s="8"/>
      <c r="O30" s="8"/>
    </row>
    <row r="31" spans="1:24" x14ac:dyDescent="0.2">
      <c r="K31" s="932" t="s">
        <v>1672</v>
      </c>
    </row>
    <row r="32" spans="1:24" x14ac:dyDescent="0.2">
      <c r="I32" s="23" t="s">
        <v>142</v>
      </c>
      <c r="J32" s="22" t="s">
        <v>1668</v>
      </c>
      <c r="K32" s="149">
        <v>12</v>
      </c>
      <c r="L32" s="933" t="s">
        <v>1565</v>
      </c>
      <c r="M32" s="149">
        <v>36</v>
      </c>
      <c r="N32" s="149">
        <v>48</v>
      </c>
      <c r="O32" s="149">
        <v>59</v>
      </c>
    </row>
    <row r="33" spans="9:15" x14ac:dyDescent="0.2">
      <c r="I33" s="591" t="s">
        <v>115</v>
      </c>
      <c r="J33" s="592">
        <f>(IES!$D5)/100*'H&amp;S Demand'!B4</f>
        <v>150522.61206405362</v>
      </c>
      <c r="K33" s="592">
        <f>(IES!$D5)/100*'Census - years'!B8</f>
        <v>28461.168385821031</v>
      </c>
      <c r="L33" s="592">
        <f>(IES!$D5)/100*'Census - years'!C8</f>
        <v>28712.099571862414</v>
      </c>
      <c r="M33" s="592">
        <f>(IES!$D5)/100*'Census - years'!D8</f>
        <v>30500.597376360642</v>
      </c>
      <c r="N33" s="592">
        <f>(IES!$D5)/100*'Census - years'!E8</f>
        <v>31341.481710507134</v>
      </c>
      <c r="O33" s="592">
        <f>(IES!$D5)/100*'Census - years'!F8</f>
        <v>31507.265019502418</v>
      </c>
    </row>
    <row r="34" spans="9:15" x14ac:dyDescent="0.2">
      <c r="I34" s="591" t="s">
        <v>109</v>
      </c>
      <c r="J34" s="592">
        <f>(IES!$D6)/100*'H&amp;S Demand'!B5</f>
        <v>66318.830562037765</v>
      </c>
      <c r="K34" s="592">
        <f>(IES!$D6)/100*'Census - years'!B9</f>
        <v>13218.223129838658</v>
      </c>
      <c r="L34" s="592">
        <f>(IES!$D6)/100*'Census - years'!C9</f>
        <v>13248.928782456467</v>
      </c>
      <c r="M34" s="592">
        <f>(IES!$D6)/100*'Census - years'!D9</f>
        <v>13306.305768370037</v>
      </c>
      <c r="N34" s="592">
        <f>(IES!$D6)/100*'Census - years'!E9</f>
        <v>13488.970782118316</v>
      </c>
      <c r="O34" s="592">
        <f>(IES!$D6)/100*'Census - years'!F9</f>
        <v>13056.402099254294</v>
      </c>
    </row>
    <row r="35" spans="9:15" x14ac:dyDescent="0.2">
      <c r="I35" s="591" t="s">
        <v>103</v>
      </c>
      <c r="J35" s="592">
        <f>(IES!$D7)/100*'H&amp;S Demand'!B6</f>
        <v>212944.37974754794</v>
      </c>
      <c r="K35" s="592">
        <f>(IES!$D7)/100*'Census - years'!B10</f>
        <v>45730.836788188586</v>
      </c>
      <c r="L35" s="592">
        <f>(IES!$D7)/100*'Census - years'!C10</f>
        <v>43885.789133136968</v>
      </c>
      <c r="M35" s="592">
        <f>(IES!$D7)/100*'Census - years'!D10</f>
        <v>43122.604643446924</v>
      </c>
      <c r="N35" s="592">
        <f>(IES!$D7)/100*'Census - years'!E10</f>
        <v>41311.158553749345</v>
      </c>
      <c r="O35" s="592">
        <f>(IES!$D7)/100*'Census - years'!F10</f>
        <v>38893.990629026106</v>
      </c>
    </row>
    <row r="36" spans="9:15" x14ac:dyDescent="0.2">
      <c r="I36" s="591" t="s">
        <v>91</v>
      </c>
      <c r="J36" s="592">
        <f>(IES!$D8)/100*'H&amp;S Demand'!B7</f>
        <v>241882.66613776638</v>
      </c>
      <c r="K36" s="592">
        <f>(IES!$D8)/100*'Census - years'!B11</f>
        <v>47935.863416292173</v>
      </c>
      <c r="L36" s="592">
        <f>(IES!$D8)/100*'Census - years'!C11</f>
        <v>47916.078900301887</v>
      </c>
      <c r="M36" s="592">
        <f>(IES!$D8)/100*'Census - years'!D11</f>
        <v>49003.217865686289</v>
      </c>
      <c r="N36" s="592">
        <f>(IES!$D8)/100*'Census - years'!E11</f>
        <v>48923.272270460249</v>
      </c>
      <c r="O36" s="592">
        <f>(IES!$D8)/100*'Census - years'!F11</f>
        <v>48104.2336850258</v>
      </c>
    </row>
    <row r="37" spans="9:15" x14ac:dyDescent="0.2">
      <c r="I37" s="591" t="s">
        <v>85</v>
      </c>
      <c r="J37" s="592">
        <f>(IES!$D9)/100*'H&amp;S Demand'!B8</f>
        <v>164827.63683567906</v>
      </c>
      <c r="K37" s="592">
        <f>(IES!$D9)/100*'Census - years'!B12</f>
        <v>34199.354303010266</v>
      </c>
      <c r="L37" s="592">
        <f>(IES!$D9)/100*'Census - years'!C12</f>
        <v>32554.138631946971</v>
      </c>
      <c r="M37" s="592">
        <f>(IES!$D9)/100*'Census - years'!D12</f>
        <v>32801.805507160803</v>
      </c>
      <c r="N37" s="592">
        <f>(IES!$D9)/100*'Census - years'!E12</f>
        <v>32836.701818345529</v>
      </c>
      <c r="O37" s="592">
        <f>(IES!$D9)/100*'Census - years'!F12</f>
        <v>32435.6365752155</v>
      </c>
    </row>
    <row r="38" spans="9:15" x14ac:dyDescent="0.2">
      <c r="I38" s="591" t="s">
        <v>81</v>
      </c>
      <c r="J38" s="592">
        <f>(IES!$D10)/100*'H&amp;S Demand'!B9</f>
        <v>99239.712232796825</v>
      </c>
      <c r="K38" s="592">
        <f>(IES!$D10)/100*'Census - years'!B13</f>
        <v>20301.226124982237</v>
      </c>
      <c r="L38" s="592">
        <f>(IES!$D10)/100*'Census - years'!C13</f>
        <v>19657.486758129908</v>
      </c>
      <c r="M38" s="592">
        <f>(IES!$D10)/100*'Census - years'!D13</f>
        <v>20312.621644836338</v>
      </c>
      <c r="N38" s="592">
        <f>(IES!$D10)/100*'Census - years'!E13</f>
        <v>19759.616417199668</v>
      </c>
      <c r="O38" s="592">
        <f>(IES!$D10)/100*'Census - years'!F13</f>
        <v>19208.761287648678</v>
      </c>
    </row>
    <row r="39" spans="9:15" x14ac:dyDescent="0.2">
      <c r="I39" s="591" t="s">
        <v>76</v>
      </c>
      <c r="J39" s="592">
        <f>(IES!$D11)/100*'H&amp;S Demand'!B10</f>
        <v>83837.318206336</v>
      </c>
      <c r="K39" s="592">
        <f>(IES!$D11)/100*'Census - years'!B14</f>
        <v>17396.035669436886</v>
      </c>
      <c r="L39" s="592">
        <f>(IES!$D11)/100*'Census - years'!C14</f>
        <v>16832.070793918498</v>
      </c>
      <c r="M39" s="592">
        <f>(IES!$D11)/100*'Census - years'!D14</f>
        <v>16945.693129133233</v>
      </c>
      <c r="N39" s="592">
        <f>(IES!$D11)/100*'Census - years'!E14</f>
        <v>16680.297893595169</v>
      </c>
      <c r="O39" s="592">
        <f>(IES!$D11)/100*'Census - years'!F14</f>
        <v>15983.220720252219</v>
      </c>
    </row>
    <row r="40" spans="9:15" x14ac:dyDescent="0.2">
      <c r="I40" s="591" t="s">
        <v>70</v>
      </c>
      <c r="J40" s="592">
        <f>(IES!$D12)/100*'H&amp;S Demand'!B11</f>
        <v>25313.052498868248</v>
      </c>
      <c r="K40" s="592">
        <f>(IES!$D12)/100*'Census - years'!B15</f>
        <v>5123.9425074194905</v>
      </c>
      <c r="L40" s="592">
        <f>(IES!$D12)/100*'Census - years'!C15</f>
        <v>5077.8500710708895</v>
      </c>
      <c r="M40" s="592">
        <f>(IES!$D12)/100*'Census - years'!D15</f>
        <v>5139.3066528690242</v>
      </c>
      <c r="N40" s="592">
        <f>(IES!$D12)/100*'Census - years'!E15</f>
        <v>5022.4145733002742</v>
      </c>
      <c r="O40" s="592">
        <f>(IES!$D12)/100*'Census - years'!F15</f>
        <v>4949.5386942085679</v>
      </c>
    </row>
    <row r="41" spans="9:15" x14ac:dyDescent="0.2">
      <c r="I41" s="593" t="s">
        <v>63</v>
      </c>
      <c r="J41" s="592">
        <f>(IES!$D13)/100*'H&amp;S Demand'!B12</f>
        <v>104188.74064807827</v>
      </c>
      <c r="K41" s="592">
        <f>(IES!$D13)/100*'Census - years'!B16</f>
        <v>21703.097602668302</v>
      </c>
      <c r="L41" s="592">
        <f>(IES!$D13)/100*'Census - years'!C16</f>
        <v>21147.289041101976</v>
      </c>
      <c r="M41" s="592">
        <f>(IES!$D13)/100*'Census - years'!D16</f>
        <v>21285.641653506475</v>
      </c>
      <c r="N41" s="592">
        <f>(IES!$D13)/100*'Census - years'!E16</f>
        <v>20377.679575833241</v>
      </c>
      <c r="O41" s="592">
        <f>(IES!$D13)/100*'Census - years'!F16</f>
        <v>19675.03277496828</v>
      </c>
    </row>
    <row r="42" spans="9:15" x14ac:dyDescent="0.2">
      <c r="I42" s="594" t="s">
        <v>724</v>
      </c>
      <c r="J42" s="595">
        <f>SUM(J33:J41)</f>
        <v>1149074.9489331641</v>
      </c>
      <c r="K42" s="968">
        <f>SUM(K33:K41)</f>
        <v>234069.74792765765</v>
      </c>
      <c r="L42" s="968">
        <f t="shared" ref="L42:O42" si="12">SUM(L33:L41)</f>
        <v>229031.73168392596</v>
      </c>
      <c r="M42" s="968">
        <f t="shared" si="12"/>
        <v>232417.79424136973</v>
      </c>
      <c r="N42" s="968">
        <f t="shared" si="12"/>
        <v>229741.59359510892</v>
      </c>
      <c r="O42" s="968">
        <f t="shared" si="12"/>
        <v>223814.08148510187</v>
      </c>
    </row>
  </sheetData>
  <mergeCells count="2">
    <mergeCell ref="W18:W19"/>
    <mergeCell ref="P2:T2"/>
  </mergeCells>
  <pageMargins left="0.75" right="0.75" top="1" bottom="1" header="0.5" footer="0.5"/>
  <pageSetup paperSize="9" orientation="portrait" horizontalDpi="0" verticalDpi="0"/>
  <legacyDrawing r:id="rId1"/>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6"/>
  <sheetViews>
    <sheetView workbookViewId="0">
      <selection activeCell="H37" sqref="H37"/>
    </sheetView>
  </sheetViews>
  <sheetFormatPr defaultColWidth="8.85546875" defaultRowHeight="12.75" x14ac:dyDescent="0.2"/>
  <cols>
    <col min="1" max="1" width="11.7109375" style="8" customWidth="1"/>
    <col min="2" max="2" width="10.85546875" style="8" bestFit="1" customWidth="1"/>
    <col min="3" max="22" width="10.7109375" style="8" customWidth="1"/>
    <col min="23" max="16384" width="8.85546875" style="8"/>
  </cols>
  <sheetData>
    <row r="1" spans="1:22" x14ac:dyDescent="0.2">
      <c r="B1" s="20" t="s">
        <v>143</v>
      </c>
      <c r="C1" s="20"/>
      <c r="D1" s="20"/>
      <c r="E1" s="20"/>
      <c r="F1" s="20"/>
      <c r="G1" s="20"/>
      <c r="H1" s="20"/>
      <c r="I1" s="20"/>
      <c r="J1" s="20"/>
      <c r="K1" s="20"/>
      <c r="L1" s="20"/>
      <c r="M1" s="20"/>
      <c r="N1" s="20"/>
      <c r="O1" s="20"/>
      <c r="P1" s="20"/>
      <c r="Q1" s="20"/>
      <c r="R1" s="20"/>
      <c r="S1" s="20"/>
      <c r="T1" s="20"/>
      <c r="U1" s="20"/>
      <c r="V1" s="20"/>
    </row>
    <row r="2" spans="1:22" x14ac:dyDescent="0.2">
      <c r="A2" s="23" t="s">
        <v>142</v>
      </c>
      <c r="B2" s="22" t="s">
        <v>140</v>
      </c>
      <c r="C2" s="22">
        <v>5</v>
      </c>
      <c r="D2" s="20" t="s">
        <v>372</v>
      </c>
      <c r="E2" s="22" t="s">
        <v>139</v>
      </c>
      <c r="F2" s="22" t="s">
        <v>138</v>
      </c>
      <c r="G2" s="22" t="s">
        <v>137</v>
      </c>
      <c r="H2" s="22" t="s">
        <v>136</v>
      </c>
      <c r="I2" s="22" t="s">
        <v>135</v>
      </c>
      <c r="J2" s="22" t="s">
        <v>134</v>
      </c>
      <c r="K2" s="22" t="s">
        <v>133</v>
      </c>
      <c r="L2" s="22" t="s">
        <v>132</v>
      </c>
      <c r="M2" s="22" t="s">
        <v>131</v>
      </c>
      <c r="N2" s="22" t="s">
        <v>130</v>
      </c>
      <c r="O2" s="22" t="s">
        <v>129</v>
      </c>
      <c r="P2" s="22" t="s">
        <v>128</v>
      </c>
      <c r="Q2" s="266" t="s">
        <v>868</v>
      </c>
      <c r="R2" s="22" t="s">
        <v>127</v>
      </c>
      <c r="S2" s="22" t="s">
        <v>126</v>
      </c>
      <c r="T2" s="22" t="s">
        <v>125</v>
      </c>
      <c r="U2" s="22" t="s">
        <v>124</v>
      </c>
      <c r="V2" s="22" t="s">
        <v>123</v>
      </c>
    </row>
    <row r="3" spans="1:22" x14ac:dyDescent="0.2">
      <c r="A3" s="10" t="s">
        <v>115</v>
      </c>
      <c r="B3" s="9">
        <v>767216</v>
      </c>
      <c r="C3" s="9">
        <v>143198.39999999999</v>
      </c>
      <c r="D3" s="9">
        <f>C3+B3</f>
        <v>910414.4</v>
      </c>
      <c r="E3" s="9">
        <v>715992</v>
      </c>
      <c r="F3" s="9">
        <v>684282</v>
      </c>
      <c r="G3" s="9">
        <v>740514</v>
      </c>
      <c r="H3" s="9">
        <v>608372</v>
      </c>
      <c r="I3" s="9">
        <v>490306</v>
      </c>
      <c r="J3" s="9">
        <v>388587</v>
      </c>
      <c r="K3" s="9">
        <v>359404</v>
      </c>
      <c r="L3" s="9">
        <v>327336</v>
      </c>
      <c r="M3" s="9">
        <v>308608</v>
      </c>
      <c r="N3" s="9">
        <v>290805</v>
      </c>
      <c r="O3" s="9">
        <v>242405</v>
      </c>
      <c r="P3" s="9">
        <v>196630</v>
      </c>
      <c r="Q3" s="267">
        <f>SUM(G3:P3)</f>
        <v>3952967</v>
      </c>
      <c r="R3" s="9">
        <v>140470</v>
      </c>
      <c r="S3" s="9">
        <v>125950</v>
      </c>
      <c r="T3" s="9">
        <v>81236</v>
      </c>
      <c r="U3" s="9">
        <v>53727</v>
      </c>
      <c r="V3" s="9">
        <v>40211</v>
      </c>
    </row>
    <row r="4" spans="1:22" x14ac:dyDescent="0.2">
      <c r="A4" s="10" t="s">
        <v>109</v>
      </c>
      <c r="B4" s="9">
        <v>295896</v>
      </c>
      <c r="C4" s="9">
        <v>52504.4</v>
      </c>
      <c r="D4" s="9">
        <f t="shared" ref="D4:D11" si="0">C4+B4</f>
        <v>348400.4</v>
      </c>
      <c r="E4" s="9">
        <v>262522</v>
      </c>
      <c r="F4" s="9">
        <v>240497</v>
      </c>
      <c r="G4" s="9">
        <v>262898</v>
      </c>
      <c r="H4" s="9">
        <v>282479</v>
      </c>
      <c r="I4" s="9">
        <v>251668</v>
      </c>
      <c r="J4" s="9">
        <v>205740</v>
      </c>
      <c r="K4" s="9">
        <v>178980</v>
      </c>
      <c r="L4" s="9">
        <v>161378</v>
      </c>
      <c r="M4" s="9">
        <v>146990</v>
      </c>
      <c r="N4" s="9">
        <v>125330</v>
      </c>
      <c r="O4" s="9">
        <v>102422</v>
      </c>
      <c r="P4" s="9">
        <v>78033</v>
      </c>
      <c r="Q4" s="267">
        <f t="shared" ref="Q4:Q11" si="1">SUM(G4:P4)</f>
        <v>1795918</v>
      </c>
      <c r="R4" s="9">
        <v>54101</v>
      </c>
      <c r="S4" s="9">
        <v>40084</v>
      </c>
      <c r="T4" s="9">
        <v>27459</v>
      </c>
      <c r="U4" s="9">
        <v>15755</v>
      </c>
      <c r="V4" s="9">
        <v>13357</v>
      </c>
    </row>
    <row r="5" spans="1:22" x14ac:dyDescent="0.2">
      <c r="A5" s="10" t="s">
        <v>103</v>
      </c>
      <c r="B5" s="9">
        <v>1191418</v>
      </c>
      <c r="C5" s="9">
        <v>181100.2</v>
      </c>
      <c r="D5" s="9">
        <f t="shared" si="0"/>
        <v>1372518.2</v>
      </c>
      <c r="E5" s="9">
        <v>905501</v>
      </c>
      <c r="F5" s="9">
        <v>812012</v>
      </c>
      <c r="G5" s="9">
        <v>924588</v>
      </c>
      <c r="H5" s="9">
        <v>1374623</v>
      </c>
      <c r="I5" s="9">
        <v>1480847</v>
      </c>
      <c r="J5" s="9">
        <v>1224772</v>
      </c>
      <c r="K5" s="9">
        <v>1012021</v>
      </c>
      <c r="L5" s="9">
        <v>819854</v>
      </c>
      <c r="M5" s="9">
        <v>683092</v>
      </c>
      <c r="N5" s="9">
        <v>562852</v>
      </c>
      <c r="O5" s="9">
        <v>438401</v>
      </c>
      <c r="P5" s="9">
        <v>309674</v>
      </c>
      <c r="Q5" s="267">
        <f t="shared" si="1"/>
        <v>8830724</v>
      </c>
      <c r="R5" s="9">
        <v>201628</v>
      </c>
      <c r="S5" s="9">
        <v>142909</v>
      </c>
      <c r="T5" s="9">
        <v>89355</v>
      </c>
      <c r="U5" s="9">
        <v>55460</v>
      </c>
      <c r="V5" s="9">
        <v>43255</v>
      </c>
    </row>
    <row r="6" spans="1:22" x14ac:dyDescent="0.2">
      <c r="A6" s="10" t="s">
        <v>91</v>
      </c>
      <c r="B6" s="9">
        <v>1198134</v>
      </c>
      <c r="C6" s="9">
        <v>208505.60000000001</v>
      </c>
      <c r="D6" s="9">
        <f t="shared" si="0"/>
        <v>1406639.6</v>
      </c>
      <c r="E6" s="9">
        <v>1042528</v>
      </c>
      <c r="F6" s="9">
        <v>1038857</v>
      </c>
      <c r="G6" s="9">
        <v>1119535</v>
      </c>
      <c r="H6" s="9">
        <v>1102388</v>
      </c>
      <c r="I6" s="9">
        <v>980929</v>
      </c>
      <c r="J6" s="9">
        <v>729230</v>
      </c>
      <c r="K6" s="9">
        <v>612615</v>
      </c>
      <c r="L6" s="9">
        <v>499102</v>
      </c>
      <c r="M6" s="9">
        <v>454637</v>
      </c>
      <c r="N6" s="9">
        <v>384397</v>
      </c>
      <c r="O6" s="9">
        <v>325571</v>
      </c>
      <c r="P6" s="9">
        <v>271326</v>
      </c>
      <c r="Q6" s="267">
        <f t="shared" si="1"/>
        <v>6479730</v>
      </c>
      <c r="R6" s="9">
        <v>175673</v>
      </c>
      <c r="S6" s="9">
        <v>137821</v>
      </c>
      <c r="T6" s="9">
        <v>86378</v>
      </c>
      <c r="U6" s="9">
        <v>62126</v>
      </c>
      <c r="V6" s="9">
        <v>46054</v>
      </c>
    </row>
    <row r="7" spans="1:22" x14ac:dyDescent="0.2">
      <c r="A7" s="10" t="s">
        <v>85</v>
      </c>
      <c r="B7" s="9">
        <v>680163</v>
      </c>
      <c r="C7" s="9">
        <v>116792.8</v>
      </c>
      <c r="D7" s="9">
        <f t="shared" si="0"/>
        <v>796955.8</v>
      </c>
      <c r="E7" s="9">
        <v>583964</v>
      </c>
      <c r="F7" s="9">
        <v>570885</v>
      </c>
      <c r="G7" s="9">
        <v>627334</v>
      </c>
      <c r="H7" s="9">
        <v>547565</v>
      </c>
      <c r="I7" s="9">
        <v>441889</v>
      </c>
      <c r="J7" s="9">
        <v>343839</v>
      </c>
      <c r="K7" s="9">
        <v>300239</v>
      </c>
      <c r="L7" s="9">
        <v>255723</v>
      </c>
      <c r="M7" s="9">
        <v>236314</v>
      </c>
      <c r="N7" s="9">
        <v>190994</v>
      </c>
      <c r="O7" s="9">
        <v>158595</v>
      </c>
      <c r="P7" s="9">
        <v>128946</v>
      </c>
      <c r="Q7" s="267">
        <f t="shared" si="1"/>
        <v>3231438</v>
      </c>
      <c r="R7" s="9">
        <v>101022</v>
      </c>
      <c r="S7" s="9">
        <v>87658</v>
      </c>
      <c r="T7" s="9">
        <v>59993</v>
      </c>
      <c r="U7" s="9">
        <v>47895</v>
      </c>
      <c r="V7" s="9">
        <v>41848</v>
      </c>
    </row>
    <row r="8" spans="1:22" x14ac:dyDescent="0.2">
      <c r="A8" s="10" t="s">
        <v>81</v>
      </c>
      <c r="B8" s="9">
        <v>461559</v>
      </c>
      <c r="C8" s="9">
        <v>80554.399999999994</v>
      </c>
      <c r="D8" s="9">
        <f t="shared" si="0"/>
        <v>542113.4</v>
      </c>
      <c r="E8" s="9">
        <v>402772</v>
      </c>
      <c r="F8" s="9">
        <v>396348</v>
      </c>
      <c r="G8" s="9">
        <v>424278</v>
      </c>
      <c r="H8" s="9">
        <v>427541</v>
      </c>
      <c r="I8" s="9">
        <v>393096</v>
      </c>
      <c r="J8" s="9">
        <v>297563</v>
      </c>
      <c r="K8" s="9">
        <v>255908</v>
      </c>
      <c r="L8" s="9">
        <v>216839</v>
      </c>
      <c r="M8" s="9">
        <v>193839</v>
      </c>
      <c r="N8" s="9">
        <v>156680</v>
      </c>
      <c r="O8" s="9">
        <v>129362</v>
      </c>
      <c r="P8" s="9">
        <v>94442</v>
      </c>
      <c r="Q8" s="267">
        <f t="shared" si="1"/>
        <v>2589548</v>
      </c>
      <c r="R8" s="9">
        <v>64216</v>
      </c>
      <c r="S8" s="9">
        <v>51763</v>
      </c>
      <c r="T8" s="9">
        <v>31215</v>
      </c>
      <c r="U8" s="9">
        <v>23550</v>
      </c>
      <c r="V8" s="9">
        <v>18970</v>
      </c>
    </row>
    <row r="9" spans="1:22" x14ac:dyDescent="0.2">
      <c r="A9" s="10" t="s">
        <v>76</v>
      </c>
      <c r="B9" s="9">
        <v>404347</v>
      </c>
      <c r="C9" s="9">
        <v>66460.600000000006</v>
      </c>
      <c r="D9" s="9">
        <f t="shared" si="0"/>
        <v>470807.6</v>
      </c>
      <c r="E9" s="9">
        <v>332303</v>
      </c>
      <c r="F9" s="9">
        <v>303713</v>
      </c>
      <c r="G9" s="9">
        <v>316532</v>
      </c>
      <c r="H9" s="9">
        <v>343391</v>
      </c>
      <c r="I9" s="9">
        <v>327662</v>
      </c>
      <c r="J9" s="9">
        <v>271683</v>
      </c>
      <c r="K9" s="9">
        <v>236739</v>
      </c>
      <c r="L9" s="9">
        <v>204926</v>
      </c>
      <c r="M9" s="9">
        <v>187119</v>
      </c>
      <c r="N9" s="9">
        <v>160567</v>
      </c>
      <c r="O9" s="9">
        <v>128578</v>
      </c>
      <c r="P9" s="9">
        <v>94537</v>
      </c>
      <c r="Q9" s="267">
        <f t="shared" si="1"/>
        <v>2271734</v>
      </c>
      <c r="R9" s="9">
        <v>71692</v>
      </c>
      <c r="S9" s="9">
        <v>51710</v>
      </c>
      <c r="T9" s="9">
        <v>34216</v>
      </c>
      <c r="U9" s="9">
        <v>21483</v>
      </c>
      <c r="V9" s="9">
        <v>18754</v>
      </c>
    </row>
    <row r="10" spans="1:22" x14ac:dyDescent="0.2">
      <c r="A10" s="10" t="s">
        <v>70</v>
      </c>
      <c r="B10" s="9">
        <v>121918</v>
      </c>
      <c r="C10" s="9">
        <v>22801.4</v>
      </c>
      <c r="D10" s="9">
        <f t="shared" si="0"/>
        <v>144719.4</v>
      </c>
      <c r="E10" s="9">
        <v>114007</v>
      </c>
      <c r="F10" s="9">
        <v>109448</v>
      </c>
      <c r="G10" s="9">
        <v>107676</v>
      </c>
      <c r="H10" s="9">
        <v>104631</v>
      </c>
      <c r="I10" s="9">
        <v>100373</v>
      </c>
      <c r="J10" s="9">
        <v>85996</v>
      </c>
      <c r="K10" s="9">
        <v>75222</v>
      </c>
      <c r="L10" s="9">
        <v>68424</v>
      </c>
      <c r="M10" s="9">
        <v>61819</v>
      </c>
      <c r="N10" s="9">
        <v>53979</v>
      </c>
      <c r="O10" s="9">
        <v>43976</v>
      </c>
      <c r="P10" s="9">
        <v>33622</v>
      </c>
      <c r="Q10" s="267">
        <f t="shared" si="1"/>
        <v>735718</v>
      </c>
      <c r="R10" s="9">
        <v>23792</v>
      </c>
      <c r="S10" s="9">
        <v>17243</v>
      </c>
      <c r="T10" s="9">
        <v>11474</v>
      </c>
      <c r="U10" s="9">
        <v>6487</v>
      </c>
      <c r="V10" s="9">
        <v>5774</v>
      </c>
    </row>
    <row r="11" spans="1:22" x14ac:dyDescent="0.2">
      <c r="A11" s="10" t="s">
        <v>63</v>
      </c>
      <c r="B11" s="9">
        <v>564800</v>
      </c>
      <c r="C11" s="9">
        <v>92032.2</v>
      </c>
      <c r="D11" s="9">
        <f t="shared" si="0"/>
        <v>656832.19999999995</v>
      </c>
      <c r="E11" s="9">
        <v>460161</v>
      </c>
      <c r="F11" s="9">
        <v>438843</v>
      </c>
      <c r="G11" s="9">
        <v>480122</v>
      </c>
      <c r="H11" s="9">
        <v>583551</v>
      </c>
      <c r="I11" s="9">
        <v>592548</v>
      </c>
      <c r="J11" s="9">
        <v>481600</v>
      </c>
      <c r="K11" s="9">
        <v>436638</v>
      </c>
      <c r="L11" s="9">
        <v>395037</v>
      </c>
      <c r="M11" s="9">
        <v>347866</v>
      </c>
      <c r="N11" s="9">
        <v>292685</v>
      </c>
      <c r="O11" s="9">
        <v>228098</v>
      </c>
      <c r="P11" s="9">
        <v>178558</v>
      </c>
      <c r="Q11" s="267">
        <f t="shared" si="1"/>
        <v>4016703</v>
      </c>
      <c r="R11" s="9">
        <v>125210</v>
      </c>
      <c r="S11" s="9">
        <v>93193</v>
      </c>
      <c r="T11" s="9">
        <v>59940</v>
      </c>
      <c r="U11" s="9">
        <v>36435</v>
      </c>
      <c r="V11" s="9">
        <v>27448</v>
      </c>
    </row>
    <row r="15" spans="1:22" x14ac:dyDescent="0.2">
      <c r="A15" s="23" t="s">
        <v>142</v>
      </c>
      <c r="B15" s="160" t="s">
        <v>14</v>
      </c>
      <c r="C15" s="161" t="s">
        <v>15</v>
      </c>
      <c r="D15" s="161" t="s">
        <v>16</v>
      </c>
      <c r="E15" s="161" t="s">
        <v>17</v>
      </c>
      <c r="F15" s="162" t="s">
        <v>18</v>
      </c>
    </row>
    <row r="16" spans="1:22" x14ac:dyDescent="0.2">
      <c r="A16" s="10" t="s">
        <v>115</v>
      </c>
      <c r="B16" s="148">
        <f>IES!B5*'Agric Demand'!Q3/100</f>
        <v>1079206.3149928041</v>
      </c>
      <c r="C16" s="148">
        <f>IES!C5*'Agric Demand'!Q3/100</f>
        <v>977574.95183817029</v>
      </c>
    </row>
    <row r="17" spans="1:3" x14ac:dyDescent="0.2">
      <c r="A17" s="10" t="s">
        <v>109</v>
      </c>
      <c r="B17" s="148">
        <f>IES!B6*'Agric Demand'!Q4/100</f>
        <v>368497.02083813312</v>
      </c>
      <c r="C17" s="148">
        <f>IES!C6*'Agric Demand'!Q4/100</f>
        <v>374947.20801792503</v>
      </c>
    </row>
    <row r="18" spans="1:3" x14ac:dyDescent="0.2">
      <c r="A18" s="10" t="s">
        <v>103</v>
      </c>
      <c r="B18" s="148">
        <f>IES!B7*'Agric Demand'!Q5/100</f>
        <v>1248340.0402955308</v>
      </c>
      <c r="C18" s="148">
        <f>IES!C7*'Agric Demand'!Q5/100</f>
        <v>1301071.8304133599</v>
      </c>
    </row>
    <row r="19" spans="1:3" x14ac:dyDescent="0.2">
      <c r="A19" s="10" t="s">
        <v>91</v>
      </c>
      <c r="B19" s="148">
        <f>IES!B8*'Agric Demand'!Q6/100</f>
        <v>1431505.8398261988</v>
      </c>
      <c r="C19" s="148">
        <f>IES!C8*'Agric Demand'!Q6/100</f>
        <v>1504364.2628773651</v>
      </c>
    </row>
    <row r="20" spans="1:3" x14ac:dyDescent="0.2">
      <c r="A20" s="10" t="s">
        <v>85</v>
      </c>
      <c r="B20" s="148">
        <f>IES!B9*'Agric Demand'!Q7/100</f>
        <v>912184.25261166412</v>
      </c>
      <c r="C20" s="148">
        <f>IES!C9*'Agric Demand'!Q7/100</f>
        <v>795917.09416840982</v>
      </c>
    </row>
    <row r="21" spans="1:3" x14ac:dyDescent="0.2">
      <c r="A21" s="10" t="s">
        <v>81</v>
      </c>
      <c r="B21" s="148">
        <f>IES!B10*'Agric Demand'!Q8/100</f>
        <v>598946.78846995335</v>
      </c>
      <c r="C21" s="148">
        <f>IES!C10*'Agric Demand'!Q8/100</f>
        <v>624708.18841953273</v>
      </c>
    </row>
    <row r="22" spans="1:3" x14ac:dyDescent="0.2">
      <c r="A22" s="10" t="s">
        <v>76</v>
      </c>
      <c r="B22" s="148">
        <f>IES!B11*'Agric Demand'!Q9/100</f>
        <v>488746.82458421198</v>
      </c>
      <c r="C22" s="148">
        <f>IES!C11*'Agric Demand'!Q9/100</f>
        <v>437646.2658163106</v>
      </c>
    </row>
    <row r="23" spans="1:3" x14ac:dyDescent="0.2">
      <c r="A23" s="10" t="s">
        <v>70</v>
      </c>
      <c r="B23" s="148">
        <f>IES!B12*'Agric Demand'!Q10/100</f>
        <v>188353.03322561702</v>
      </c>
      <c r="C23" s="148">
        <f>IES!C12*'Agric Demand'!Q10/100</f>
        <v>164013.91686621407</v>
      </c>
    </row>
    <row r="24" spans="1:3" x14ac:dyDescent="0.2">
      <c r="A24" s="10" t="s">
        <v>63</v>
      </c>
      <c r="B24" s="148">
        <f>IES!B13*'Agric Demand'!Q11/100</f>
        <v>345877.41773733799</v>
      </c>
      <c r="C24" s="148">
        <f>IES!C13*'Agric Demand'!Q11/100</f>
        <v>532315.2720821416</v>
      </c>
    </row>
    <row r="25" spans="1:3" ht="13.5" thickBot="1" x14ac:dyDescent="0.25">
      <c r="A25" s="268" t="s">
        <v>724</v>
      </c>
      <c r="B25" s="268">
        <f>SUM(B16:B24)</f>
        <v>6661657.5325814523</v>
      </c>
      <c r="C25" s="268">
        <f>SUM(C16:C24)</f>
        <v>6712558.9904994294</v>
      </c>
    </row>
    <row r="26" spans="1:3" ht="13.5" thickTop="1" x14ac:dyDescent="0.2"/>
  </sheetData>
  <pageMargins left="0.75" right="0.75" top="1" bottom="1" header="0.5" footer="0.5"/>
  <pageSetup paperSize="9" orientation="portrait" horizontalDpi="0" verticalDpi="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B1:W114"/>
  <sheetViews>
    <sheetView showGridLines="0" zoomScale="96" zoomScaleNormal="96" workbookViewId="0">
      <pane xSplit="1" ySplit="3" topLeftCell="B4" activePane="bottomRight" state="frozen"/>
      <selection activeCell="H37" sqref="H37"/>
      <selection pane="topRight" activeCell="H37" sqref="H37"/>
      <selection pane="bottomLeft" activeCell="H37" sqref="H37"/>
      <selection pane="bottomRight" activeCell="B58" sqref="B58:Q84"/>
    </sheetView>
  </sheetViews>
  <sheetFormatPr defaultColWidth="10.85546875" defaultRowHeight="15" x14ac:dyDescent="0.25"/>
  <cols>
    <col min="1" max="1" width="1.85546875" style="789" customWidth="1"/>
    <col min="2" max="2" width="33.140625" style="789" customWidth="1"/>
    <col min="3" max="3" width="2.28515625" style="789" customWidth="1"/>
    <col min="4" max="4" width="16.140625" style="789" customWidth="1"/>
    <col min="5" max="5" width="13.140625" style="789" customWidth="1"/>
    <col min="6" max="6" width="10.5703125" style="789" customWidth="1"/>
    <col min="7" max="7" width="2.85546875" style="789" customWidth="1"/>
    <col min="8" max="8" width="16.5703125" style="789" customWidth="1"/>
    <col min="9" max="9" width="1.7109375" style="789" customWidth="1"/>
    <col min="10" max="10" width="22.5703125" style="789" customWidth="1"/>
    <col min="11" max="11" width="1.7109375" style="789" customWidth="1"/>
    <col min="12" max="12" width="4.7109375" style="789" customWidth="1"/>
    <col min="13" max="13" width="12.7109375" style="789" customWidth="1"/>
    <col min="14" max="14" width="15.85546875" style="789" bestFit="1" customWidth="1"/>
    <col min="15" max="16384" width="10.85546875" style="789"/>
  </cols>
  <sheetData>
    <row r="1" spans="2:20" ht="6.95" customHeight="1" x14ac:dyDescent="0.25"/>
    <row r="2" spans="2:20" ht="47.25" customHeight="1" x14ac:dyDescent="0.25">
      <c r="B2" s="981" t="s">
        <v>724</v>
      </c>
      <c r="D2" s="872" t="s">
        <v>1463</v>
      </c>
    </row>
    <row r="3" spans="2:20" ht="13.5" customHeight="1" x14ac:dyDescent="0.25">
      <c r="B3" s="864" t="s">
        <v>1450</v>
      </c>
      <c r="M3" s="895" t="s">
        <v>1512</v>
      </c>
    </row>
    <row r="4" spans="2:20" ht="18.75" x14ac:dyDescent="0.3">
      <c r="B4" s="848" t="s">
        <v>1400</v>
      </c>
      <c r="C4" s="796"/>
      <c r="D4" s="797"/>
      <c r="E4" s="796"/>
      <c r="F4" s="796"/>
      <c r="G4" s="796"/>
      <c r="H4" s="797"/>
      <c r="I4" s="797"/>
      <c r="J4" s="797"/>
      <c r="K4" s="797"/>
      <c r="L4" s="800" t="s">
        <v>1477</v>
      </c>
      <c r="M4" s="798"/>
      <c r="N4" s="800"/>
      <c r="O4" s="797"/>
      <c r="P4" s="797"/>
      <c r="Q4" s="797"/>
      <c r="R4" s="797"/>
      <c r="S4" s="797"/>
      <c r="T4" s="797"/>
    </row>
    <row r="5" spans="2:20" x14ac:dyDescent="0.25">
      <c r="B5" s="857" t="s">
        <v>1502</v>
      </c>
      <c r="C5" s="798"/>
      <c r="D5" s="799">
        <f>'Budget Choices Workings'!D5</f>
        <v>5417014569.8897781</v>
      </c>
      <c r="E5" s="800"/>
      <c r="F5" s="800"/>
      <c r="G5" s="800"/>
      <c r="H5" s="800"/>
      <c r="I5" s="800"/>
      <c r="J5" s="800"/>
      <c r="K5" s="800"/>
      <c r="L5" s="800"/>
      <c r="M5" s="800"/>
      <c r="N5" s="799">
        <f>PDOH!N450+PDOH!N451+PDOH!V273</f>
        <v>0</v>
      </c>
      <c r="O5" s="800"/>
      <c r="P5" s="800"/>
      <c r="Q5" s="800"/>
      <c r="R5" s="800"/>
      <c r="S5" s="800"/>
      <c r="T5" s="800"/>
    </row>
    <row r="6" spans="2:20" x14ac:dyDescent="0.25">
      <c r="B6" s="857" t="s">
        <v>1482</v>
      </c>
      <c r="C6" s="798"/>
      <c r="D6" s="973">
        <v>1000000000</v>
      </c>
      <c r="E6" s="800"/>
      <c r="F6" s="800"/>
      <c r="G6" s="800"/>
      <c r="H6" s="800"/>
      <c r="I6" s="800"/>
      <c r="J6" s="800"/>
      <c r="K6" s="800"/>
      <c r="L6" s="886" t="s">
        <v>1499</v>
      </c>
      <c r="M6" s="886"/>
      <c r="N6" s="886"/>
      <c r="O6" s="800"/>
      <c r="P6" s="800"/>
      <c r="Q6" s="800"/>
      <c r="R6" s="800"/>
      <c r="S6" s="800"/>
      <c r="T6" s="800"/>
    </row>
    <row r="7" spans="2:20" x14ac:dyDescent="0.25">
      <c r="B7" s="857" t="s">
        <v>1483</v>
      </c>
      <c r="C7" s="798"/>
      <c r="D7" s="973">
        <v>56000</v>
      </c>
      <c r="E7" s="800"/>
      <c r="F7" s="800"/>
      <c r="G7" s="800"/>
      <c r="H7" s="800"/>
      <c r="I7" s="800"/>
      <c r="J7" s="800"/>
      <c r="K7" s="800"/>
      <c r="L7" s="886"/>
      <c r="M7" s="886"/>
      <c r="N7" s="799">
        <f>PDOH!X448+PDOH!AA269</f>
        <v>2279270878.3097525</v>
      </c>
      <c r="O7" s="800"/>
      <c r="P7" s="800"/>
      <c r="Q7" s="800"/>
      <c r="R7" s="800"/>
      <c r="S7" s="800"/>
      <c r="T7" s="800"/>
    </row>
    <row r="8" spans="2:20" x14ac:dyDescent="0.25">
      <c r="B8" s="857"/>
      <c r="C8" s="800"/>
      <c r="D8" s="800"/>
      <c r="E8" s="800"/>
      <c r="F8" s="800"/>
      <c r="G8" s="800"/>
      <c r="H8" s="800"/>
      <c r="I8" s="800"/>
      <c r="J8" s="800"/>
      <c r="K8" s="800"/>
      <c r="L8" s="800" t="s">
        <v>1496</v>
      </c>
      <c r="M8" s="800"/>
      <c r="N8" s="799"/>
      <c r="O8" s="800"/>
      <c r="P8" s="800"/>
      <c r="Q8" s="800"/>
      <c r="R8" s="800"/>
      <c r="S8" s="800"/>
      <c r="T8" s="800"/>
    </row>
    <row r="9" spans="2:20" x14ac:dyDescent="0.25">
      <c r="B9" s="857" t="str">
        <f>IF(D9&gt;0,"Additional funds that can be allocated","Cost savings that must be found")</f>
        <v>Cost savings that must be found</v>
      </c>
      <c r="C9" s="798"/>
      <c r="D9" s="799">
        <f>(D6+D7)-D5</f>
        <v>-4416958569.8897781</v>
      </c>
      <c r="E9" s="800"/>
      <c r="F9" s="800"/>
      <c r="G9" s="800"/>
      <c r="H9" s="800"/>
      <c r="I9" s="800"/>
      <c r="J9" s="800"/>
      <c r="K9" s="800"/>
      <c r="L9" s="800"/>
      <c r="M9" s="800"/>
      <c r="N9" s="982">
        <v>0.2</v>
      </c>
      <c r="O9" s="800"/>
      <c r="P9" s="800"/>
      <c r="Q9" s="800"/>
      <c r="R9" s="800"/>
      <c r="S9" s="800"/>
      <c r="T9" s="800"/>
    </row>
    <row r="10" spans="2:20" x14ac:dyDescent="0.25">
      <c r="B10" s="857" t="str">
        <f>'Budget Choices Workings'!B10</f>
        <v>Costs savings that must still be found</v>
      </c>
      <c r="C10" s="798"/>
      <c r="D10" s="801">
        <f>ABS('Budget Choices Workings'!D10)</f>
        <v>3860482648.5780449</v>
      </c>
      <c r="E10" s="918"/>
      <c r="F10" s="800"/>
      <c r="G10" s="800"/>
      <c r="H10" s="800"/>
      <c r="I10" s="800"/>
      <c r="J10" s="800"/>
      <c r="K10" s="800"/>
      <c r="L10" s="800" t="s">
        <v>1513</v>
      </c>
      <c r="M10" s="800"/>
      <c r="N10" s="800"/>
      <c r="O10" s="800"/>
      <c r="P10" s="800"/>
      <c r="Q10" s="800"/>
      <c r="R10" s="800"/>
      <c r="S10" s="800"/>
      <c r="T10" s="800"/>
    </row>
    <row r="11" spans="2:20" x14ac:dyDescent="0.25">
      <c r="B11" s="857"/>
      <c r="C11" s="798"/>
      <c r="D11" s="800"/>
      <c r="E11" s="800"/>
      <c r="F11" s="800"/>
      <c r="G11" s="800"/>
      <c r="H11" s="800"/>
      <c r="I11" s="800"/>
      <c r="J11" s="800"/>
      <c r="K11" s="800"/>
      <c r="L11" s="800"/>
      <c r="M11" s="800"/>
      <c r="N11" s="799">
        <f>(N9*N7)-N5</f>
        <v>455854175.66195053</v>
      </c>
      <c r="O11" s="800"/>
      <c r="P11" s="800"/>
      <c r="Q11" s="800"/>
      <c r="R11" s="800"/>
      <c r="S11" s="800"/>
      <c r="T11" s="800"/>
    </row>
    <row r="12" spans="2:20" x14ac:dyDescent="0.25">
      <c r="B12" s="857" t="s">
        <v>1465</v>
      </c>
      <c r="C12" s="798"/>
      <c r="D12" s="800"/>
      <c r="E12" s="800"/>
      <c r="F12" s="800"/>
      <c r="G12" s="800"/>
      <c r="H12" s="800"/>
      <c r="I12" s="800"/>
      <c r="J12" s="800"/>
      <c r="K12" s="800"/>
      <c r="L12" s="800"/>
      <c r="M12" s="800"/>
      <c r="N12" s="800"/>
      <c r="O12" s="800"/>
      <c r="P12" s="800"/>
      <c r="Q12" s="800"/>
      <c r="R12" s="800"/>
      <c r="S12" s="800"/>
      <c r="T12" s="800"/>
    </row>
    <row r="13" spans="2:20" x14ac:dyDescent="0.25">
      <c r="B13" s="857"/>
      <c r="C13" s="454"/>
      <c r="D13" s="799">
        <f>'Budget Choices Workings'!D6</f>
        <v>4860482648.5780449</v>
      </c>
      <c r="E13" s="800"/>
      <c r="F13" s="800"/>
      <c r="G13" s="800"/>
      <c r="H13" s="800"/>
      <c r="I13" s="800"/>
      <c r="J13" s="800"/>
      <c r="K13" s="800"/>
      <c r="L13" s="800"/>
      <c r="M13" s="800"/>
      <c r="N13" s="800"/>
      <c r="O13" s="800"/>
      <c r="P13" s="800"/>
      <c r="Q13" s="800"/>
      <c r="R13" s="800"/>
      <c r="S13" s="800"/>
      <c r="T13" s="800"/>
    </row>
    <row r="14" spans="2:20" x14ac:dyDescent="0.25">
      <c r="B14" s="454" t="s">
        <v>1466</v>
      </c>
      <c r="C14" s="454"/>
      <c r="D14" s="454"/>
      <c r="E14" s="800"/>
      <c r="F14" s="800"/>
      <c r="G14" s="800"/>
      <c r="H14" s="800"/>
      <c r="I14" s="800"/>
      <c r="J14" s="800"/>
      <c r="K14" s="800"/>
      <c r="L14" s="800"/>
      <c r="M14" s="800"/>
      <c r="N14" s="800"/>
      <c r="O14" s="800"/>
      <c r="P14" s="800"/>
      <c r="Q14" s="800"/>
      <c r="R14" s="800"/>
      <c r="S14" s="800"/>
      <c r="T14" s="800"/>
    </row>
    <row r="15" spans="2:20" x14ac:dyDescent="0.25">
      <c r="B15" s="871" t="s">
        <v>596</v>
      </c>
      <c r="C15" s="798"/>
      <c r="D15" s="868">
        <f>Summary!H20+Summary!H16</f>
        <v>2722508418.7604718</v>
      </c>
      <c r="E15" s="800"/>
      <c r="F15" s="800"/>
      <c r="G15" s="800"/>
      <c r="H15" s="800"/>
      <c r="I15" s="800"/>
      <c r="J15" s="800"/>
      <c r="K15" s="800"/>
      <c r="L15" s="800"/>
      <c r="M15" s="800"/>
      <c r="N15" s="800"/>
      <c r="O15" s="800"/>
      <c r="P15" s="800"/>
      <c r="Q15" s="800"/>
      <c r="R15" s="800"/>
      <c r="S15" s="800"/>
      <c r="T15" s="800"/>
    </row>
    <row r="16" spans="2:20" x14ac:dyDescent="0.25">
      <c r="B16" s="871" t="s">
        <v>1455</v>
      </c>
      <c r="C16" s="798"/>
      <c r="D16" s="868">
        <f>D13-D15</f>
        <v>2137974229.8175731</v>
      </c>
      <c r="E16" s="800"/>
      <c r="F16" s="800"/>
      <c r="G16" s="800"/>
      <c r="H16" s="800"/>
      <c r="I16" s="800"/>
      <c r="J16" s="800"/>
      <c r="K16" s="800"/>
      <c r="L16" s="800"/>
      <c r="M16" s="800"/>
      <c r="N16" s="800"/>
      <c r="O16" s="800"/>
      <c r="P16" s="800"/>
      <c r="Q16" s="800"/>
      <c r="R16" s="800"/>
      <c r="S16" s="800"/>
      <c r="T16" s="800"/>
    </row>
    <row r="17" spans="2:23" x14ac:dyDescent="0.25">
      <c r="B17" s="800"/>
      <c r="C17" s="800"/>
      <c r="D17" s="800"/>
      <c r="E17" s="800"/>
      <c r="F17" s="800"/>
      <c r="G17" s="800"/>
      <c r="H17" s="800"/>
      <c r="I17" s="800"/>
      <c r="J17" s="800"/>
      <c r="K17" s="800"/>
      <c r="L17" s="800"/>
      <c r="M17" s="800"/>
      <c r="N17" s="800"/>
      <c r="O17" s="800"/>
      <c r="P17" s="800"/>
      <c r="Q17" s="800"/>
      <c r="R17" s="800"/>
      <c r="S17" s="800"/>
      <c r="T17" s="800"/>
    </row>
    <row r="18" spans="2:23" ht="18.75" x14ac:dyDescent="0.3">
      <c r="B18" s="849" t="s">
        <v>1402</v>
      </c>
      <c r="C18" s="800"/>
      <c r="D18" s="800"/>
      <c r="E18" s="800"/>
      <c r="F18" s="800"/>
      <c r="G18" s="800"/>
      <c r="H18" s="803" t="s">
        <v>1406</v>
      </c>
      <c r="I18" s="803"/>
      <c r="J18" s="847"/>
      <c r="K18" s="800"/>
      <c r="L18" s="800"/>
      <c r="M18" s="800"/>
      <c r="N18" s="800"/>
      <c r="O18" s="800"/>
      <c r="P18" s="800"/>
      <c r="Q18" s="800"/>
      <c r="R18" s="800"/>
      <c r="S18" s="800"/>
      <c r="T18" s="800"/>
    </row>
    <row r="19" spans="2:23" ht="14.1" customHeight="1" x14ac:dyDescent="0.25">
      <c r="B19" s="802"/>
      <c r="C19" s="800"/>
      <c r="D19" s="800"/>
      <c r="E19" s="800"/>
      <c r="F19" s="800"/>
      <c r="G19" s="800"/>
      <c r="H19" s="803"/>
      <c r="I19" s="803"/>
      <c r="J19" s="803"/>
      <c r="K19" s="800"/>
      <c r="L19" s="800"/>
      <c r="M19" s="800"/>
      <c r="N19" s="800"/>
      <c r="O19" s="800"/>
      <c r="P19" s="800"/>
      <c r="Q19" s="800"/>
      <c r="R19" s="800"/>
      <c r="S19" s="800"/>
      <c r="T19" s="800"/>
    </row>
    <row r="20" spans="2:23" x14ac:dyDescent="0.25">
      <c r="B20" s="857" t="s">
        <v>918</v>
      </c>
      <c r="C20" s="800"/>
      <c r="D20" s="800"/>
      <c r="E20" s="974" t="s">
        <v>1757</v>
      </c>
      <c r="F20" s="828"/>
      <c r="G20" s="800"/>
      <c r="H20" s="799">
        <f>'Budget Choices Workings'!$K$17</f>
        <v>355212.51</v>
      </c>
      <c r="I20" s="799"/>
      <c r="J20" s="800"/>
      <c r="K20" s="800"/>
      <c r="L20" s="800"/>
      <c r="M20" s="800"/>
      <c r="N20" s="800"/>
      <c r="O20" s="800"/>
      <c r="P20" s="800"/>
      <c r="Q20" s="800"/>
      <c r="R20" s="800"/>
      <c r="S20" s="800"/>
      <c r="T20" s="800"/>
    </row>
    <row r="21" spans="2:23" hidden="1" x14ac:dyDescent="0.25">
      <c r="B21" s="857"/>
      <c r="C21" s="800"/>
      <c r="D21" s="828"/>
      <c r="E21" s="828"/>
      <c r="F21" s="828"/>
      <c r="G21" s="800"/>
      <c r="H21" s="799"/>
      <c r="I21" s="799"/>
      <c r="J21" s="800"/>
      <c r="K21" s="800"/>
      <c r="L21" s="800"/>
      <c r="M21" s="800"/>
      <c r="N21" s="800"/>
      <c r="O21" s="800"/>
      <c r="P21" s="800"/>
      <c r="Q21" s="800"/>
      <c r="R21" s="800"/>
      <c r="S21" s="800"/>
      <c r="T21" s="800"/>
    </row>
    <row r="22" spans="2:23" x14ac:dyDescent="0.25">
      <c r="B22" s="857" t="s">
        <v>1271</v>
      </c>
      <c r="C22" s="800"/>
      <c r="D22" s="800"/>
      <c r="E22" s="974" t="s">
        <v>1757</v>
      </c>
      <c r="F22" s="828"/>
      <c r="G22" s="800"/>
      <c r="H22" s="799">
        <f>'Budget Choices Workings'!$K$18</f>
        <v>547344.23400000005</v>
      </c>
      <c r="I22" s="799"/>
      <c r="J22" s="800"/>
      <c r="K22" s="800"/>
      <c r="L22" s="800"/>
      <c r="M22" s="800"/>
      <c r="N22" s="800"/>
      <c r="O22" s="800"/>
      <c r="P22" s="800"/>
      <c r="Q22" s="800"/>
      <c r="R22" s="800"/>
      <c r="S22" s="800"/>
      <c r="T22" s="800"/>
    </row>
    <row r="23" spans="2:23" x14ac:dyDescent="0.25">
      <c r="B23" s="857"/>
      <c r="C23" s="800"/>
      <c r="D23" s="800"/>
      <c r="E23" s="828"/>
      <c r="F23" s="828"/>
      <c r="G23" s="800"/>
      <c r="H23" s="799"/>
      <c r="I23" s="799"/>
      <c r="J23" s="800"/>
      <c r="K23" s="800"/>
      <c r="L23" s="800"/>
      <c r="M23" s="800"/>
      <c r="N23" s="800"/>
      <c r="O23" s="800"/>
      <c r="P23" s="800"/>
      <c r="Q23" s="800"/>
      <c r="R23" s="800"/>
      <c r="S23" s="800"/>
      <c r="T23" s="800"/>
    </row>
    <row r="24" spans="2:23" ht="18.75" x14ac:dyDescent="0.3">
      <c r="B24" s="873" t="s">
        <v>1462</v>
      </c>
      <c r="C24" s="800"/>
      <c r="D24" s="800"/>
      <c r="E24" s="828"/>
      <c r="F24" s="828"/>
      <c r="G24" s="800"/>
      <c r="H24" s="799"/>
      <c r="I24" s="799"/>
      <c r="J24" s="800"/>
      <c r="K24" s="800"/>
      <c r="L24" s="800"/>
      <c r="M24" s="800"/>
      <c r="N24" s="800"/>
      <c r="O24" s="800"/>
      <c r="P24" s="800"/>
      <c r="Q24" s="800"/>
      <c r="R24" s="800"/>
      <c r="S24" s="800"/>
      <c r="T24" s="800"/>
    </row>
    <row r="25" spans="2:23" x14ac:dyDescent="0.25">
      <c r="B25" s="857" t="s">
        <v>1688</v>
      </c>
      <c r="C25" s="800"/>
      <c r="D25" s="803" t="s">
        <v>1414</v>
      </c>
      <c r="E25" s="803" t="s">
        <v>1415</v>
      </c>
      <c r="F25" s="828"/>
      <c r="G25" s="800"/>
      <c r="H25" s="800" t="s">
        <v>1534</v>
      </c>
      <c r="I25" s="799"/>
      <c r="J25" s="800" t="s">
        <v>1696</v>
      </c>
      <c r="K25" s="800"/>
      <c r="L25" s="953" t="s">
        <v>1697</v>
      </c>
      <c r="M25" s="800"/>
      <c r="N25" s="800"/>
      <c r="O25" s="800"/>
      <c r="P25" s="800"/>
      <c r="Q25" s="800"/>
      <c r="R25" s="800"/>
      <c r="S25" s="800"/>
      <c r="T25" s="800"/>
    </row>
    <row r="26" spans="2:23" ht="34.5" customHeight="1" x14ac:dyDescent="0.25">
      <c r="B26" s="859" t="s">
        <v>1689</v>
      </c>
      <c r="C26" s="800"/>
      <c r="D26" s="831">
        <f>PDOH!H157*100</f>
        <v>85</v>
      </c>
      <c r="E26" s="975">
        <v>85</v>
      </c>
      <c r="F26" s="828"/>
      <c r="G26" s="800"/>
      <c r="H26" s="826">
        <f>PDOH!X463</f>
        <v>238251.32277184725</v>
      </c>
      <c r="I26" s="799"/>
      <c r="J26" s="952">
        <f>PDOH!AC461</f>
        <v>0</v>
      </c>
      <c r="K26" s="800"/>
      <c r="L26" s="952">
        <f>PDOH!AC462</f>
        <v>0</v>
      </c>
      <c r="M26" s="852"/>
      <c r="N26" s="800"/>
      <c r="O26" s="800"/>
      <c r="P26" s="800"/>
      <c r="Q26" s="800"/>
      <c r="R26" s="800"/>
      <c r="S26" s="800"/>
      <c r="T26" s="800"/>
    </row>
    <row r="27" spans="2:23" ht="34.5" customHeight="1" x14ac:dyDescent="0.25">
      <c r="B27" s="957" t="s">
        <v>1702</v>
      </c>
      <c r="C27" s="800"/>
      <c r="D27" s="831"/>
      <c r="E27" s="828"/>
      <c r="F27" s="828"/>
      <c r="G27" s="800"/>
      <c r="H27" s="826" t="s">
        <v>1704</v>
      </c>
      <c r="I27" s="799"/>
      <c r="J27" s="958" t="s">
        <v>1705</v>
      </c>
      <c r="K27" s="800"/>
      <c r="L27" s="952"/>
      <c r="M27" s="852"/>
      <c r="N27" s="800"/>
      <c r="O27" s="800"/>
      <c r="P27" s="800"/>
      <c r="Q27" s="800"/>
      <c r="R27" s="800"/>
      <c r="S27" s="800"/>
      <c r="T27" s="800"/>
      <c r="W27" s="789">
        <f>IF(E28="No",1,0)</f>
        <v>1</v>
      </c>
    </row>
    <row r="28" spans="2:23" x14ac:dyDescent="0.25">
      <c r="B28" s="859" t="s">
        <v>1703</v>
      </c>
      <c r="C28" s="800"/>
      <c r="D28" s="831"/>
      <c r="E28" s="974" t="s">
        <v>721</v>
      </c>
      <c r="F28" s="828"/>
      <c r="G28" s="800"/>
      <c r="H28" s="799">
        <f>PDOH!M473</f>
        <v>0</v>
      </c>
      <c r="I28" s="800"/>
      <c r="J28" s="799">
        <f>PDOH!M472</f>
        <v>0</v>
      </c>
      <c r="K28" s="800"/>
      <c r="L28" s="952"/>
      <c r="M28" s="852"/>
      <c r="N28" s="800"/>
      <c r="O28" s="800"/>
      <c r="P28" s="800"/>
      <c r="Q28" s="800"/>
      <c r="R28" s="800"/>
      <c r="S28" s="800"/>
      <c r="T28" s="800"/>
    </row>
    <row r="29" spans="2:23" ht="24" customHeight="1" x14ac:dyDescent="0.25">
      <c r="B29" s="859" t="s">
        <v>1711</v>
      </c>
      <c r="C29" s="800"/>
      <c r="D29" s="831"/>
      <c r="E29" s="975">
        <v>3</v>
      </c>
      <c r="F29" s="828"/>
      <c r="G29" s="800"/>
      <c r="H29" s="826" t="s">
        <v>1706</v>
      </c>
      <c r="I29" s="799"/>
      <c r="J29" s="952"/>
      <c r="K29" s="800"/>
      <c r="L29" s="952"/>
      <c r="M29" s="852"/>
      <c r="N29" s="800"/>
      <c r="O29" s="800"/>
      <c r="P29" s="800"/>
      <c r="Q29" s="800"/>
      <c r="R29" s="800"/>
      <c r="S29" s="800"/>
      <c r="T29" s="800"/>
    </row>
    <row r="30" spans="2:23" ht="15.75" customHeight="1" x14ac:dyDescent="0.25">
      <c r="B30" s="859"/>
      <c r="C30" s="800"/>
      <c r="D30" s="831"/>
      <c r="E30" s="828"/>
      <c r="F30" s="828"/>
      <c r="G30" s="800"/>
      <c r="H30" s="960">
        <f>IF(E28="No",0,PDOH!M474)</f>
        <v>0</v>
      </c>
      <c r="I30" s="799"/>
      <c r="J30" s="952"/>
      <c r="K30" s="800"/>
      <c r="L30" s="952"/>
      <c r="M30" s="852"/>
      <c r="N30" s="800"/>
      <c r="O30" s="800"/>
      <c r="P30" s="800"/>
      <c r="Q30" s="800"/>
      <c r="R30" s="800"/>
      <c r="S30" s="800"/>
      <c r="T30" s="800"/>
    </row>
    <row r="31" spans="2:23" ht="19.5" customHeight="1" x14ac:dyDescent="0.25">
      <c r="B31" s="859"/>
      <c r="C31" s="800"/>
      <c r="D31" s="831"/>
      <c r="E31" s="828"/>
      <c r="F31" s="828"/>
      <c r="G31" s="800"/>
      <c r="H31" s="960"/>
      <c r="I31" s="799"/>
      <c r="J31" s="952"/>
      <c r="K31" s="800"/>
      <c r="L31" s="952"/>
      <c r="M31" s="852"/>
      <c r="N31" s="800"/>
      <c r="O31" s="800"/>
      <c r="P31" s="800"/>
      <c r="Q31" s="800"/>
      <c r="R31" s="800"/>
      <c r="S31" s="800"/>
      <c r="T31" s="800"/>
    </row>
    <row r="32" spans="2:23" ht="17.25" customHeight="1" x14ac:dyDescent="0.25">
      <c r="B32" s="860" t="s">
        <v>1744</v>
      </c>
      <c r="C32" s="800"/>
      <c r="D32" s="803"/>
      <c r="E32" s="803"/>
      <c r="F32" s="828"/>
      <c r="G32" s="800"/>
      <c r="H32" s="799">
        <f>PDOH!H446</f>
        <v>44892763.264582746</v>
      </c>
      <c r="I32" s="799"/>
      <c r="J32" s="952"/>
      <c r="K32" s="800"/>
      <c r="L32" s="952"/>
      <c r="M32" s="852"/>
      <c r="N32" s="800"/>
      <c r="O32" s="800"/>
      <c r="P32" s="800"/>
      <c r="Q32" s="800"/>
      <c r="R32" s="800"/>
      <c r="S32" s="800"/>
      <c r="T32" s="800"/>
    </row>
    <row r="33" spans="2:20" ht="17.25" customHeight="1" x14ac:dyDescent="0.25">
      <c r="B33" s="800"/>
      <c r="C33" s="800"/>
      <c r="D33" s="800"/>
      <c r="E33" s="985" t="s">
        <v>1745</v>
      </c>
      <c r="F33" s="800"/>
      <c r="G33" s="800"/>
      <c r="H33" s="799"/>
      <c r="I33" s="799"/>
      <c r="J33" s="800"/>
      <c r="K33" s="800"/>
      <c r="L33" s="800"/>
      <c r="M33" s="800"/>
      <c r="N33" s="800"/>
      <c r="O33" s="800"/>
      <c r="P33" s="800"/>
      <c r="Q33" s="800"/>
      <c r="R33" s="800"/>
      <c r="S33" s="800"/>
      <c r="T33" s="800"/>
    </row>
    <row r="34" spans="2:20" x14ac:dyDescent="0.25">
      <c r="B34" s="860"/>
      <c r="C34" s="800"/>
      <c r="D34" s="800"/>
      <c r="E34" s="828"/>
      <c r="F34" s="828"/>
      <c r="G34" s="800"/>
      <c r="H34" s="799"/>
      <c r="I34" s="799"/>
      <c r="J34" s="800"/>
      <c r="K34" s="800"/>
      <c r="L34" s="800"/>
      <c r="M34" s="800"/>
      <c r="N34" s="800"/>
      <c r="O34" s="800"/>
      <c r="P34" s="800"/>
      <c r="Q34" s="800"/>
      <c r="R34" s="800"/>
      <c r="S34" s="800"/>
      <c r="T34" s="800"/>
    </row>
    <row r="35" spans="2:20" ht="14.1" customHeight="1" x14ac:dyDescent="0.25">
      <c r="B35" s="857"/>
      <c r="C35" s="800"/>
      <c r="D35" s="800"/>
      <c r="E35" s="800"/>
      <c r="F35" s="800"/>
      <c r="G35" s="800"/>
      <c r="H35" s="799"/>
      <c r="I35" s="799"/>
      <c r="J35" s="800"/>
      <c r="K35" s="800"/>
      <c r="L35" s="800"/>
      <c r="M35" s="800"/>
      <c r="N35" s="800"/>
      <c r="O35" s="800"/>
      <c r="P35" s="800"/>
      <c r="Q35" s="800"/>
      <c r="R35" s="800"/>
      <c r="S35" s="800"/>
      <c r="T35" s="800"/>
    </row>
    <row r="36" spans="2:20" x14ac:dyDescent="0.25">
      <c r="B36" s="857" t="s">
        <v>1403</v>
      </c>
      <c r="C36" s="800"/>
      <c r="D36" s="803" t="s">
        <v>1414</v>
      </c>
      <c r="E36" s="803" t="s">
        <v>1415</v>
      </c>
      <c r="F36" s="803"/>
      <c r="G36" s="800"/>
      <c r="H36" s="800" t="s">
        <v>1534</v>
      </c>
      <c r="I36" s="799"/>
      <c r="J36" s="800" t="s">
        <v>1492</v>
      </c>
      <c r="K36" s="800"/>
      <c r="L36" s="800"/>
      <c r="M36" s="800"/>
      <c r="N36" s="800"/>
      <c r="O36" s="800"/>
      <c r="P36" s="800"/>
      <c r="Q36" s="800"/>
      <c r="R36" s="800"/>
      <c r="S36" s="800"/>
      <c r="T36" s="800"/>
    </row>
    <row r="37" spans="2:20" ht="35.1" customHeight="1" x14ac:dyDescent="0.25">
      <c r="B37" s="859" t="s">
        <v>1392</v>
      </c>
      <c r="C37" s="824"/>
      <c r="D37" s="831">
        <f>PDOH!H29*100</f>
        <v>83.484903139568175</v>
      </c>
      <c r="E37" s="975">
        <f>D37</f>
        <v>83.484903139568175</v>
      </c>
      <c r="F37" s="829"/>
      <c r="G37" s="825"/>
      <c r="H37" s="826">
        <f>PDOH!Z452</f>
        <v>0</v>
      </c>
      <c r="I37" s="826"/>
      <c r="J37" s="852" t="str">
        <f>IF(E37&lt;D37,'Budget Choices Workings'!M22,IF(E37=D37,"",IF(E37&gt;D37,ABS('Budget Choices Workings'!M22))))</f>
        <v/>
      </c>
      <c r="K37" s="800"/>
      <c r="L37" s="800"/>
      <c r="M37" s="800"/>
      <c r="N37" s="800"/>
      <c r="O37" s="800"/>
      <c r="P37" s="800"/>
      <c r="Q37" s="800"/>
      <c r="R37" s="800"/>
      <c r="S37" s="800"/>
      <c r="T37" s="800"/>
    </row>
    <row r="38" spans="2:20" ht="35.1" customHeight="1" x14ac:dyDescent="0.25">
      <c r="B38" s="859" t="s">
        <v>47</v>
      </c>
      <c r="C38" s="824"/>
      <c r="D38" s="831">
        <f>PDOH!H29*100</f>
        <v>83.484903139568175</v>
      </c>
      <c r="E38" s="975">
        <f>D38</f>
        <v>83.484903139568175</v>
      </c>
      <c r="F38" s="829"/>
      <c r="G38" s="825"/>
      <c r="H38" s="826">
        <f>'Budget Choices Workings'!$K$24</f>
        <v>0</v>
      </c>
      <c r="I38" s="826"/>
      <c r="J38" s="852">
        <f>IF(E38&lt;68,'Budget Choices Workings'!M24,'Budget Choices Workings'!M24)</f>
        <v>0</v>
      </c>
      <c r="K38" s="800"/>
      <c r="L38" s="800"/>
      <c r="M38" s="800"/>
      <c r="N38" s="800"/>
      <c r="O38" s="800"/>
      <c r="P38" s="800"/>
      <c r="Q38" s="800"/>
      <c r="R38" s="800"/>
      <c r="S38" s="800"/>
      <c r="T38" s="800"/>
    </row>
    <row r="39" spans="2:20" ht="35.1" customHeight="1" x14ac:dyDescent="0.25">
      <c r="B39" s="859" t="s">
        <v>46</v>
      </c>
      <c r="C39" s="824"/>
      <c r="D39" s="831">
        <f>PDOH!H29*100</f>
        <v>83.484903139568175</v>
      </c>
      <c r="E39" s="975">
        <f>D39</f>
        <v>83.484903139568175</v>
      </c>
      <c r="F39" s="829"/>
      <c r="G39" s="825"/>
      <c r="H39" s="826">
        <f>'Budget Choices Workings'!$K$25</f>
        <v>0</v>
      </c>
      <c r="I39" s="826"/>
      <c r="J39" s="852">
        <f>IF(E39&lt;68,'Budget Choices Workings'!M25,'Budget Choices Workings'!M25)</f>
        <v>0</v>
      </c>
      <c r="K39" s="800"/>
      <c r="L39" s="800"/>
      <c r="M39" s="800"/>
      <c r="N39" s="800"/>
      <c r="O39" s="800"/>
      <c r="P39" s="800"/>
      <c r="Q39" s="800"/>
      <c r="R39" s="800"/>
      <c r="S39" s="800"/>
      <c r="T39" s="800"/>
    </row>
    <row r="40" spans="2:20" ht="17.25" customHeight="1" x14ac:dyDescent="0.25">
      <c r="B40" s="860"/>
      <c r="C40" s="804"/>
      <c r="D40" s="805"/>
      <c r="E40" s="800"/>
      <c r="F40" s="800"/>
      <c r="G40" s="800"/>
      <c r="H40" s="799"/>
      <c r="I40" s="799"/>
      <c r="J40" s="847"/>
      <c r="K40" s="800"/>
      <c r="L40" s="800"/>
      <c r="M40" s="800"/>
      <c r="N40" s="800"/>
      <c r="O40" s="800"/>
      <c r="P40" s="800"/>
      <c r="Q40" s="800"/>
      <c r="R40" s="800"/>
      <c r="S40" s="800"/>
      <c r="T40" s="800"/>
    </row>
    <row r="41" spans="2:20" x14ac:dyDescent="0.25">
      <c r="B41" s="861" t="s">
        <v>1266</v>
      </c>
      <c r="C41" s="804"/>
      <c r="D41" s="800"/>
      <c r="E41" s="976" t="s">
        <v>1448</v>
      </c>
      <c r="F41" s="830"/>
      <c r="G41" s="800"/>
      <c r="H41" s="799">
        <f>'Budget Choices Workings'!$K$26</f>
        <v>0</v>
      </c>
      <c r="I41" s="799"/>
      <c r="J41" s="847"/>
      <c r="K41" s="800"/>
      <c r="L41" s="800"/>
      <c r="M41" s="800"/>
      <c r="N41" s="800"/>
      <c r="O41" s="800"/>
      <c r="P41" s="800"/>
      <c r="Q41" s="800"/>
      <c r="R41" s="800"/>
      <c r="S41" s="800"/>
      <c r="T41" s="800"/>
    </row>
    <row r="42" spans="2:20" hidden="1" x14ac:dyDescent="0.25">
      <c r="B42" s="861"/>
      <c r="C42" s="804"/>
      <c r="D42" s="800"/>
      <c r="E42" s="977"/>
      <c r="F42" s="830"/>
      <c r="G42" s="800"/>
      <c r="H42" s="799"/>
      <c r="I42" s="799"/>
      <c r="J42" s="847"/>
      <c r="K42" s="800"/>
      <c r="L42" s="800"/>
      <c r="M42" s="800"/>
      <c r="N42" s="800"/>
      <c r="O42" s="800"/>
      <c r="P42" s="800"/>
      <c r="Q42" s="800"/>
      <c r="R42" s="800"/>
      <c r="S42" s="800"/>
      <c r="T42" s="800"/>
    </row>
    <row r="43" spans="2:20" x14ac:dyDescent="0.25">
      <c r="B43" s="861" t="s">
        <v>1250</v>
      </c>
      <c r="C43" s="804"/>
      <c r="D43" s="800"/>
      <c r="E43" s="976" t="s">
        <v>1448</v>
      </c>
      <c r="F43" s="830"/>
      <c r="G43" s="800"/>
      <c r="H43" s="799">
        <f>'Budget Choices Workings'!$K$27</f>
        <v>0</v>
      </c>
      <c r="I43" s="799"/>
      <c r="J43" s="847"/>
      <c r="K43" s="800"/>
      <c r="L43" s="800"/>
      <c r="M43" s="800"/>
      <c r="N43" s="800"/>
      <c r="O43" s="800"/>
      <c r="P43" s="800"/>
      <c r="Q43" s="800"/>
      <c r="R43" s="800"/>
      <c r="S43" s="800"/>
      <c r="T43" s="800"/>
    </row>
    <row r="44" spans="2:20" ht="14.1" customHeight="1" x14ac:dyDescent="0.25">
      <c r="B44" s="857"/>
      <c r="C44" s="800"/>
      <c r="D44" s="800"/>
      <c r="E44" s="800"/>
      <c r="F44" s="800"/>
      <c r="G44" s="800"/>
      <c r="H44" s="799"/>
      <c r="I44" s="799"/>
      <c r="J44" s="847"/>
      <c r="K44" s="800"/>
      <c r="L44" s="800"/>
      <c r="M44" s="800"/>
      <c r="N44" s="800"/>
      <c r="O44" s="800"/>
      <c r="P44" s="800"/>
      <c r="Q44" s="800"/>
      <c r="R44" s="800"/>
      <c r="S44" s="800"/>
      <c r="T44" s="800"/>
    </row>
    <row r="45" spans="2:20" ht="27" customHeight="1" x14ac:dyDescent="0.25">
      <c r="B45" s="858" t="s">
        <v>1399</v>
      </c>
      <c r="C45" s="800"/>
      <c r="D45" s="803" t="s">
        <v>1414</v>
      </c>
      <c r="E45" s="803" t="s">
        <v>1415</v>
      </c>
      <c r="F45" s="803"/>
      <c r="G45" s="800"/>
      <c r="H45" s="800" t="s">
        <v>1534</v>
      </c>
      <c r="I45" s="799"/>
      <c r="J45" s="847" t="s">
        <v>1495</v>
      </c>
      <c r="K45" s="800"/>
      <c r="L45" s="800"/>
      <c r="M45" s="800"/>
      <c r="N45" s="800"/>
      <c r="O45" s="800"/>
      <c r="P45" s="800"/>
      <c r="Q45" s="800"/>
      <c r="R45" s="800"/>
      <c r="S45" s="800"/>
      <c r="T45" s="800"/>
    </row>
    <row r="46" spans="2:20" ht="35.1" customHeight="1" x14ac:dyDescent="0.25">
      <c r="B46" s="859" t="s">
        <v>833</v>
      </c>
      <c r="C46" s="824"/>
      <c r="D46" s="827">
        <v>100</v>
      </c>
      <c r="E46" s="978">
        <v>100</v>
      </c>
      <c r="F46" s="829"/>
      <c r="G46" s="825"/>
      <c r="H46" s="826">
        <f>IF(E46=80,"",'Budget Choices Workings'!$K$29)</f>
        <v>0</v>
      </c>
      <c r="I46" s="826"/>
      <c r="J46" s="888">
        <f>IF('Budget Choices Workings'!AO92&gt;0,'Budget Choices Workings'!AO92,'Budget Choices Workings'!AP92)</f>
        <v>0</v>
      </c>
      <c r="K46" s="800"/>
      <c r="L46" s="800"/>
      <c r="M46" s="800"/>
      <c r="N46" s="800"/>
      <c r="O46" s="800"/>
      <c r="P46" s="800"/>
      <c r="Q46" s="800"/>
      <c r="R46" s="800"/>
      <c r="S46" s="800"/>
      <c r="T46" s="800"/>
    </row>
    <row r="47" spans="2:20" ht="35.1" customHeight="1" x14ac:dyDescent="0.25">
      <c r="B47" s="859" t="s">
        <v>1442</v>
      </c>
      <c r="C47" s="824"/>
      <c r="D47" s="827">
        <v>100</v>
      </c>
      <c r="E47" s="978">
        <v>100</v>
      </c>
      <c r="F47" s="829"/>
      <c r="G47" s="825"/>
      <c r="H47" s="826">
        <f>IF(E47=80,"",'Budget Choices Workings'!$K$30)</f>
        <v>0</v>
      </c>
      <c r="I47" s="826"/>
      <c r="J47" s="888">
        <f>IF('Budget Choices Workings'!AO91&gt;0,'Budget Choices Workings'!AO91,'Budget Choices Workings'!AP91)</f>
        <v>0</v>
      </c>
      <c r="K47" s="800"/>
      <c r="L47" s="800"/>
      <c r="M47" s="843"/>
      <c r="N47" s="800"/>
      <c r="O47" s="800"/>
      <c r="P47" s="800"/>
      <c r="Q47" s="800"/>
      <c r="R47" s="800"/>
      <c r="S47" s="800"/>
      <c r="T47" s="800"/>
    </row>
    <row r="48" spans="2:20" ht="35.1" customHeight="1" x14ac:dyDescent="0.25">
      <c r="B48" s="859" t="s">
        <v>1443</v>
      </c>
      <c r="C48" s="824"/>
      <c r="D48" s="827">
        <v>100</v>
      </c>
      <c r="E48" s="978">
        <v>100</v>
      </c>
      <c r="F48" s="829"/>
      <c r="G48" s="825"/>
      <c r="H48" s="826">
        <f>IF(E48=80,"",'Budget Choices Workings'!$K$31)</f>
        <v>0</v>
      </c>
      <c r="I48" s="826"/>
      <c r="J48" s="888">
        <f>IF('Budget Choices Workings'!AO90&gt;0,'Budget Choices Workings'!AO90,'Budget Choices Workings'!AP90)</f>
        <v>0</v>
      </c>
      <c r="K48" s="800"/>
      <c r="L48" s="800"/>
      <c r="M48" s="800"/>
      <c r="N48" s="800"/>
      <c r="O48" s="800"/>
      <c r="P48" s="800"/>
      <c r="Q48" s="800"/>
      <c r="R48" s="800"/>
      <c r="S48" s="800"/>
      <c r="T48" s="800"/>
    </row>
    <row r="49" spans="2:20" ht="35.1" customHeight="1" x14ac:dyDescent="0.25">
      <c r="B49" s="859"/>
      <c r="C49" s="824"/>
      <c r="D49" s="827"/>
      <c r="E49" s="829"/>
      <c r="F49" s="829"/>
      <c r="G49" s="825"/>
      <c r="H49" s="826"/>
      <c r="I49" s="826"/>
      <c r="J49" s="846"/>
      <c r="K49" s="800"/>
      <c r="L49" s="800"/>
      <c r="M49" s="800"/>
      <c r="N49" s="800"/>
      <c r="O49" s="800"/>
      <c r="P49" s="800"/>
      <c r="Q49" s="800"/>
      <c r="R49" s="800"/>
      <c r="S49" s="800"/>
      <c r="T49" s="800"/>
    </row>
    <row r="50" spans="2:20" ht="35.1" customHeight="1" x14ac:dyDescent="0.3">
      <c r="B50" s="873" t="s">
        <v>1464</v>
      </c>
      <c r="C50" s="824"/>
      <c r="D50" s="827"/>
      <c r="E50" s="829"/>
      <c r="F50" s="829"/>
      <c r="G50" s="825"/>
      <c r="H50" s="826"/>
      <c r="I50" s="826"/>
      <c r="J50" s="846"/>
      <c r="K50" s="800"/>
      <c r="L50" s="800"/>
      <c r="M50" s="800"/>
      <c r="N50" s="800"/>
      <c r="O50" s="800"/>
      <c r="P50" s="800"/>
      <c r="Q50" s="800"/>
      <c r="R50" s="800"/>
      <c r="S50" s="800"/>
      <c r="T50" s="800"/>
    </row>
    <row r="51" spans="2:20" ht="18.75" customHeight="1" x14ac:dyDescent="0.25">
      <c r="B51" s="856"/>
      <c r="C51" s="800"/>
      <c r="D51" s="800"/>
      <c r="E51" s="800"/>
      <c r="F51" s="800"/>
      <c r="G51" s="800"/>
      <c r="H51" s="799"/>
      <c r="I51" s="799"/>
      <c r="J51" s="847"/>
      <c r="K51" s="800"/>
      <c r="L51" s="800"/>
      <c r="M51" s="800"/>
      <c r="N51" s="800"/>
      <c r="O51" s="800"/>
      <c r="P51" s="800"/>
      <c r="Q51" s="800"/>
      <c r="R51" s="800"/>
      <c r="S51" s="800"/>
      <c r="T51" s="800"/>
    </row>
    <row r="52" spans="2:20" x14ac:dyDescent="0.25">
      <c r="B52" s="857" t="s">
        <v>1439</v>
      </c>
      <c r="C52" s="800"/>
      <c r="D52" s="803" t="s">
        <v>1414</v>
      </c>
      <c r="E52" s="803" t="s">
        <v>1415</v>
      </c>
      <c r="F52" s="803"/>
      <c r="G52" s="800"/>
      <c r="H52" s="800" t="s">
        <v>1534</v>
      </c>
      <c r="I52" s="799"/>
      <c r="J52" s="800" t="s">
        <v>1492</v>
      </c>
      <c r="K52" s="800"/>
      <c r="L52" s="800"/>
      <c r="M52" s="800"/>
      <c r="N52" s="800"/>
      <c r="O52" s="800"/>
      <c r="P52" s="800"/>
      <c r="Q52" s="800"/>
      <c r="R52" s="800"/>
      <c r="S52" s="800"/>
      <c r="T52" s="800"/>
    </row>
    <row r="53" spans="2:20" ht="35.1" customHeight="1" x14ac:dyDescent="0.25">
      <c r="B53" s="859" t="s">
        <v>1111</v>
      </c>
      <c r="C53" s="825"/>
      <c r="D53" s="827">
        <f>'Acute Prevalence'!C29*100</f>
        <v>100</v>
      </c>
      <c r="E53" s="978">
        <v>100</v>
      </c>
      <c r="F53" s="829"/>
      <c r="G53" s="825"/>
      <c r="H53" s="826">
        <f>'Budget Choices Workings'!$K$34</f>
        <v>0</v>
      </c>
      <c r="I53" s="826"/>
      <c r="J53" s="883">
        <f>IF('Budget Choices Workings'!$AP$97&gt;0,'Budget Choices Workings'!$AP$97,'Budget Choices Workings'!$AO$97)</f>
        <v>0</v>
      </c>
      <c r="K53" s="800"/>
      <c r="L53" s="800"/>
      <c r="M53" s="800"/>
      <c r="N53" s="800"/>
      <c r="O53" s="800"/>
      <c r="P53" s="800"/>
      <c r="Q53" s="800"/>
      <c r="R53" s="800"/>
      <c r="S53" s="800"/>
      <c r="T53" s="800"/>
    </row>
    <row r="54" spans="2:20" ht="35.1" customHeight="1" x14ac:dyDescent="0.25">
      <c r="B54" s="862" t="s">
        <v>1440</v>
      </c>
      <c r="C54" s="825"/>
      <c r="D54" s="827">
        <f>D53</f>
        <v>100</v>
      </c>
      <c r="E54" s="978">
        <v>100</v>
      </c>
      <c r="F54" s="829"/>
      <c r="G54" s="825"/>
      <c r="H54" s="826">
        <f>'Budget Choices Workings'!$K$35</f>
        <v>0</v>
      </c>
      <c r="I54" s="826"/>
      <c r="J54" s="883">
        <f>IF('Budget Choices Workings'!$AP$96&gt;0,'Budget Choices Workings'!$AP$96,'Budget Choices Workings'!$AO$96)</f>
        <v>0</v>
      </c>
      <c r="K54" s="800"/>
      <c r="L54" s="800"/>
      <c r="M54" s="800"/>
      <c r="N54" s="800"/>
      <c r="O54" s="800"/>
      <c r="P54" s="800"/>
      <c r="Q54" s="800"/>
      <c r="R54" s="800"/>
      <c r="S54" s="800"/>
      <c r="T54" s="800"/>
    </row>
    <row r="55" spans="2:20" ht="35.1" customHeight="1" x14ac:dyDescent="0.25">
      <c r="B55" s="862" t="s">
        <v>1441</v>
      </c>
      <c r="C55" s="825"/>
      <c r="D55" s="827">
        <f>D53</f>
        <v>100</v>
      </c>
      <c r="E55" s="978">
        <v>100</v>
      </c>
      <c r="F55" s="829"/>
      <c r="G55" s="825"/>
      <c r="H55" s="826">
        <f>'Budget Choices Workings'!$K$36</f>
        <v>0</v>
      </c>
      <c r="I55" s="826"/>
      <c r="J55" s="883">
        <f>IF('Budget Choices Workings'!$AP$95&gt;0,'Budget Choices Workings'!$AP$95,'Budget Choices Workings'!$AO$95)</f>
        <v>0</v>
      </c>
      <c r="K55" s="800"/>
      <c r="L55" s="800"/>
      <c r="M55" s="800"/>
      <c r="N55" s="800"/>
      <c r="O55" s="800"/>
      <c r="P55" s="800"/>
      <c r="Q55" s="800"/>
      <c r="R55" s="800"/>
      <c r="S55" s="800"/>
      <c r="T55" s="800"/>
    </row>
    <row r="56" spans="2:20" ht="14.1" customHeight="1" x14ac:dyDescent="0.25">
      <c r="B56" s="806"/>
      <c r="C56" s="807"/>
      <c r="D56" s="807"/>
      <c r="E56" s="807"/>
      <c r="F56" s="807"/>
      <c r="G56" s="807"/>
      <c r="H56" s="807"/>
      <c r="I56" s="807"/>
      <c r="J56" s="807"/>
      <c r="K56" s="807"/>
      <c r="L56" s="807"/>
      <c r="M56" s="807"/>
      <c r="N56" s="807"/>
      <c r="O56" s="807"/>
      <c r="P56" s="807"/>
      <c r="Q56" s="807"/>
      <c r="R56" s="807"/>
      <c r="S56" s="807"/>
      <c r="T56" s="807"/>
    </row>
    <row r="57" spans="2:20" ht="6.95" customHeight="1" x14ac:dyDescent="0.25">
      <c r="D57" s="792"/>
      <c r="E57" s="792"/>
      <c r="F57" s="792"/>
      <c r="G57" s="792"/>
    </row>
    <row r="58" spans="2:20" ht="18.75" x14ac:dyDescent="0.3">
      <c r="B58" s="851" t="s">
        <v>1401</v>
      </c>
      <c r="C58" s="808"/>
      <c r="D58" s="808"/>
      <c r="E58" s="808"/>
      <c r="F58" s="808"/>
      <c r="G58" s="808"/>
      <c r="H58" s="808"/>
      <c r="I58" s="808"/>
      <c r="J58" s="808"/>
      <c r="K58" s="808"/>
      <c r="L58" s="808"/>
      <c r="M58" s="808"/>
      <c r="N58" s="808"/>
      <c r="O58" s="808"/>
      <c r="P58" s="808"/>
      <c r="Q58" s="808"/>
      <c r="R58" s="808"/>
      <c r="S58" s="808"/>
      <c r="T58" s="808"/>
    </row>
    <row r="59" spans="2:20" x14ac:dyDescent="0.25">
      <c r="B59" s="790" t="s">
        <v>1395</v>
      </c>
      <c r="C59" s="809"/>
      <c r="D59" s="810">
        <f>PDSD!H4+PDSD!H5+PDSD!H9</f>
        <v>5258284668.4109869</v>
      </c>
      <c r="E59" s="874" t="s">
        <v>1467</v>
      </c>
      <c r="F59" s="811"/>
      <c r="G59" s="811"/>
      <c r="H59" s="811"/>
      <c r="I59" s="811"/>
      <c r="J59" s="811"/>
      <c r="K59" s="811"/>
      <c r="L59" s="811"/>
      <c r="M59" s="811"/>
      <c r="N59" s="811"/>
      <c r="O59" s="811"/>
      <c r="P59" s="811"/>
      <c r="Q59" s="811"/>
      <c r="R59" s="811"/>
      <c r="S59" s="811"/>
      <c r="T59" s="811"/>
    </row>
    <row r="60" spans="2:20" x14ac:dyDescent="0.25">
      <c r="B60" s="790" t="s">
        <v>1396</v>
      </c>
      <c r="C60" s="809"/>
      <c r="D60" s="810">
        <f>'Budget Choices Workings'!D41</f>
        <v>4446720829.4651117</v>
      </c>
      <c r="E60" s="811"/>
      <c r="F60" s="811"/>
      <c r="G60" s="811"/>
      <c r="H60" s="811"/>
      <c r="I60" s="811"/>
      <c r="J60" s="811"/>
      <c r="K60" s="811"/>
      <c r="L60" s="811"/>
      <c r="M60" s="811"/>
      <c r="N60" s="811"/>
      <c r="O60" s="811"/>
      <c r="P60" s="811"/>
      <c r="Q60" s="811"/>
      <c r="R60" s="811"/>
      <c r="S60" s="811"/>
      <c r="T60" s="811"/>
    </row>
    <row r="61" spans="2:20" x14ac:dyDescent="0.25">
      <c r="B61" s="869" t="s">
        <v>1457</v>
      </c>
      <c r="C61" s="809"/>
      <c r="D61" s="810">
        <f>PDSD!M7</f>
        <v>2228265461.2294183</v>
      </c>
      <c r="E61" s="811"/>
      <c r="F61" s="811"/>
      <c r="G61" s="811"/>
      <c r="H61" s="811"/>
      <c r="I61" s="811"/>
      <c r="J61" s="811"/>
      <c r="K61" s="811"/>
      <c r="L61" s="811"/>
      <c r="M61" s="811"/>
      <c r="N61" s="811"/>
      <c r="O61" s="811"/>
      <c r="P61" s="811"/>
      <c r="Q61" s="811"/>
      <c r="R61" s="811"/>
      <c r="S61" s="811"/>
      <c r="T61" s="811"/>
    </row>
    <row r="62" spans="2:20" x14ac:dyDescent="0.25">
      <c r="B62" s="790" t="s">
        <v>1397</v>
      </c>
      <c r="C62" s="809"/>
      <c r="D62" s="973">
        <v>2200000000</v>
      </c>
      <c r="E62" s="811"/>
      <c r="F62" s="811"/>
      <c r="G62" s="811"/>
      <c r="H62" s="811"/>
      <c r="I62" s="811"/>
      <c r="J62" s="811"/>
      <c r="K62" s="811"/>
      <c r="L62" s="811"/>
      <c r="M62" s="811"/>
      <c r="N62" s="811"/>
      <c r="O62" s="811"/>
      <c r="P62" s="811"/>
      <c r="Q62" s="811"/>
      <c r="R62" s="811"/>
      <c r="S62" s="811"/>
      <c r="T62" s="811"/>
    </row>
    <row r="63" spans="2:20" x14ac:dyDescent="0.25">
      <c r="B63" s="790" t="s">
        <v>1288</v>
      </c>
      <c r="C63" s="809"/>
      <c r="D63" s="810">
        <f>'Budget Choices Workings'!D45</f>
        <v>3058396059.3409872</v>
      </c>
      <c r="E63" s="811"/>
      <c r="F63" s="811"/>
      <c r="G63" s="811"/>
      <c r="H63" s="811"/>
      <c r="I63" s="811"/>
      <c r="J63" s="811"/>
      <c r="K63" s="811"/>
      <c r="L63" s="811"/>
      <c r="M63" s="811"/>
      <c r="N63" s="811"/>
      <c r="O63" s="811"/>
      <c r="P63" s="811"/>
      <c r="Q63" s="811"/>
      <c r="R63" s="811"/>
      <c r="S63" s="811"/>
      <c r="T63" s="811"/>
    </row>
    <row r="64" spans="2:20" x14ac:dyDescent="0.25">
      <c r="B64" s="790" t="str">
        <f>'Budget Choices Workings'!B46</f>
        <v>Costs savings that must still be found</v>
      </c>
      <c r="C64" s="809"/>
      <c r="D64" s="801">
        <f>ABS('Budget Choices Workings'!D46)</f>
        <v>2246720829.4651117</v>
      </c>
      <c r="E64" s="917"/>
      <c r="F64" s="811"/>
      <c r="G64" s="811"/>
      <c r="H64" s="811"/>
      <c r="I64" s="811"/>
      <c r="J64" s="811"/>
      <c r="K64" s="811"/>
      <c r="L64" s="811"/>
      <c r="M64" s="811"/>
      <c r="N64" s="811"/>
      <c r="O64" s="811"/>
      <c r="P64" s="811"/>
      <c r="Q64" s="811"/>
      <c r="R64" s="811"/>
      <c r="S64" s="811"/>
      <c r="T64" s="811"/>
    </row>
    <row r="65" spans="2:20" x14ac:dyDescent="0.25">
      <c r="B65" s="790"/>
      <c r="C65" s="811"/>
      <c r="D65" s="811"/>
      <c r="E65" s="811"/>
      <c r="F65" s="811"/>
      <c r="G65" s="811"/>
      <c r="H65" s="811"/>
      <c r="I65" s="811"/>
      <c r="J65" s="811"/>
      <c r="K65" s="811"/>
      <c r="L65" s="811"/>
      <c r="M65" s="811"/>
      <c r="N65" s="811"/>
      <c r="O65" s="811"/>
      <c r="P65" s="811"/>
      <c r="Q65" s="811"/>
      <c r="R65" s="811"/>
      <c r="S65" s="811"/>
      <c r="T65" s="811"/>
    </row>
    <row r="66" spans="2:20" x14ac:dyDescent="0.25">
      <c r="B66" s="790"/>
      <c r="C66" s="811"/>
      <c r="D66" s="811"/>
      <c r="E66" s="811"/>
      <c r="F66" s="812" t="str">
        <f>IF(F67&gt;=0,"Cost saving from changing subsidy","Added expenditure from changing subsidy")</f>
        <v>Cost saving from changing subsidy</v>
      </c>
      <c r="G66" s="811"/>
      <c r="H66" s="811"/>
      <c r="I66" s="811"/>
      <c r="J66" s="811"/>
      <c r="K66" s="811"/>
      <c r="L66" s="811"/>
      <c r="M66" s="811"/>
      <c r="N66" s="811"/>
      <c r="O66" s="811"/>
      <c r="P66" s="811"/>
      <c r="Q66" s="811"/>
      <c r="R66" s="811"/>
      <c r="S66" s="811"/>
      <c r="T66" s="811"/>
    </row>
    <row r="67" spans="2:20" x14ac:dyDescent="0.25">
      <c r="B67" s="790" t="s">
        <v>1456</v>
      </c>
      <c r="C67" s="811"/>
      <c r="D67" s="973">
        <v>15</v>
      </c>
      <c r="E67" s="811"/>
      <c r="F67" s="810">
        <f>(D68-D67)*PDSD!M32*PDSD!M35</f>
        <v>0</v>
      </c>
      <c r="G67" s="811"/>
      <c r="H67" s="811"/>
      <c r="I67" s="811"/>
      <c r="J67" s="811"/>
      <c r="K67" s="811"/>
      <c r="L67" s="811"/>
      <c r="M67" s="811"/>
      <c r="N67" s="811"/>
      <c r="O67" s="811"/>
      <c r="P67" s="811"/>
      <c r="Q67" s="811"/>
      <c r="R67" s="811"/>
      <c r="S67" s="811"/>
      <c r="T67" s="811"/>
    </row>
    <row r="68" spans="2:20" x14ac:dyDescent="0.25">
      <c r="B68" s="880" t="s">
        <v>1478</v>
      </c>
      <c r="C68" s="811"/>
      <c r="D68" s="810">
        <f>PDSD!H34</f>
        <v>15</v>
      </c>
      <c r="E68" s="811"/>
      <c r="F68" s="811"/>
      <c r="G68" s="811"/>
      <c r="H68" s="811"/>
      <c r="I68" s="811"/>
      <c r="J68" s="811"/>
      <c r="K68" s="811"/>
      <c r="L68" s="811"/>
      <c r="M68" s="811"/>
      <c r="N68" s="811"/>
      <c r="O68" s="811"/>
      <c r="P68" s="811"/>
      <c r="Q68" s="811"/>
      <c r="R68" s="811"/>
      <c r="S68" s="811"/>
      <c r="T68" s="811"/>
    </row>
    <row r="69" spans="2:20" x14ac:dyDescent="0.25">
      <c r="B69" s="790"/>
      <c r="C69" s="811"/>
      <c r="D69" s="811"/>
      <c r="E69" s="811"/>
      <c r="F69" s="811"/>
      <c r="G69" s="811"/>
      <c r="H69" s="811"/>
      <c r="I69" s="811"/>
      <c r="J69" s="811"/>
      <c r="K69" s="811"/>
      <c r="L69" s="811"/>
      <c r="M69" s="811"/>
      <c r="N69" s="811"/>
      <c r="O69" s="811"/>
      <c r="P69" s="811"/>
      <c r="Q69" s="811"/>
      <c r="R69" s="811"/>
      <c r="S69" s="811"/>
      <c r="T69" s="811"/>
    </row>
    <row r="70" spans="2:20" ht="32.25" customHeight="1" x14ac:dyDescent="0.25">
      <c r="B70" s="790"/>
      <c r="C70" s="811"/>
      <c r="D70" s="811"/>
      <c r="E70" s="811"/>
      <c r="F70" s="811"/>
      <c r="G70" s="811"/>
      <c r="H70" s="875" t="s">
        <v>1535</v>
      </c>
      <c r="I70" s="811"/>
      <c r="J70" s="866" t="str">
        <f>IF(J71&gt;=0,"Additional children reached","Fewer children reached")</f>
        <v>Fewer children reached</v>
      </c>
      <c r="K70" s="811"/>
      <c r="L70" s="811"/>
      <c r="M70" s="811"/>
      <c r="N70" s="811"/>
      <c r="O70" s="811"/>
      <c r="P70" s="811"/>
      <c r="Q70" s="811"/>
      <c r="R70" s="811"/>
      <c r="S70" s="811"/>
      <c r="T70" s="811"/>
    </row>
    <row r="71" spans="2:20" ht="18.75" x14ac:dyDescent="0.3">
      <c r="B71" s="850" t="s">
        <v>1469</v>
      </c>
      <c r="C71" s="811"/>
      <c r="D71" s="811"/>
      <c r="E71" s="876" t="s">
        <v>1468</v>
      </c>
      <c r="F71" s="811"/>
      <c r="G71" s="811"/>
      <c r="H71" s="810">
        <f>(PDSD!H4+PDSD!H5+PDSD!H9)-(PDSD!M4+PDSD!M5+PDSD!M9)</f>
        <v>811675229.87587547</v>
      </c>
      <c r="I71" s="812"/>
      <c r="J71" s="877">
        <f>IF('Budget Choices Workings'!AC112=0,0,'Budget Choices Workings'!AD112)*-1</f>
        <v>-204635</v>
      </c>
      <c r="K71" s="811"/>
      <c r="L71" s="811"/>
      <c r="M71" s="811"/>
      <c r="N71" s="811"/>
      <c r="O71" s="811"/>
      <c r="P71" s="811"/>
      <c r="Q71" s="811"/>
      <c r="R71" s="811"/>
      <c r="S71" s="811"/>
      <c r="T71" s="811"/>
    </row>
    <row r="72" spans="2:20" ht="14.1" customHeight="1" x14ac:dyDescent="0.25">
      <c r="B72" s="790" t="s">
        <v>1404</v>
      </c>
      <c r="C72" s="811"/>
      <c r="D72" s="812" t="s">
        <v>1533</v>
      </c>
      <c r="E72" s="812" t="s">
        <v>1415</v>
      </c>
      <c r="F72" s="812"/>
      <c r="G72" s="811"/>
      <c r="H72" s="811"/>
      <c r="I72" s="811"/>
      <c r="J72" s="863"/>
      <c r="K72" s="811"/>
      <c r="L72" s="811"/>
      <c r="M72" s="811"/>
      <c r="N72" s="811"/>
      <c r="O72" s="811"/>
      <c r="P72" s="811"/>
      <c r="Q72" s="811"/>
      <c r="R72" s="811"/>
      <c r="S72" s="811"/>
      <c r="T72" s="811"/>
    </row>
    <row r="73" spans="2:20" ht="35.1" customHeight="1" x14ac:dyDescent="0.25">
      <c r="B73" s="832" t="s">
        <v>14</v>
      </c>
      <c r="C73" s="833"/>
      <c r="D73" s="834">
        <f>PDSD!H21</f>
        <v>0.8</v>
      </c>
      <c r="E73" s="978">
        <v>65</v>
      </c>
      <c r="F73" s="834"/>
      <c r="G73" s="833"/>
      <c r="H73" s="835"/>
      <c r="I73" s="835"/>
      <c r="J73" s="863"/>
      <c r="K73" s="811"/>
      <c r="L73" s="811"/>
      <c r="M73" s="811"/>
      <c r="N73" s="811"/>
      <c r="O73" s="811"/>
      <c r="P73" s="811"/>
      <c r="Q73" s="811"/>
      <c r="R73" s="811"/>
      <c r="S73" s="811"/>
      <c r="T73" s="811"/>
    </row>
    <row r="74" spans="2:20" ht="35.1" customHeight="1" x14ac:dyDescent="0.25">
      <c r="B74" s="832" t="s">
        <v>15</v>
      </c>
      <c r="C74" s="833"/>
      <c r="D74" s="834">
        <f>PDSD!H22</f>
        <v>0.8</v>
      </c>
      <c r="E74" s="978">
        <v>65</v>
      </c>
      <c r="F74" s="834"/>
      <c r="G74" s="833"/>
      <c r="H74" s="835"/>
      <c r="I74" s="835"/>
      <c r="J74" s="863"/>
      <c r="K74" s="811"/>
      <c r="L74" s="811"/>
      <c r="M74" s="811"/>
      <c r="N74" s="811"/>
      <c r="O74" s="811"/>
      <c r="P74" s="811"/>
      <c r="Q74" s="811"/>
      <c r="R74" s="811"/>
      <c r="S74" s="811"/>
      <c r="T74" s="811"/>
    </row>
    <row r="75" spans="2:20" ht="35.1" customHeight="1" x14ac:dyDescent="0.25">
      <c r="B75" s="836" t="s">
        <v>16</v>
      </c>
      <c r="C75" s="833"/>
      <c r="D75" s="834">
        <f>PDSD!H23</f>
        <v>0.35</v>
      </c>
      <c r="E75" s="978">
        <v>35</v>
      </c>
      <c r="F75" s="834"/>
      <c r="G75" s="833"/>
      <c r="H75" s="835"/>
      <c r="I75" s="835"/>
      <c r="J75" s="863"/>
      <c r="K75" s="811"/>
      <c r="L75" s="811"/>
      <c r="M75" s="811"/>
      <c r="N75" s="811"/>
      <c r="O75" s="811"/>
      <c r="P75" s="811"/>
      <c r="Q75" s="811"/>
      <c r="R75" s="811"/>
      <c r="S75" s="811"/>
      <c r="T75" s="811"/>
    </row>
    <row r="76" spans="2:20" ht="14.1" customHeight="1" x14ac:dyDescent="0.25">
      <c r="B76" s="790"/>
      <c r="C76" s="811"/>
      <c r="D76" s="811"/>
      <c r="E76" s="811"/>
      <c r="F76" s="811"/>
      <c r="G76" s="811"/>
      <c r="H76" s="865"/>
      <c r="I76" s="810"/>
      <c r="J76" s="811"/>
      <c r="K76" s="811"/>
      <c r="L76" s="811"/>
      <c r="M76" s="811"/>
      <c r="N76" s="811"/>
      <c r="O76" s="811"/>
      <c r="P76" s="811"/>
      <c r="Q76" s="811"/>
      <c r="R76" s="811"/>
      <c r="S76" s="811"/>
      <c r="T76" s="811"/>
    </row>
    <row r="77" spans="2:20" ht="6.95" customHeight="1" x14ac:dyDescent="0.25">
      <c r="B77" s="790"/>
      <c r="C77" s="811"/>
      <c r="D77" s="811"/>
      <c r="E77" s="811"/>
      <c r="F77" s="811"/>
      <c r="G77" s="811"/>
      <c r="H77" s="810"/>
      <c r="I77" s="810"/>
      <c r="J77" s="811"/>
      <c r="K77" s="811"/>
      <c r="L77" s="811"/>
      <c r="M77" s="811"/>
      <c r="N77" s="811"/>
      <c r="O77" s="811"/>
      <c r="P77" s="811"/>
      <c r="Q77" s="811"/>
      <c r="R77" s="811"/>
      <c r="S77" s="811"/>
      <c r="T77" s="811"/>
    </row>
    <row r="78" spans="2:20" x14ac:dyDescent="0.25">
      <c r="B78" s="790" t="s">
        <v>1405</v>
      </c>
      <c r="C78" s="811"/>
      <c r="D78" s="812" t="s">
        <v>1259</v>
      </c>
      <c r="E78" s="812" t="s">
        <v>1398</v>
      </c>
      <c r="F78" s="811"/>
      <c r="G78" s="811"/>
      <c r="H78" s="810"/>
      <c r="I78" s="810"/>
      <c r="J78" s="811"/>
      <c r="K78" s="811"/>
      <c r="L78" s="811"/>
      <c r="M78" s="811"/>
      <c r="N78" s="811"/>
      <c r="O78" s="811"/>
      <c r="P78" s="811"/>
      <c r="Q78" s="811"/>
      <c r="R78" s="811"/>
      <c r="S78" s="811"/>
      <c r="T78" s="811"/>
    </row>
    <row r="79" spans="2:20" x14ac:dyDescent="0.25">
      <c r="B79" s="813" t="s">
        <v>438</v>
      </c>
      <c r="C79" s="811"/>
      <c r="D79" s="814" t="str">
        <f>PDSD!H27</f>
        <v>No</v>
      </c>
      <c r="E79" s="979" t="s">
        <v>721</v>
      </c>
      <c r="F79" s="811"/>
      <c r="G79" s="811"/>
      <c r="H79" s="810"/>
      <c r="I79" s="810"/>
      <c r="J79" s="811"/>
      <c r="K79" s="811"/>
      <c r="L79" s="811"/>
      <c r="M79" s="811"/>
      <c r="N79" s="811"/>
      <c r="O79" s="811"/>
      <c r="P79" s="811"/>
      <c r="Q79" s="811"/>
      <c r="R79" s="811"/>
      <c r="S79" s="811"/>
      <c r="T79" s="811"/>
    </row>
    <row r="80" spans="2:20" x14ac:dyDescent="0.25">
      <c r="B80" s="813" t="s">
        <v>439</v>
      </c>
      <c r="C80" s="811"/>
      <c r="D80" s="814" t="str">
        <f>PDSD!H28</f>
        <v>No</v>
      </c>
      <c r="E80" s="979" t="s">
        <v>721</v>
      </c>
      <c r="F80" s="811"/>
      <c r="G80" s="811"/>
      <c r="H80" s="810"/>
      <c r="I80" s="810"/>
      <c r="J80" s="811"/>
      <c r="K80" s="811"/>
      <c r="L80" s="811"/>
      <c r="M80" s="811"/>
      <c r="N80" s="811"/>
      <c r="O80" s="811"/>
      <c r="P80" s="811"/>
      <c r="Q80" s="811"/>
      <c r="R80" s="811"/>
      <c r="S80" s="811"/>
      <c r="T80" s="811"/>
    </row>
    <row r="81" spans="2:20" x14ac:dyDescent="0.25">
      <c r="B81" s="813" t="s">
        <v>440</v>
      </c>
      <c r="C81" s="811"/>
      <c r="D81" s="814" t="str">
        <f>PDSD!H29</f>
        <v>Yes</v>
      </c>
      <c r="E81" s="979" t="s">
        <v>720</v>
      </c>
      <c r="F81" s="811"/>
      <c r="G81" s="811"/>
      <c r="H81" s="810"/>
      <c r="I81" s="810"/>
      <c r="J81" s="811"/>
      <c r="K81" s="811"/>
      <c r="L81" s="811"/>
      <c r="M81" s="811"/>
      <c r="N81" s="811"/>
      <c r="O81" s="811"/>
      <c r="P81" s="811"/>
      <c r="Q81" s="811"/>
      <c r="R81" s="811"/>
      <c r="S81" s="811"/>
      <c r="T81" s="811"/>
    </row>
    <row r="82" spans="2:20" x14ac:dyDescent="0.25">
      <c r="B82" s="813" t="s">
        <v>441</v>
      </c>
      <c r="C82" s="811"/>
      <c r="D82" s="814" t="str">
        <f>PDSD!H30</f>
        <v>Yes</v>
      </c>
      <c r="E82" s="979" t="s">
        <v>720</v>
      </c>
      <c r="F82" s="811"/>
      <c r="G82" s="811"/>
      <c r="H82" s="810"/>
      <c r="I82" s="810"/>
      <c r="J82" s="811"/>
      <c r="K82" s="811"/>
      <c r="L82" s="811"/>
      <c r="M82" s="811"/>
      <c r="N82" s="811"/>
      <c r="O82" s="811"/>
      <c r="P82" s="811"/>
      <c r="Q82" s="811"/>
      <c r="R82" s="811"/>
      <c r="S82" s="811"/>
      <c r="T82" s="811"/>
    </row>
    <row r="83" spans="2:20" x14ac:dyDescent="0.25">
      <c r="B83" s="813" t="s">
        <v>1532</v>
      </c>
      <c r="C83" s="811"/>
      <c r="D83" s="814" t="str">
        <f>PDSD!H31</f>
        <v>Yes</v>
      </c>
      <c r="E83" s="979" t="s">
        <v>720</v>
      </c>
      <c r="F83" s="811"/>
      <c r="G83" s="811"/>
      <c r="H83" s="810"/>
      <c r="I83" s="810"/>
      <c r="J83" s="811"/>
      <c r="K83" s="811"/>
      <c r="L83" s="811"/>
      <c r="M83" s="811"/>
      <c r="N83" s="811"/>
      <c r="O83" s="811"/>
      <c r="P83" s="811"/>
      <c r="Q83" s="811"/>
      <c r="R83" s="811"/>
      <c r="S83" s="811"/>
      <c r="T83" s="811"/>
    </row>
    <row r="84" spans="2:20" ht="8.1" customHeight="1" x14ac:dyDescent="0.25">
      <c r="B84" s="791"/>
      <c r="C84" s="815"/>
      <c r="D84" s="815"/>
      <c r="E84" s="815"/>
      <c r="F84" s="815"/>
      <c r="G84" s="815"/>
      <c r="H84" s="815"/>
      <c r="I84" s="815"/>
      <c r="J84" s="815"/>
      <c r="K84" s="815"/>
      <c r="L84" s="815"/>
      <c r="M84" s="815"/>
      <c r="N84" s="815"/>
      <c r="O84" s="815"/>
      <c r="P84" s="815"/>
      <c r="Q84" s="815"/>
      <c r="R84" s="815"/>
      <c r="S84" s="815"/>
      <c r="T84" s="815"/>
    </row>
    <row r="85" spans="2:20" ht="8.1" customHeight="1" x14ac:dyDescent="0.25"/>
    <row r="86" spans="2:20" ht="18.75" x14ac:dyDescent="0.3">
      <c r="B86" s="854" t="s">
        <v>1739</v>
      </c>
      <c r="C86" s="816"/>
      <c r="D86" s="816"/>
      <c r="E86" s="816"/>
      <c r="F86" s="816"/>
      <c r="G86" s="816"/>
      <c r="H86" s="816"/>
      <c r="I86" s="816"/>
      <c r="J86" s="816"/>
      <c r="K86" s="816"/>
      <c r="L86" s="816"/>
      <c r="M86" s="816"/>
      <c r="N86" s="816"/>
      <c r="O86" s="816"/>
      <c r="P86" s="816"/>
      <c r="Q86" s="816"/>
      <c r="R86" s="816"/>
      <c r="S86" s="816"/>
      <c r="T86" s="816"/>
    </row>
    <row r="87" spans="2:20" x14ac:dyDescent="0.25">
      <c r="B87" s="817" t="s">
        <v>1395</v>
      </c>
      <c r="C87" s="818"/>
      <c r="D87" s="819">
        <f>SASSA!H18</f>
        <v>12988069643.692905</v>
      </c>
      <c r="E87" s="820"/>
      <c r="F87" s="820"/>
      <c r="G87" s="820"/>
      <c r="H87" s="820"/>
      <c r="I87" s="820"/>
      <c r="J87" s="820"/>
      <c r="K87" s="820"/>
      <c r="L87" s="820"/>
      <c r="M87" s="820"/>
      <c r="N87" s="820"/>
      <c r="O87" s="820"/>
      <c r="P87" s="820"/>
      <c r="Q87" s="820"/>
      <c r="R87" s="820"/>
      <c r="S87" s="820"/>
      <c r="T87" s="820"/>
    </row>
    <row r="88" spans="2:20" x14ac:dyDescent="0.25">
      <c r="B88" s="817" t="s">
        <v>1396</v>
      </c>
      <c r="C88" s="818"/>
      <c r="D88" s="819">
        <f>SASSA!M18</f>
        <v>12988069643.692905</v>
      </c>
      <c r="E88" s="820"/>
      <c r="F88" s="820"/>
      <c r="G88" s="820"/>
      <c r="H88" s="820"/>
      <c r="I88" s="820"/>
      <c r="J88" s="820"/>
      <c r="K88" s="820"/>
      <c r="L88" s="820"/>
      <c r="M88" s="820"/>
      <c r="N88" s="820"/>
      <c r="O88" s="820"/>
      <c r="P88" s="820"/>
      <c r="Q88" s="820"/>
      <c r="R88" s="820"/>
      <c r="S88" s="820"/>
      <c r="T88" s="820"/>
    </row>
    <row r="89" spans="2:20" x14ac:dyDescent="0.25">
      <c r="B89" s="817"/>
      <c r="C89" s="818"/>
      <c r="D89" s="821"/>
      <c r="E89" s="820"/>
      <c r="F89" s="820"/>
      <c r="G89" s="820"/>
      <c r="H89" s="820"/>
      <c r="I89" s="820"/>
      <c r="J89" s="820"/>
      <c r="K89" s="820"/>
      <c r="L89" s="820"/>
      <c r="M89" s="820"/>
      <c r="N89" s="820"/>
      <c r="O89" s="820"/>
      <c r="P89" s="820"/>
      <c r="Q89" s="820"/>
      <c r="R89" s="820"/>
      <c r="S89" s="820"/>
      <c r="T89" s="820"/>
    </row>
    <row r="90" spans="2:20" x14ac:dyDescent="0.25">
      <c r="B90" s="817" t="s">
        <v>1397</v>
      </c>
      <c r="C90" s="818"/>
      <c r="D90" s="973">
        <v>100000000</v>
      </c>
      <c r="E90" s="820"/>
      <c r="F90" s="820"/>
      <c r="G90" s="820"/>
      <c r="H90" s="820"/>
      <c r="I90" s="820"/>
      <c r="J90" s="820"/>
      <c r="K90" s="820"/>
      <c r="L90" s="820"/>
      <c r="M90" s="820"/>
      <c r="N90" s="820"/>
      <c r="O90" s="820"/>
      <c r="P90" s="820"/>
      <c r="Q90" s="820"/>
      <c r="R90" s="820"/>
      <c r="S90" s="820"/>
      <c r="T90" s="820"/>
    </row>
    <row r="91" spans="2:20" x14ac:dyDescent="0.25">
      <c r="B91" s="817" t="s">
        <v>1288</v>
      </c>
      <c r="C91" s="818"/>
      <c r="D91" s="819">
        <f>D87-D90</f>
        <v>12888069643.692905</v>
      </c>
      <c r="E91" s="820"/>
      <c r="F91" s="820"/>
      <c r="G91" s="820"/>
      <c r="H91" s="820"/>
      <c r="I91" s="820"/>
      <c r="J91" s="820"/>
      <c r="K91" s="820"/>
      <c r="L91" s="820"/>
      <c r="M91" s="820"/>
      <c r="N91" s="820"/>
      <c r="O91" s="820"/>
      <c r="P91" s="820"/>
      <c r="Q91" s="820"/>
      <c r="R91" s="820"/>
      <c r="S91" s="820"/>
      <c r="T91" s="820"/>
    </row>
    <row r="92" spans="2:20" x14ac:dyDescent="0.25">
      <c r="B92" s="817" t="str">
        <f>'Budget Choices Workings'!B70</f>
        <v>Costs savings that must still be found</v>
      </c>
      <c r="C92" s="818"/>
      <c r="D92" s="801">
        <f>D88-D90</f>
        <v>12888069643.692905</v>
      </c>
      <c r="E92" s="820"/>
      <c r="F92" s="820"/>
      <c r="G92" s="820"/>
      <c r="H92" s="820"/>
      <c r="I92" s="820"/>
      <c r="J92" s="820"/>
      <c r="K92" s="820"/>
      <c r="L92" s="820"/>
      <c r="M92" s="820"/>
      <c r="N92" s="820"/>
      <c r="O92" s="820"/>
      <c r="P92" s="820"/>
      <c r="Q92" s="820"/>
      <c r="R92" s="820"/>
      <c r="S92" s="820"/>
      <c r="T92" s="820"/>
    </row>
    <row r="93" spans="2:20" x14ac:dyDescent="0.25">
      <c r="B93" s="817"/>
      <c r="C93" s="820"/>
      <c r="D93" s="820"/>
      <c r="E93" s="820"/>
      <c r="F93" s="820"/>
      <c r="G93" s="820"/>
      <c r="H93" s="820"/>
      <c r="I93" s="820"/>
      <c r="J93" s="820"/>
      <c r="K93" s="820"/>
      <c r="L93" s="820"/>
      <c r="M93" s="820"/>
      <c r="N93" s="820"/>
      <c r="O93" s="820"/>
      <c r="P93" s="820"/>
      <c r="Q93" s="820"/>
      <c r="R93" s="820"/>
      <c r="S93" s="820"/>
      <c r="T93" s="820"/>
    </row>
    <row r="94" spans="2:20" ht="18.75" x14ac:dyDescent="0.3">
      <c r="B94" s="855" t="s">
        <v>1470</v>
      </c>
      <c r="C94" s="820"/>
      <c r="D94" s="820"/>
      <c r="E94" s="820"/>
      <c r="F94" s="820"/>
      <c r="G94" s="820"/>
      <c r="H94" s="820"/>
      <c r="I94" s="820"/>
      <c r="J94" s="820"/>
      <c r="K94" s="820"/>
      <c r="L94" s="820"/>
      <c r="M94" s="820"/>
      <c r="N94" s="820"/>
      <c r="O94" s="820"/>
      <c r="P94" s="820"/>
      <c r="Q94" s="820"/>
      <c r="R94" s="820"/>
      <c r="S94" s="820"/>
      <c r="T94" s="820"/>
    </row>
    <row r="95" spans="2:20" ht="77.25" x14ac:dyDescent="0.25">
      <c r="B95" s="817"/>
      <c r="C95" s="820"/>
      <c r="D95" s="820"/>
      <c r="E95" s="891" t="s">
        <v>1505</v>
      </c>
      <c r="F95" s="889" t="str">
        <f>IF(F96&lt;=0,"Cost increases from changes to vouchers/parcels","Cost saving from changes to vouchers/parcels")</f>
        <v>Cost increases from changes to vouchers/parcels</v>
      </c>
      <c r="G95" s="820"/>
      <c r="H95" s="820"/>
      <c r="I95" s="820"/>
      <c r="J95" s="820"/>
      <c r="K95" s="820"/>
      <c r="L95" s="820"/>
      <c r="M95" s="820"/>
      <c r="N95" s="820"/>
      <c r="O95" s="820"/>
      <c r="P95" s="820"/>
      <c r="Q95" s="820"/>
      <c r="R95" s="820"/>
      <c r="S95" s="820"/>
      <c r="T95" s="820"/>
    </row>
    <row r="96" spans="2:20" x14ac:dyDescent="0.25">
      <c r="B96" s="817" t="s">
        <v>1503</v>
      </c>
      <c r="C96" s="820"/>
      <c r="D96" s="973">
        <v>550</v>
      </c>
      <c r="E96" s="892">
        <f>SASSA!H73</f>
        <v>550</v>
      </c>
      <c r="F96" s="878">
        <f>(SASSA!H6+SASSA!H7)-(SASSA!M6+SASSA!M7)</f>
        <v>0</v>
      </c>
      <c r="G96" s="820"/>
      <c r="H96" s="820"/>
      <c r="I96" s="820"/>
      <c r="J96" s="820"/>
      <c r="K96" s="820"/>
      <c r="L96" s="820"/>
      <c r="M96" s="820"/>
      <c r="N96" s="820"/>
      <c r="O96" s="820"/>
      <c r="P96" s="820"/>
      <c r="Q96" s="820"/>
      <c r="R96" s="820"/>
      <c r="S96" s="820"/>
      <c r="T96" s="820"/>
    </row>
    <row r="97" spans="2:20" x14ac:dyDescent="0.25">
      <c r="B97" s="817" t="s">
        <v>1504</v>
      </c>
      <c r="C97" s="820"/>
      <c r="D97" s="973">
        <v>600</v>
      </c>
      <c r="E97" s="892">
        <f>SASSA!H74</f>
        <v>600</v>
      </c>
      <c r="F97" s="878"/>
      <c r="G97" s="820"/>
      <c r="H97" s="820"/>
      <c r="I97" s="820"/>
      <c r="J97" s="820"/>
      <c r="K97" s="820"/>
      <c r="L97" s="820"/>
      <c r="M97" s="820"/>
      <c r="N97" s="820"/>
      <c r="O97" s="820"/>
      <c r="P97" s="820"/>
      <c r="Q97" s="820"/>
      <c r="R97" s="820"/>
      <c r="S97" s="820"/>
      <c r="T97" s="820"/>
    </row>
    <row r="98" spans="2:20" ht="18.75" customHeight="1" x14ac:dyDescent="0.25">
      <c r="B98" s="820"/>
      <c r="C98" s="820"/>
      <c r="D98" s="820"/>
      <c r="E98" s="820"/>
      <c r="F98" s="820"/>
      <c r="G98" s="820"/>
      <c r="H98" s="820"/>
      <c r="I98" s="820"/>
      <c r="J98" s="820"/>
      <c r="K98" s="820"/>
      <c r="L98" s="820"/>
      <c r="M98" s="820"/>
      <c r="N98" s="820"/>
      <c r="O98" s="820"/>
      <c r="P98" s="820"/>
      <c r="Q98" s="820"/>
      <c r="R98" s="820"/>
      <c r="S98" s="820"/>
      <c r="T98" s="820"/>
    </row>
    <row r="99" spans="2:20" x14ac:dyDescent="0.25">
      <c r="B99" s="820" t="s">
        <v>1473</v>
      </c>
      <c r="C99" s="820"/>
      <c r="D99" s="819"/>
      <c r="E99" s="893" t="s">
        <v>1476</v>
      </c>
      <c r="F99" s="820"/>
      <c r="G99" s="820"/>
      <c r="H99" s="822"/>
      <c r="I99" s="822"/>
      <c r="J99" s="867"/>
      <c r="K99" s="820"/>
      <c r="L99" s="820"/>
      <c r="M99" s="820"/>
      <c r="N99" s="820"/>
      <c r="O99" s="820"/>
      <c r="P99" s="820"/>
      <c r="Q99" s="820"/>
      <c r="R99" s="820"/>
      <c r="S99" s="820"/>
      <c r="T99" s="820"/>
    </row>
    <row r="100" spans="2:20" x14ac:dyDescent="0.25">
      <c r="B100" s="818" t="s">
        <v>1474</v>
      </c>
      <c r="C100" s="820"/>
      <c r="D100" s="980">
        <v>0.75</v>
      </c>
      <c r="E100" s="894">
        <f>SASSA!H29</f>
        <v>0.75</v>
      </c>
      <c r="F100" s="820"/>
      <c r="G100" s="820"/>
      <c r="H100" s="822"/>
      <c r="I100" s="822"/>
      <c r="J100" s="867"/>
      <c r="K100" s="820"/>
      <c r="L100" s="820"/>
      <c r="M100" s="820"/>
      <c r="N100" s="820"/>
      <c r="O100" s="820"/>
      <c r="P100" s="820"/>
      <c r="Q100" s="820"/>
      <c r="R100" s="820"/>
      <c r="S100" s="820"/>
      <c r="T100" s="820"/>
    </row>
    <row r="101" spans="2:20" x14ac:dyDescent="0.25">
      <c r="B101" s="818" t="s">
        <v>1475</v>
      </c>
      <c r="C101" s="820"/>
      <c r="D101" s="879">
        <f>SASSA!M30</f>
        <v>0.25</v>
      </c>
      <c r="E101" s="894">
        <f>SASSA!H30</f>
        <v>0.25</v>
      </c>
      <c r="F101" s="820"/>
      <c r="G101" s="820"/>
      <c r="H101" s="822"/>
      <c r="I101" s="822"/>
      <c r="J101" s="867"/>
      <c r="K101" s="820"/>
      <c r="L101" s="820"/>
      <c r="M101" s="820"/>
      <c r="N101" s="820"/>
      <c r="O101" s="820"/>
      <c r="P101" s="820"/>
      <c r="Q101" s="820"/>
      <c r="R101" s="820"/>
      <c r="S101" s="820"/>
      <c r="T101" s="820"/>
    </row>
    <row r="102" spans="2:20" x14ac:dyDescent="0.25">
      <c r="B102" s="820"/>
      <c r="C102" s="820"/>
      <c r="D102" s="819"/>
      <c r="E102" s="820"/>
      <c r="F102" s="820"/>
      <c r="G102" s="820"/>
      <c r="H102" s="820" t="s">
        <v>1534</v>
      </c>
      <c r="I102" s="822"/>
      <c r="J102" s="820" t="s">
        <v>1492</v>
      </c>
      <c r="K102" s="820"/>
      <c r="L102" s="820"/>
      <c r="M102" s="820"/>
      <c r="N102" s="820"/>
      <c r="O102" s="820"/>
      <c r="P102" s="820"/>
      <c r="Q102" s="820"/>
      <c r="R102" s="820"/>
      <c r="S102" s="820"/>
      <c r="T102" s="820"/>
    </row>
    <row r="103" spans="2:20" ht="14.1" customHeight="1" x14ac:dyDescent="0.25">
      <c r="B103" s="817" t="s">
        <v>1407</v>
      </c>
      <c r="C103" s="823"/>
      <c r="D103" s="822" t="s">
        <v>1414</v>
      </c>
      <c r="E103" s="822" t="s">
        <v>1415</v>
      </c>
      <c r="F103" s="822"/>
      <c r="G103" s="820"/>
      <c r="H103" s="820"/>
      <c r="I103" s="820"/>
      <c r="J103" s="820"/>
      <c r="K103" s="820"/>
      <c r="L103" s="820"/>
      <c r="M103" s="820"/>
      <c r="N103" s="820"/>
      <c r="O103" s="820"/>
      <c r="P103" s="820"/>
      <c r="Q103" s="820"/>
      <c r="R103" s="820"/>
      <c r="S103" s="820"/>
      <c r="T103" s="820"/>
    </row>
    <row r="104" spans="2:20" ht="35.1" customHeight="1" x14ac:dyDescent="0.25">
      <c r="B104" s="837" t="s">
        <v>1408</v>
      </c>
      <c r="C104" s="838"/>
      <c r="D104" s="842">
        <v>7</v>
      </c>
      <c r="E104" s="978">
        <v>7</v>
      </c>
      <c r="F104" s="839"/>
      <c r="G104" s="840"/>
      <c r="H104" s="841">
        <f>'Budget Choices Workings'!K75</f>
        <v>0</v>
      </c>
      <c r="I104" s="841"/>
      <c r="J104" s="853">
        <f>IF(E104=7,"0",'Budget Choices Workings'!H79)*-1</f>
        <v>0</v>
      </c>
      <c r="K104" s="820"/>
      <c r="L104" s="820"/>
      <c r="M104" s="820"/>
      <c r="N104" s="820"/>
      <c r="O104" s="820"/>
      <c r="P104" s="820"/>
      <c r="Q104" s="820"/>
      <c r="R104" s="820"/>
      <c r="S104" s="820"/>
      <c r="T104" s="820"/>
    </row>
    <row r="105" spans="2:20" ht="35.1" customHeight="1" x14ac:dyDescent="0.25">
      <c r="B105" s="837" t="s">
        <v>1409</v>
      </c>
      <c r="C105" s="838"/>
      <c r="D105" s="842">
        <v>3</v>
      </c>
      <c r="E105" s="978">
        <v>3</v>
      </c>
      <c r="F105" s="839"/>
      <c r="G105" s="840"/>
      <c r="H105" s="841">
        <f>'Budget Choices Workings'!K76</f>
        <v>0</v>
      </c>
      <c r="I105" s="841"/>
      <c r="J105" s="853">
        <f>IF(E105=3,"0",'Budget Choices Workings'!H80)*-1</f>
        <v>0</v>
      </c>
      <c r="K105" s="820"/>
      <c r="L105" s="820"/>
      <c r="M105" s="820"/>
      <c r="N105" s="820"/>
      <c r="O105" s="820"/>
      <c r="P105" s="820"/>
      <c r="Q105" s="820"/>
      <c r="R105" s="820"/>
      <c r="S105" s="820"/>
      <c r="T105" s="820"/>
    </row>
    <row r="106" spans="2:20" s="792" customFormat="1" ht="21" customHeight="1" x14ac:dyDescent="0.25">
      <c r="B106" s="820"/>
      <c r="C106" s="820"/>
      <c r="D106" s="820"/>
      <c r="E106" s="820"/>
      <c r="F106" s="820"/>
      <c r="G106" s="820"/>
      <c r="H106" s="818" t="s">
        <v>1449</v>
      </c>
      <c r="I106" s="820"/>
      <c r="J106" s="822">
        <f>J105+J104</f>
        <v>0</v>
      </c>
      <c r="K106" s="820"/>
      <c r="L106" s="820"/>
      <c r="M106" s="820"/>
      <c r="N106" s="820"/>
      <c r="O106" s="820"/>
      <c r="P106" s="820"/>
      <c r="Q106" s="820"/>
      <c r="R106" s="820"/>
      <c r="S106" s="820"/>
      <c r="T106" s="820"/>
    </row>
    <row r="107" spans="2:20" ht="21" customHeight="1" x14ac:dyDescent="0.25">
      <c r="B107" s="820"/>
      <c r="C107" s="820"/>
      <c r="D107" s="820"/>
      <c r="E107" s="820"/>
      <c r="F107" s="820"/>
      <c r="G107" s="820"/>
      <c r="H107" s="818"/>
      <c r="I107" s="820"/>
      <c r="J107" s="822"/>
      <c r="K107" s="820"/>
      <c r="L107" s="820"/>
      <c r="M107" s="820"/>
      <c r="N107" s="820"/>
      <c r="O107" s="820"/>
      <c r="P107" s="820"/>
      <c r="Q107" s="820"/>
      <c r="R107" s="820"/>
      <c r="S107" s="820"/>
      <c r="T107" s="820"/>
    </row>
    <row r="108" spans="2:20" ht="21" customHeight="1" x14ac:dyDescent="0.3">
      <c r="B108" s="855" t="s">
        <v>1730</v>
      </c>
      <c r="C108" s="820"/>
      <c r="D108" s="820"/>
      <c r="E108" s="820"/>
      <c r="F108" s="820"/>
      <c r="G108" s="820"/>
      <c r="H108" s="818"/>
      <c r="I108" s="820"/>
      <c r="J108" s="822"/>
      <c r="K108" s="820"/>
      <c r="L108" s="820"/>
      <c r="M108" s="820"/>
      <c r="N108" s="820"/>
      <c r="O108" s="820"/>
      <c r="P108" s="820"/>
      <c r="Q108" s="820"/>
      <c r="R108" s="820"/>
      <c r="S108" s="820"/>
      <c r="T108" s="820"/>
    </row>
    <row r="109" spans="2:20" ht="21" customHeight="1" x14ac:dyDescent="0.25">
      <c r="B109" s="820" t="s">
        <v>1824</v>
      </c>
      <c r="C109" s="820"/>
      <c r="D109" s="820"/>
      <c r="E109" s="820"/>
      <c r="F109" s="820"/>
      <c r="G109" s="820"/>
      <c r="H109" s="818"/>
      <c r="I109" s="820"/>
      <c r="J109" s="822"/>
      <c r="K109" s="820"/>
      <c r="L109" s="820"/>
      <c r="M109" s="820"/>
      <c r="N109" s="820"/>
      <c r="O109" s="820"/>
      <c r="P109" s="820"/>
      <c r="Q109" s="820"/>
      <c r="R109" s="820"/>
      <c r="S109" s="820"/>
      <c r="T109" s="820"/>
    </row>
    <row r="110" spans="2:20" ht="27.75" customHeight="1" x14ac:dyDescent="0.25">
      <c r="B110" s="820"/>
      <c r="C110" s="820"/>
      <c r="D110" s="889" t="s">
        <v>1733</v>
      </c>
      <c r="E110" s="970" t="s">
        <v>1415</v>
      </c>
      <c r="F110" s="820"/>
      <c r="G110" s="820"/>
      <c r="H110" s="820" t="s">
        <v>1534</v>
      </c>
      <c r="I110" s="820"/>
      <c r="J110" s="822" t="s">
        <v>1492</v>
      </c>
      <c r="K110" s="820"/>
      <c r="L110" s="820"/>
      <c r="M110" s="820"/>
      <c r="N110" s="820"/>
      <c r="O110" s="820"/>
      <c r="P110" s="820"/>
      <c r="Q110" s="820"/>
      <c r="R110" s="820"/>
      <c r="S110" s="820"/>
      <c r="T110" s="820"/>
    </row>
    <row r="111" spans="2:20" ht="30.75" customHeight="1" x14ac:dyDescent="0.25">
      <c r="B111" s="969" t="s">
        <v>1731</v>
      </c>
      <c r="C111" s="820"/>
      <c r="D111" s="842">
        <f>AVERAGE(SASSA!H37,SASSA!H38)*100</f>
        <v>95</v>
      </c>
      <c r="E111" s="978">
        <v>95</v>
      </c>
      <c r="F111" s="839"/>
      <c r="G111" s="820"/>
      <c r="H111" s="986">
        <f>SASSA!M162</f>
        <v>0</v>
      </c>
      <c r="I111" s="820"/>
      <c r="J111" s="987">
        <f>SASSA!M156</f>
        <v>0</v>
      </c>
      <c r="K111" s="820"/>
      <c r="L111" s="820"/>
      <c r="M111" s="820"/>
      <c r="N111" s="820"/>
      <c r="O111" s="820"/>
      <c r="P111" s="820"/>
      <c r="Q111" s="820"/>
      <c r="R111" s="820"/>
      <c r="S111" s="820"/>
      <c r="T111" s="820"/>
    </row>
    <row r="112" spans="2:20" ht="31.5" customHeight="1" x14ac:dyDescent="0.25">
      <c r="B112" s="969" t="s">
        <v>1732</v>
      </c>
      <c r="C112" s="820"/>
      <c r="D112" s="842">
        <f>AVERAGE(SASSA!H39,SASSA!H40,SASSA!H41)*100</f>
        <v>94.999999999999986</v>
      </c>
      <c r="E112" s="978">
        <v>95</v>
      </c>
      <c r="F112" s="839"/>
      <c r="G112" s="820"/>
      <c r="H112" s="986">
        <f>SASSA!M163</f>
        <v>0</v>
      </c>
      <c r="I112" s="820"/>
      <c r="J112" s="972">
        <f>SASSA!M157</f>
        <v>0</v>
      </c>
      <c r="K112" s="820"/>
      <c r="L112" s="820"/>
      <c r="M112" s="820"/>
      <c r="N112" s="820"/>
      <c r="O112" s="820"/>
      <c r="P112" s="820"/>
      <c r="Q112" s="820"/>
      <c r="R112" s="820"/>
      <c r="S112" s="820"/>
      <c r="T112" s="820"/>
    </row>
    <row r="113" spans="2:20" ht="21" customHeight="1" x14ac:dyDescent="0.25">
      <c r="B113" s="820"/>
      <c r="C113" s="820"/>
      <c r="D113" s="820"/>
      <c r="E113" s="820"/>
      <c r="F113" s="820"/>
      <c r="G113" s="820"/>
      <c r="H113" s="986"/>
      <c r="I113" s="820"/>
      <c r="J113" s="822"/>
      <c r="K113" s="820"/>
      <c r="L113" s="820"/>
      <c r="M113" s="820"/>
      <c r="N113" s="820"/>
      <c r="O113" s="820"/>
      <c r="P113" s="820"/>
      <c r="Q113" s="820"/>
      <c r="R113" s="820"/>
      <c r="S113" s="820"/>
      <c r="T113" s="820"/>
    </row>
    <row r="114" spans="2:20" ht="21" customHeight="1" x14ac:dyDescent="0.25">
      <c r="B114" s="820"/>
      <c r="C114" s="820"/>
      <c r="D114" s="820"/>
      <c r="E114" s="820"/>
      <c r="F114" s="820" t="s">
        <v>1449</v>
      </c>
      <c r="G114" s="820"/>
      <c r="H114" s="986">
        <f>SUM(H111:H113)</f>
        <v>0</v>
      </c>
      <c r="I114" s="971">
        <f t="shared" ref="I114:J114" si="0">SUM(I111:I113)</f>
        <v>0</v>
      </c>
      <c r="J114" s="987">
        <f t="shared" si="0"/>
        <v>0</v>
      </c>
      <c r="K114" s="820"/>
      <c r="L114" s="820"/>
      <c r="M114" s="820"/>
      <c r="N114" s="820"/>
      <c r="O114" s="820"/>
      <c r="P114" s="820"/>
      <c r="Q114" s="820"/>
      <c r="R114" s="820"/>
      <c r="S114" s="820"/>
      <c r="T114" s="820"/>
    </row>
  </sheetData>
  <sheetProtection selectLockedCells="1"/>
  <conditionalFormatting sqref="D10">
    <cfRule type="expression" dxfId="160" priority="94">
      <formula>$D$10&lt;0</formula>
    </cfRule>
    <cfRule type="expression" dxfId="159" priority="97">
      <formula>$D$10&gt;0</formula>
    </cfRule>
  </conditionalFormatting>
  <conditionalFormatting sqref="J104">
    <cfRule type="expression" dxfId="158" priority="88">
      <formula>$E$104&lt;7</formula>
    </cfRule>
  </conditionalFormatting>
  <conditionalFormatting sqref="J105">
    <cfRule type="expression" dxfId="157" priority="87">
      <formula>$E$105&lt;3</formula>
    </cfRule>
  </conditionalFormatting>
  <conditionalFormatting sqref="D64">
    <cfRule type="expression" dxfId="156" priority="85">
      <formula>$D$64&lt;0</formula>
    </cfRule>
    <cfRule type="expression" dxfId="155" priority="86">
      <formula>$D$64&gt;0</formula>
    </cfRule>
  </conditionalFormatting>
  <conditionalFormatting sqref="D92">
    <cfRule type="expression" dxfId="154" priority="81">
      <formula>$D$92&lt;0</formula>
    </cfRule>
    <cfRule type="expression" dxfId="153" priority="82">
      <formula>$D$92&gt;0</formula>
    </cfRule>
  </conditionalFormatting>
  <conditionalFormatting sqref="J72:J73">
    <cfRule type="expression" dxfId="152" priority="76">
      <formula>$J$73&gt;0</formula>
    </cfRule>
    <cfRule type="expression" dxfId="151" priority="77">
      <formula>$J$73&lt;0</formula>
    </cfRule>
  </conditionalFormatting>
  <conditionalFormatting sqref="J74">
    <cfRule type="expression" dxfId="150" priority="74">
      <formula>$J$74&gt;0</formula>
    </cfRule>
    <cfRule type="expression" dxfId="149" priority="75">
      <formula>$J$74&lt;0</formula>
    </cfRule>
  </conditionalFormatting>
  <conditionalFormatting sqref="J75">
    <cfRule type="expression" dxfId="148" priority="72">
      <formula>$J$75&gt;0</formula>
    </cfRule>
    <cfRule type="expression" dxfId="147" priority="73">
      <formula>$J$75&lt;0</formula>
    </cfRule>
  </conditionalFormatting>
  <conditionalFormatting sqref="H76:I76 J71">
    <cfRule type="expression" dxfId="146" priority="179">
      <formula>$J$71&gt;0</formula>
    </cfRule>
    <cfRule type="expression" dxfId="145" priority="180">
      <formula>$J$71&lt;0</formula>
    </cfRule>
  </conditionalFormatting>
  <conditionalFormatting sqref="H71">
    <cfRule type="expression" dxfId="144" priority="41">
      <formula>$H$71&lt;0</formula>
    </cfRule>
    <cfRule type="expression" dxfId="143" priority="42">
      <formula>$H$71&gt;0</formula>
    </cfRule>
  </conditionalFormatting>
  <conditionalFormatting sqref="H37 H26">
    <cfRule type="expression" dxfId="142" priority="39">
      <formula>H26&lt;0</formula>
    </cfRule>
    <cfRule type="expression" dxfId="141" priority="40">
      <formula>H26&gt;0</formula>
    </cfRule>
  </conditionalFormatting>
  <conditionalFormatting sqref="H38">
    <cfRule type="expression" dxfId="140" priority="31">
      <formula>H38&lt;0</formula>
    </cfRule>
    <cfRule type="expression" dxfId="139" priority="32">
      <formula>H38&gt;0</formula>
    </cfRule>
  </conditionalFormatting>
  <conditionalFormatting sqref="H39">
    <cfRule type="expression" dxfId="138" priority="29">
      <formula>H39&lt;0</formula>
    </cfRule>
    <cfRule type="expression" dxfId="137" priority="30">
      <formula>H39&gt;0</formula>
    </cfRule>
  </conditionalFormatting>
  <conditionalFormatting sqref="H46">
    <cfRule type="expression" dxfId="136" priority="27">
      <formula>H46&lt;0</formula>
    </cfRule>
    <cfRule type="expression" dxfId="135" priority="28">
      <formula>H46&gt;0</formula>
    </cfRule>
  </conditionalFormatting>
  <conditionalFormatting sqref="H47">
    <cfRule type="expression" dxfId="134" priority="25">
      <formula>H47&lt;0</formula>
    </cfRule>
    <cfRule type="expression" dxfId="133" priority="26">
      <formula>H47&gt;0</formula>
    </cfRule>
  </conditionalFormatting>
  <conditionalFormatting sqref="H48">
    <cfRule type="expression" dxfId="132" priority="23">
      <formula>H48&lt;0</formula>
    </cfRule>
    <cfRule type="expression" dxfId="131" priority="24">
      <formula>H48&gt;0</formula>
    </cfRule>
  </conditionalFormatting>
  <conditionalFormatting sqref="J26:J27">
    <cfRule type="expression" dxfId="130" priority="13">
      <formula>$J$26&lt;0</formula>
    </cfRule>
    <cfRule type="expression" dxfId="129" priority="14">
      <formula>$J$26&gt;0</formula>
    </cfRule>
  </conditionalFormatting>
  <conditionalFormatting sqref="L26:L32">
    <cfRule type="expression" dxfId="128" priority="11">
      <formula>$L$26&gt;0</formula>
    </cfRule>
    <cfRule type="expression" dxfId="127" priority="12">
      <formula>$L$26&lt;0</formula>
    </cfRule>
  </conditionalFormatting>
  <conditionalFormatting sqref="H111">
    <cfRule type="expression" dxfId="126" priority="7">
      <formula>$H$111&gt;0</formula>
    </cfRule>
    <cfRule type="expression" dxfId="125" priority="8">
      <formula>H111&lt;0</formula>
    </cfRule>
  </conditionalFormatting>
  <conditionalFormatting sqref="H112">
    <cfRule type="expression" dxfId="124" priority="5">
      <formula>$H$112&gt;0</formula>
    </cfRule>
    <cfRule type="expression" dxfId="123" priority="6">
      <formula>H112&lt;0</formula>
    </cfRule>
  </conditionalFormatting>
  <conditionalFormatting sqref="J111">
    <cfRule type="expression" dxfId="122" priority="3">
      <formula>$J$111&gt;0</formula>
    </cfRule>
    <cfRule type="expression" dxfId="121" priority="4">
      <formula>J111&lt;0</formula>
    </cfRule>
  </conditionalFormatting>
  <conditionalFormatting sqref="J112">
    <cfRule type="expression" dxfId="120" priority="1">
      <formula>$J$112&gt;0</formula>
    </cfRule>
    <cfRule type="expression" dxfId="119" priority="2">
      <formula>J112&lt;0</formula>
    </cfRule>
  </conditionalFormatting>
  <dataValidations count="4">
    <dataValidation type="list" allowBlank="1" showInputMessage="1" showErrorMessage="1" sqref="E41:E43 E20 E22">
      <formula1>"Continue,Discontinue"</formula1>
    </dataValidation>
    <dataValidation type="list" allowBlank="1" showInputMessage="1" showErrorMessage="1" sqref="B2">
      <formula1>"Eastern Cape,Free State,Gauteng,KwaZulu-Natal,Limpopo,Mpumalanga,North West,Northern Cape,Western Cape,South Africa"</formula1>
    </dataValidation>
    <dataValidation type="list" allowBlank="1" showInputMessage="1" showErrorMessage="1" sqref="E79:E83">
      <formula1>"No,Yes"</formula1>
    </dataValidation>
    <dataValidation type="list" allowBlank="1" showInputMessage="1" showErrorMessage="1" sqref="E28">
      <formula1>"Yes,No"</formula1>
    </dataValidation>
  </dataValidations>
  <hyperlinks>
    <hyperlink ref="E33" location="PDOH!H138" display="Change here"/>
  </hyperlinks>
  <pageMargins left="0.75" right="0.75" top="1" bottom="1" header="0.5" footer="0.5"/>
  <pageSetup paperSize="9" orientation="portrait" horizontalDpi="4294967292" verticalDpi="4294967292"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Spinner 1">
              <controlPr defaultSize="0" autoPict="0">
                <anchor moveWithCells="1" sizeWithCells="1">
                  <from>
                    <xdr:col>5</xdr:col>
                    <xdr:colOff>9525</xdr:colOff>
                    <xdr:row>36</xdr:row>
                    <xdr:rowOff>9525</xdr:rowOff>
                  </from>
                  <to>
                    <xdr:col>5</xdr:col>
                    <xdr:colOff>561975</xdr:colOff>
                    <xdr:row>36</xdr:row>
                    <xdr:rowOff>428625</xdr:rowOff>
                  </to>
                </anchor>
              </controlPr>
            </control>
          </mc:Choice>
        </mc:AlternateContent>
        <mc:AlternateContent xmlns:mc="http://schemas.openxmlformats.org/markup-compatibility/2006">
          <mc:Choice Requires="x14">
            <control shapeId="2050" r:id="rId5" name="Spinner 2">
              <controlPr defaultSize="0" autoPict="0">
                <anchor moveWithCells="1" sizeWithCells="1">
                  <from>
                    <xdr:col>5</xdr:col>
                    <xdr:colOff>9525</xdr:colOff>
                    <xdr:row>37</xdr:row>
                    <xdr:rowOff>9525</xdr:rowOff>
                  </from>
                  <to>
                    <xdr:col>5</xdr:col>
                    <xdr:colOff>561975</xdr:colOff>
                    <xdr:row>37</xdr:row>
                    <xdr:rowOff>428625</xdr:rowOff>
                  </to>
                </anchor>
              </controlPr>
            </control>
          </mc:Choice>
        </mc:AlternateContent>
        <mc:AlternateContent xmlns:mc="http://schemas.openxmlformats.org/markup-compatibility/2006">
          <mc:Choice Requires="x14">
            <control shapeId="2051" r:id="rId6" name="Spinner 3">
              <controlPr defaultSize="0" autoPict="0">
                <anchor moveWithCells="1" sizeWithCells="1">
                  <from>
                    <xdr:col>5</xdr:col>
                    <xdr:colOff>9525</xdr:colOff>
                    <xdr:row>38</xdr:row>
                    <xdr:rowOff>9525</xdr:rowOff>
                  </from>
                  <to>
                    <xdr:col>5</xdr:col>
                    <xdr:colOff>561975</xdr:colOff>
                    <xdr:row>38</xdr:row>
                    <xdr:rowOff>428625</xdr:rowOff>
                  </to>
                </anchor>
              </controlPr>
            </control>
          </mc:Choice>
        </mc:AlternateContent>
        <mc:AlternateContent xmlns:mc="http://schemas.openxmlformats.org/markup-compatibility/2006">
          <mc:Choice Requires="x14">
            <control shapeId="2053" r:id="rId7" name="Spinner 5">
              <controlPr defaultSize="0" autoPict="0">
                <anchor moveWithCells="1" sizeWithCells="1">
                  <from>
                    <xdr:col>5</xdr:col>
                    <xdr:colOff>9525</xdr:colOff>
                    <xdr:row>45</xdr:row>
                    <xdr:rowOff>9525</xdr:rowOff>
                  </from>
                  <to>
                    <xdr:col>5</xdr:col>
                    <xdr:colOff>561975</xdr:colOff>
                    <xdr:row>45</xdr:row>
                    <xdr:rowOff>428625</xdr:rowOff>
                  </to>
                </anchor>
              </controlPr>
            </control>
          </mc:Choice>
        </mc:AlternateContent>
        <mc:AlternateContent xmlns:mc="http://schemas.openxmlformats.org/markup-compatibility/2006">
          <mc:Choice Requires="x14">
            <control shapeId="2054" r:id="rId8" name="Spinner 6">
              <controlPr defaultSize="0" autoPict="0">
                <anchor moveWithCells="1" sizeWithCells="1">
                  <from>
                    <xdr:col>5</xdr:col>
                    <xdr:colOff>9525</xdr:colOff>
                    <xdr:row>46</xdr:row>
                    <xdr:rowOff>9525</xdr:rowOff>
                  </from>
                  <to>
                    <xdr:col>5</xdr:col>
                    <xdr:colOff>561975</xdr:colOff>
                    <xdr:row>46</xdr:row>
                    <xdr:rowOff>428625</xdr:rowOff>
                  </to>
                </anchor>
              </controlPr>
            </control>
          </mc:Choice>
        </mc:AlternateContent>
        <mc:AlternateContent xmlns:mc="http://schemas.openxmlformats.org/markup-compatibility/2006">
          <mc:Choice Requires="x14">
            <control shapeId="2055" r:id="rId9" name="Spinner 7">
              <controlPr defaultSize="0" autoPict="0">
                <anchor moveWithCells="1" sizeWithCells="1">
                  <from>
                    <xdr:col>5</xdr:col>
                    <xdr:colOff>9525</xdr:colOff>
                    <xdr:row>47</xdr:row>
                    <xdr:rowOff>9525</xdr:rowOff>
                  </from>
                  <to>
                    <xdr:col>5</xdr:col>
                    <xdr:colOff>561975</xdr:colOff>
                    <xdr:row>47</xdr:row>
                    <xdr:rowOff>428625</xdr:rowOff>
                  </to>
                </anchor>
              </controlPr>
            </control>
          </mc:Choice>
        </mc:AlternateContent>
        <mc:AlternateContent xmlns:mc="http://schemas.openxmlformats.org/markup-compatibility/2006">
          <mc:Choice Requires="x14">
            <control shapeId="2056" r:id="rId10" name="Spinner 8">
              <controlPr defaultSize="0" autoPict="0">
                <anchor moveWithCells="1" sizeWithCells="1">
                  <from>
                    <xdr:col>5</xdr:col>
                    <xdr:colOff>9525</xdr:colOff>
                    <xdr:row>52</xdr:row>
                    <xdr:rowOff>9525</xdr:rowOff>
                  </from>
                  <to>
                    <xdr:col>5</xdr:col>
                    <xdr:colOff>561975</xdr:colOff>
                    <xdr:row>52</xdr:row>
                    <xdr:rowOff>428625</xdr:rowOff>
                  </to>
                </anchor>
              </controlPr>
            </control>
          </mc:Choice>
        </mc:AlternateContent>
        <mc:AlternateContent xmlns:mc="http://schemas.openxmlformats.org/markup-compatibility/2006">
          <mc:Choice Requires="x14">
            <control shapeId="2057" r:id="rId11" name="Spinner 9">
              <controlPr defaultSize="0" autoPict="0">
                <anchor moveWithCells="1" sizeWithCells="1">
                  <from>
                    <xdr:col>5</xdr:col>
                    <xdr:colOff>9525</xdr:colOff>
                    <xdr:row>53</xdr:row>
                    <xdr:rowOff>9525</xdr:rowOff>
                  </from>
                  <to>
                    <xdr:col>5</xdr:col>
                    <xdr:colOff>561975</xdr:colOff>
                    <xdr:row>53</xdr:row>
                    <xdr:rowOff>428625</xdr:rowOff>
                  </to>
                </anchor>
              </controlPr>
            </control>
          </mc:Choice>
        </mc:AlternateContent>
        <mc:AlternateContent xmlns:mc="http://schemas.openxmlformats.org/markup-compatibility/2006">
          <mc:Choice Requires="x14">
            <control shapeId="2058" r:id="rId12" name="Spinner 10">
              <controlPr defaultSize="0" autoPict="0">
                <anchor moveWithCells="1" sizeWithCells="1">
                  <from>
                    <xdr:col>5</xdr:col>
                    <xdr:colOff>9525</xdr:colOff>
                    <xdr:row>54</xdr:row>
                    <xdr:rowOff>9525</xdr:rowOff>
                  </from>
                  <to>
                    <xdr:col>5</xdr:col>
                    <xdr:colOff>561975</xdr:colOff>
                    <xdr:row>54</xdr:row>
                    <xdr:rowOff>428625</xdr:rowOff>
                  </to>
                </anchor>
              </controlPr>
            </control>
          </mc:Choice>
        </mc:AlternateContent>
        <mc:AlternateContent xmlns:mc="http://schemas.openxmlformats.org/markup-compatibility/2006">
          <mc:Choice Requires="x14">
            <control shapeId="2060" r:id="rId13" name="Spinner 12">
              <controlPr locked="0" defaultSize="0" autoPict="0">
                <anchor moveWithCells="1" sizeWithCells="1">
                  <from>
                    <xdr:col>5</xdr:col>
                    <xdr:colOff>9525</xdr:colOff>
                    <xdr:row>72</xdr:row>
                    <xdr:rowOff>9525</xdr:rowOff>
                  </from>
                  <to>
                    <xdr:col>5</xdr:col>
                    <xdr:colOff>561975</xdr:colOff>
                    <xdr:row>72</xdr:row>
                    <xdr:rowOff>428625</xdr:rowOff>
                  </to>
                </anchor>
              </controlPr>
            </control>
          </mc:Choice>
        </mc:AlternateContent>
        <mc:AlternateContent xmlns:mc="http://schemas.openxmlformats.org/markup-compatibility/2006">
          <mc:Choice Requires="x14">
            <control shapeId="2061" r:id="rId14" name="Spinner 13">
              <controlPr locked="0" defaultSize="0" autoPict="0">
                <anchor moveWithCells="1" sizeWithCells="1">
                  <from>
                    <xdr:col>5</xdr:col>
                    <xdr:colOff>9525</xdr:colOff>
                    <xdr:row>73</xdr:row>
                    <xdr:rowOff>9525</xdr:rowOff>
                  </from>
                  <to>
                    <xdr:col>5</xdr:col>
                    <xdr:colOff>561975</xdr:colOff>
                    <xdr:row>73</xdr:row>
                    <xdr:rowOff>428625</xdr:rowOff>
                  </to>
                </anchor>
              </controlPr>
            </control>
          </mc:Choice>
        </mc:AlternateContent>
        <mc:AlternateContent xmlns:mc="http://schemas.openxmlformats.org/markup-compatibility/2006">
          <mc:Choice Requires="x14">
            <control shapeId="2062" r:id="rId15" name="Spinner 14">
              <controlPr locked="0" defaultSize="0" autoPict="0">
                <anchor moveWithCells="1" sizeWithCells="1">
                  <from>
                    <xdr:col>5</xdr:col>
                    <xdr:colOff>9525</xdr:colOff>
                    <xdr:row>74</xdr:row>
                    <xdr:rowOff>9525</xdr:rowOff>
                  </from>
                  <to>
                    <xdr:col>5</xdr:col>
                    <xdr:colOff>561975</xdr:colOff>
                    <xdr:row>74</xdr:row>
                    <xdr:rowOff>428625</xdr:rowOff>
                  </to>
                </anchor>
              </controlPr>
            </control>
          </mc:Choice>
        </mc:AlternateContent>
        <mc:AlternateContent xmlns:mc="http://schemas.openxmlformats.org/markup-compatibility/2006">
          <mc:Choice Requires="x14">
            <control shapeId="2063" r:id="rId16" name="Spinner 15">
              <controlPr locked="0" defaultSize="0" autoPict="0">
                <anchor moveWithCells="1" sizeWithCells="1">
                  <from>
                    <xdr:col>5</xdr:col>
                    <xdr:colOff>9525</xdr:colOff>
                    <xdr:row>103</xdr:row>
                    <xdr:rowOff>9525</xdr:rowOff>
                  </from>
                  <to>
                    <xdr:col>5</xdr:col>
                    <xdr:colOff>561975</xdr:colOff>
                    <xdr:row>103</xdr:row>
                    <xdr:rowOff>428625</xdr:rowOff>
                  </to>
                </anchor>
              </controlPr>
            </control>
          </mc:Choice>
        </mc:AlternateContent>
        <mc:AlternateContent xmlns:mc="http://schemas.openxmlformats.org/markup-compatibility/2006">
          <mc:Choice Requires="x14">
            <control shapeId="2064" r:id="rId17" name="Spinner 16">
              <controlPr locked="0" defaultSize="0" autoPict="0">
                <anchor moveWithCells="1" sizeWithCells="1">
                  <from>
                    <xdr:col>5</xdr:col>
                    <xdr:colOff>9525</xdr:colOff>
                    <xdr:row>104</xdr:row>
                    <xdr:rowOff>9525</xdr:rowOff>
                  </from>
                  <to>
                    <xdr:col>5</xdr:col>
                    <xdr:colOff>561975</xdr:colOff>
                    <xdr:row>104</xdr:row>
                    <xdr:rowOff>428625</xdr:rowOff>
                  </to>
                </anchor>
              </controlPr>
            </control>
          </mc:Choice>
        </mc:AlternateContent>
        <mc:AlternateContent xmlns:mc="http://schemas.openxmlformats.org/markup-compatibility/2006">
          <mc:Choice Requires="x14">
            <control shapeId="2066" r:id="rId18" name="Spinner 18">
              <controlPr defaultSize="0" autoPict="0">
                <anchor moveWithCells="1" sizeWithCells="1">
                  <from>
                    <xdr:col>5</xdr:col>
                    <xdr:colOff>9525</xdr:colOff>
                    <xdr:row>25</xdr:row>
                    <xdr:rowOff>9525</xdr:rowOff>
                  </from>
                  <to>
                    <xdr:col>5</xdr:col>
                    <xdr:colOff>561975</xdr:colOff>
                    <xdr:row>25</xdr:row>
                    <xdr:rowOff>419100</xdr:rowOff>
                  </to>
                </anchor>
              </controlPr>
            </control>
          </mc:Choice>
        </mc:AlternateContent>
        <mc:AlternateContent xmlns:mc="http://schemas.openxmlformats.org/markup-compatibility/2006">
          <mc:Choice Requires="x14">
            <control shapeId="2070" r:id="rId19" name="Spinner 22">
              <controlPr locked="0" defaultSize="0" autoPict="0">
                <anchor moveWithCells="1" sizeWithCells="1">
                  <from>
                    <xdr:col>5</xdr:col>
                    <xdr:colOff>9525</xdr:colOff>
                    <xdr:row>110</xdr:row>
                    <xdr:rowOff>9525</xdr:rowOff>
                  </from>
                  <to>
                    <xdr:col>5</xdr:col>
                    <xdr:colOff>561975</xdr:colOff>
                    <xdr:row>111</xdr:row>
                    <xdr:rowOff>0</xdr:rowOff>
                  </to>
                </anchor>
              </controlPr>
            </control>
          </mc:Choice>
        </mc:AlternateContent>
        <mc:AlternateContent xmlns:mc="http://schemas.openxmlformats.org/markup-compatibility/2006">
          <mc:Choice Requires="x14">
            <control shapeId="2071" r:id="rId20" name="Spinner 23">
              <controlPr locked="0" defaultSize="0" autoPict="0">
                <anchor moveWithCells="1" sizeWithCells="1">
                  <from>
                    <xdr:col>5</xdr:col>
                    <xdr:colOff>9525</xdr:colOff>
                    <xdr:row>111</xdr:row>
                    <xdr:rowOff>9525</xdr:rowOff>
                  </from>
                  <to>
                    <xdr:col>5</xdr:col>
                    <xdr:colOff>561975</xdr:colOff>
                    <xdr:row>112</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51" id="{D36ABC79-E9D9-4339-A715-3FFD59CA4FDB}">
            <xm:f>'Budget Choices Workings'!$AO$97&gt;0</xm:f>
            <x14:dxf>
              <font>
                <color rgb="FFC00000"/>
              </font>
            </x14:dxf>
          </x14:cfRule>
          <x14:cfRule type="expression" priority="54" id="{C76820D2-FFA3-47FF-9E7F-A5FA7B3889DC}">
            <xm:f>'Budget Choices Workings'!$AP$97&gt;0</xm:f>
            <x14:dxf>
              <font>
                <color rgb="FF00B050"/>
              </font>
            </x14:dxf>
          </x14:cfRule>
          <xm:sqref>J53</xm:sqref>
        </x14:conditionalFormatting>
        <x14:conditionalFormatting xmlns:xm="http://schemas.microsoft.com/office/excel/2006/main">
          <x14:cfRule type="expression" priority="50" id="{F3F705DD-D8E4-416F-AB39-319E5872E44B}">
            <xm:f>'Budget Choices Workings'!$AO$96&gt;0</xm:f>
            <x14:dxf>
              <font>
                <color rgb="FFC00000"/>
              </font>
            </x14:dxf>
          </x14:cfRule>
          <x14:cfRule type="expression" priority="53" id="{239EB082-5B9F-4004-9C0B-191ADF0FDAF7}">
            <xm:f>'Budget Choices Workings'!$AP$96&gt;0</xm:f>
            <x14:dxf>
              <font>
                <color rgb="FF00B050"/>
              </font>
            </x14:dxf>
          </x14:cfRule>
          <xm:sqref>J54</xm:sqref>
        </x14:conditionalFormatting>
        <x14:conditionalFormatting xmlns:xm="http://schemas.microsoft.com/office/excel/2006/main">
          <x14:cfRule type="expression" priority="49" id="{2A084333-F07E-47BA-84FA-D3EDAA0E527A}">
            <xm:f>'Budget Choices Workings'!$AO$95&gt;0</xm:f>
            <x14:dxf>
              <font>
                <color rgb="FFC00000"/>
              </font>
            </x14:dxf>
          </x14:cfRule>
          <x14:cfRule type="expression" priority="52" id="{D1DBA3F5-B136-48DA-ABD2-282A05DE05B7}">
            <xm:f>'Budget Choices Workings'!$AP$95&gt;0</xm:f>
            <x14:dxf>
              <font>
                <color rgb="FF00B050"/>
              </font>
            </x14:dxf>
          </x14:cfRule>
          <xm:sqref>J55</xm:sqref>
        </x14:conditionalFormatting>
        <x14:conditionalFormatting xmlns:xm="http://schemas.microsoft.com/office/excel/2006/main">
          <x14:cfRule type="expression" priority="45" id="{FE0E71C1-870F-4E16-A6C5-37246E09B3E3}">
            <xm:f>'Budget Choices Workings'!$AO$92</xm:f>
            <x14:dxf>
              <font>
                <color rgb="FFC00000"/>
              </font>
            </x14:dxf>
          </x14:cfRule>
          <x14:cfRule type="expression" priority="48" id="{2E54CE4D-FB1F-486C-8EA8-89926F94CD7D}">
            <xm:f>'Budget Choices Workings'!$AP$92</xm:f>
            <x14:dxf>
              <font>
                <color rgb="FF00B050"/>
              </font>
            </x14:dxf>
          </x14:cfRule>
          <xm:sqref>J46</xm:sqref>
        </x14:conditionalFormatting>
        <x14:conditionalFormatting xmlns:xm="http://schemas.microsoft.com/office/excel/2006/main">
          <x14:cfRule type="expression" priority="44" id="{1889E7C3-4877-4CBF-866D-B8B8AB0E000C}">
            <xm:f>'Budget Choices Workings'!$AO$91</xm:f>
            <x14:dxf>
              <font>
                <color rgb="FFC00000"/>
              </font>
            </x14:dxf>
          </x14:cfRule>
          <x14:cfRule type="expression" priority="47" id="{AE6B08D9-99F7-4E4E-AAB2-235C26C406E0}">
            <xm:f>'Budget Choices Workings'!$AP$91</xm:f>
            <x14:dxf>
              <font>
                <color rgb="FF00B050"/>
              </font>
            </x14:dxf>
          </x14:cfRule>
          <xm:sqref>J47</xm:sqref>
        </x14:conditionalFormatting>
        <x14:conditionalFormatting xmlns:xm="http://schemas.microsoft.com/office/excel/2006/main">
          <x14:cfRule type="expression" priority="43" id="{A3A3E0D8-950E-44A7-8DFC-6F179141C840}">
            <xm:f>'Budget Choices Workings'!$AO$90</xm:f>
            <x14:dxf>
              <font>
                <color rgb="FFC00000"/>
              </font>
            </x14:dxf>
          </x14:cfRule>
          <x14:cfRule type="expression" priority="46" id="{34F90A9E-B084-4597-9B18-93253942E6AF}">
            <xm:f>'Budget Choices Workings'!$AP$90</xm:f>
            <x14:dxf>
              <font>
                <color rgb="FF00B050"/>
              </font>
            </x14:dxf>
          </x14:cfRule>
          <xm:sqref>J48</xm:sqref>
        </x14:conditionalFormatting>
      </x14:conditionalFormattings>
    </ex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4"/>
  <sheetViews>
    <sheetView workbookViewId="0">
      <selection activeCell="D15" sqref="D15"/>
    </sheetView>
  </sheetViews>
  <sheetFormatPr defaultColWidth="8.85546875" defaultRowHeight="12.75" x14ac:dyDescent="0.2"/>
  <cols>
    <col min="1" max="2" width="14.42578125" style="8" customWidth="1"/>
    <col min="3" max="3" width="17.85546875" style="8" hidden="1" customWidth="1"/>
    <col min="4" max="4" width="28.7109375" style="8" customWidth="1"/>
    <col min="5" max="24" width="10.7109375" style="8" customWidth="1"/>
    <col min="25" max="16384" width="8.85546875" style="8"/>
  </cols>
  <sheetData>
    <row r="1" spans="1:24" x14ac:dyDescent="0.2">
      <c r="E1" s="15" t="s">
        <v>143</v>
      </c>
      <c r="F1" s="15"/>
      <c r="G1" s="15"/>
      <c r="H1" s="15"/>
      <c r="I1" s="15"/>
      <c r="J1" s="15"/>
      <c r="K1" s="15"/>
      <c r="L1" s="15"/>
      <c r="M1" s="15"/>
      <c r="N1" s="15"/>
      <c r="O1" s="15"/>
      <c r="P1" s="15"/>
      <c r="Q1" s="15"/>
      <c r="R1" s="15"/>
      <c r="S1" s="15"/>
      <c r="T1" s="15"/>
      <c r="U1" s="15"/>
      <c r="V1" s="15"/>
      <c r="W1" s="15"/>
      <c r="X1" s="15"/>
    </row>
    <row r="2" spans="1:24" s="12" customFormat="1" x14ac:dyDescent="0.2">
      <c r="A2" s="14" t="s">
        <v>142</v>
      </c>
      <c r="B2" s="14" t="s">
        <v>141</v>
      </c>
      <c r="C2" s="14"/>
      <c r="D2" s="14" t="s">
        <v>141</v>
      </c>
      <c r="E2" s="13" t="s">
        <v>140</v>
      </c>
      <c r="F2" s="13">
        <v>5</v>
      </c>
      <c r="G2" s="13" t="s">
        <v>372</v>
      </c>
      <c r="H2" s="13" t="s">
        <v>139</v>
      </c>
      <c r="I2" s="13" t="s">
        <v>138</v>
      </c>
      <c r="J2" s="13" t="s">
        <v>137</v>
      </c>
      <c r="K2" s="13" t="s">
        <v>136</v>
      </c>
      <c r="L2" s="13" t="s">
        <v>135</v>
      </c>
      <c r="M2" s="13" t="s">
        <v>134</v>
      </c>
      <c r="N2" s="13" t="s">
        <v>133</v>
      </c>
      <c r="O2" s="13" t="s">
        <v>132</v>
      </c>
      <c r="P2" s="13" t="s">
        <v>131</v>
      </c>
      <c r="Q2" s="13" t="s">
        <v>130</v>
      </c>
      <c r="R2" s="13" t="s">
        <v>129</v>
      </c>
      <c r="S2" s="13" t="s">
        <v>128</v>
      </c>
      <c r="T2" s="13" t="s">
        <v>127</v>
      </c>
      <c r="U2" s="13" t="s">
        <v>126</v>
      </c>
      <c r="V2" s="13" t="s">
        <v>125</v>
      </c>
      <c r="W2" s="13" t="s">
        <v>124</v>
      </c>
      <c r="X2" s="13" t="s">
        <v>123</v>
      </c>
    </row>
    <row r="3" spans="1:24" x14ac:dyDescent="0.2">
      <c r="A3" s="10" t="s">
        <v>115</v>
      </c>
      <c r="B3" s="10" t="s">
        <v>141</v>
      </c>
      <c r="C3" s="10" t="str">
        <f>CONCATENATE(A3,B3)</f>
        <v>Eastern CapeDistrict</v>
      </c>
      <c r="D3" s="10" t="s">
        <v>122</v>
      </c>
      <c r="E3" s="9">
        <v>45969</v>
      </c>
      <c r="F3" s="9">
        <v>8072.2</v>
      </c>
      <c r="G3" s="9">
        <f>F3+E3</f>
        <v>54041.2</v>
      </c>
      <c r="H3" s="9">
        <v>40361</v>
      </c>
      <c r="I3" s="9">
        <v>36272</v>
      </c>
      <c r="J3" s="9">
        <v>38575</v>
      </c>
      <c r="K3" s="9">
        <v>42359</v>
      </c>
      <c r="L3" s="9">
        <v>39786</v>
      </c>
      <c r="M3" s="9">
        <v>32411</v>
      </c>
      <c r="N3" s="9">
        <v>31370</v>
      </c>
      <c r="O3" s="9">
        <v>29412</v>
      </c>
      <c r="P3" s="9">
        <v>26466</v>
      </c>
      <c r="Q3" s="9">
        <v>22845</v>
      </c>
      <c r="R3" s="9">
        <v>18530</v>
      </c>
      <c r="S3" s="9">
        <v>14683</v>
      </c>
      <c r="T3" s="9">
        <v>10894</v>
      </c>
      <c r="U3" s="9">
        <v>8999</v>
      </c>
      <c r="V3" s="9">
        <v>5422</v>
      </c>
      <c r="W3" s="9">
        <v>3275</v>
      </c>
      <c r="X3" s="9">
        <v>2956</v>
      </c>
    </row>
    <row r="4" spans="1:24" x14ac:dyDescent="0.2">
      <c r="A4" s="10" t="s">
        <v>115</v>
      </c>
      <c r="B4" s="10" t="s">
        <v>141</v>
      </c>
      <c r="C4" s="10" t="str">
        <f t="shared" ref="C4:C54" si="0">CONCATENATE(A4,B4)</f>
        <v>Eastern CapeDistrict</v>
      </c>
      <c r="D4" s="10" t="s">
        <v>121</v>
      </c>
      <c r="E4" s="9">
        <v>104030</v>
      </c>
      <c r="F4" s="9">
        <v>19623.599999999999</v>
      </c>
      <c r="G4" s="9">
        <f t="shared" ref="G4:G54" si="1">F4+E4</f>
        <v>123653.6</v>
      </c>
      <c r="H4" s="9">
        <v>98118</v>
      </c>
      <c r="I4" s="9">
        <v>96434</v>
      </c>
      <c r="J4" s="9">
        <v>106473</v>
      </c>
      <c r="K4" s="9">
        <v>76240</v>
      </c>
      <c r="L4" s="9">
        <v>54717</v>
      </c>
      <c r="M4" s="9">
        <v>43185</v>
      </c>
      <c r="N4" s="9">
        <v>41923</v>
      </c>
      <c r="O4" s="9">
        <v>40604</v>
      </c>
      <c r="P4" s="9">
        <v>41290</v>
      </c>
      <c r="Q4" s="9">
        <v>41992</v>
      </c>
      <c r="R4" s="9">
        <v>36517</v>
      </c>
      <c r="S4" s="9">
        <v>31241</v>
      </c>
      <c r="T4" s="9">
        <v>24456</v>
      </c>
      <c r="U4" s="9">
        <v>23432</v>
      </c>
      <c r="V4" s="9">
        <v>14262</v>
      </c>
      <c r="W4" s="9">
        <v>9849</v>
      </c>
      <c r="X4" s="9">
        <v>7875</v>
      </c>
    </row>
    <row r="5" spans="1:24" x14ac:dyDescent="0.2">
      <c r="A5" s="10" t="s">
        <v>115</v>
      </c>
      <c r="B5" s="10" t="s">
        <v>141</v>
      </c>
      <c r="C5" s="10" t="str">
        <f t="shared" si="0"/>
        <v>Eastern CapeDistrict</v>
      </c>
      <c r="D5" s="10" t="s">
        <v>120</v>
      </c>
      <c r="E5" s="9">
        <v>94664</v>
      </c>
      <c r="F5" s="9">
        <v>18467.2</v>
      </c>
      <c r="G5" s="9">
        <f t="shared" si="1"/>
        <v>113131.2</v>
      </c>
      <c r="H5" s="9">
        <v>92336</v>
      </c>
      <c r="I5" s="9">
        <v>86257</v>
      </c>
      <c r="J5" s="9">
        <v>91126</v>
      </c>
      <c r="K5" s="9">
        <v>66057</v>
      </c>
      <c r="L5" s="9">
        <v>51709</v>
      </c>
      <c r="M5" s="9">
        <v>40128</v>
      </c>
      <c r="N5" s="9">
        <v>39100</v>
      </c>
      <c r="O5" s="9">
        <v>36743</v>
      </c>
      <c r="P5" s="9">
        <v>36578</v>
      </c>
      <c r="Q5" s="9">
        <v>36906</v>
      </c>
      <c r="R5" s="9">
        <v>32155</v>
      </c>
      <c r="S5" s="9">
        <v>27299</v>
      </c>
      <c r="T5" s="9">
        <v>19414</v>
      </c>
      <c r="U5" s="9">
        <v>19449</v>
      </c>
      <c r="V5" s="9">
        <v>11510</v>
      </c>
      <c r="W5" s="9">
        <v>7685</v>
      </c>
      <c r="X5" s="9">
        <v>6346</v>
      </c>
    </row>
    <row r="6" spans="1:24" x14ac:dyDescent="0.2">
      <c r="A6" s="10" t="s">
        <v>115</v>
      </c>
      <c r="B6" s="10" t="s">
        <v>141</v>
      </c>
      <c r="C6" s="10" t="str">
        <f t="shared" si="0"/>
        <v>Eastern CapeDistrict</v>
      </c>
      <c r="D6" s="10" t="s">
        <v>119</v>
      </c>
      <c r="E6" s="9">
        <v>40967</v>
      </c>
      <c r="F6" s="9">
        <v>7913.4</v>
      </c>
      <c r="G6" s="9">
        <f t="shared" si="1"/>
        <v>48880.4</v>
      </c>
      <c r="H6" s="9">
        <v>39567</v>
      </c>
      <c r="I6" s="9">
        <v>38758</v>
      </c>
      <c r="J6" s="9">
        <v>40407</v>
      </c>
      <c r="K6" s="9">
        <v>32025</v>
      </c>
      <c r="L6" s="9">
        <v>24637</v>
      </c>
      <c r="M6" s="9">
        <v>19771</v>
      </c>
      <c r="N6" s="9">
        <v>18007</v>
      </c>
      <c r="O6" s="9">
        <v>15421</v>
      </c>
      <c r="P6" s="9">
        <v>14868</v>
      </c>
      <c r="Q6" s="9">
        <v>14393</v>
      </c>
      <c r="R6" s="9">
        <v>13115</v>
      </c>
      <c r="S6" s="9">
        <v>11475</v>
      </c>
      <c r="T6" s="9">
        <v>8147</v>
      </c>
      <c r="U6" s="9">
        <v>7114</v>
      </c>
      <c r="V6" s="9">
        <v>5455</v>
      </c>
      <c r="W6" s="9">
        <v>3213</v>
      </c>
      <c r="X6" s="9">
        <v>2426</v>
      </c>
    </row>
    <row r="7" spans="1:24" x14ac:dyDescent="0.2">
      <c r="A7" s="10" t="s">
        <v>115</v>
      </c>
      <c r="B7" s="10" t="s">
        <v>141</v>
      </c>
      <c r="C7" s="10" t="str">
        <f t="shared" si="0"/>
        <v>Eastern CapeDistrict</v>
      </c>
      <c r="D7" s="10" t="s">
        <v>118</v>
      </c>
      <c r="E7" s="9">
        <v>181935</v>
      </c>
      <c r="F7" s="9">
        <v>34934.6</v>
      </c>
      <c r="G7" s="9">
        <f t="shared" si="1"/>
        <v>216869.6</v>
      </c>
      <c r="H7" s="9">
        <v>174673</v>
      </c>
      <c r="I7" s="9">
        <v>175859</v>
      </c>
      <c r="J7" s="9">
        <v>188498</v>
      </c>
      <c r="K7" s="9">
        <v>129395</v>
      </c>
      <c r="L7" s="9">
        <v>92504</v>
      </c>
      <c r="M7" s="9">
        <v>69657</v>
      </c>
      <c r="N7" s="9">
        <v>60864</v>
      </c>
      <c r="O7" s="9">
        <v>51974</v>
      </c>
      <c r="P7" s="9">
        <v>48407</v>
      </c>
      <c r="Q7" s="9">
        <v>45725</v>
      </c>
      <c r="R7" s="9">
        <v>37456</v>
      </c>
      <c r="S7" s="9">
        <v>31912</v>
      </c>
      <c r="T7" s="9">
        <v>21359</v>
      </c>
      <c r="U7" s="9">
        <v>22190</v>
      </c>
      <c r="V7" s="9">
        <v>14802</v>
      </c>
      <c r="W7" s="9">
        <v>10766</v>
      </c>
      <c r="X7" s="9">
        <v>6968</v>
      </c>
    </row>
    <row r="8" spans="1:24" x14ac:dyDescent="0.2">
      <c r="A8" s="10" t="s">
        <v>115</v>
      </c>
      <c r="B8" s="10" t="s">
        <v>141</v>
      </c>
      <c r="C8" s="10" t="str">
        <f t="shared" si="0"/>
        <v>Eastern CapeDistrict</v>
      </c>
      <c r="D8" s="10" t="s">
        <v>117</v>
      </c>
      <c r="E8" s="9">
        <v>111741</v>
      </c>
      <c r="F8" s="9">
        <v>21505.599999999999</v>
      </c>
      <c r="G8" s="9">
        <f t="shared" si="1"/>
        <v>133246.6</v>
      </c>
      <c r="H8" s="9">
        <v>107528</v>
      </c>
      <c r="I8" s="9">
        <v>108435</v>
      </c>
      <c r="J8" s="9">
        <v>106594</v>
      </c>
      <c r="K8" s="9">
        <v>70273</v>
      </c>
      <c r="L8" s="9">
        <v>49925</v>
      </c>
      <c r="M8" s="9">
        <v>37650</v>
      </c>
      <c r="N8" s="9">
        <v>33541</v>
      </c>
      <c r="O8" s="9">
        <v>28542</v>
      </c>
      <c r="P8" s="9">
        <v>27623</v>
      </c>
      <c r="Q8" s="9">
        <v>26744</v>
      </c>
      <c r="R8" s="9">
        <v>22722</v>
      </c>
      <c r="S8" s="9">
        <v>20513</v>
      </c>
      <c r="T8" s="9">
        <v>15018</v>
      </c>
      <c r="U8" s="9">
        <v>12788</v>
      </c>
      <c r="V8" s="9">
        <v>9997</v>
      </c>
      <c r="W8" s="9">
        <v>7178</v>
      </c>
      <c r="X8" s="9">
        <v>4532</v>
      </c>
    </row>
    <row r="9" spans="1:24" x14ac:dyDescent="0.2">
      <c r="A9" s="10" t="s">
        <v>115</v>
      </c>
      <c r="B9" s="10" t="s">
        <v>144</v>
      </c>
      <c r="C9" s="10" t="str">
        <f t="shared" si="0"/>
        <v>Eastern CapeMetro</v>
      </c>
      <c r="D9" s="10" t="s">
        <v>116</v>
      </c>
      <c r="E9" s="9">
        <v>77503</v>
      </c>
      <c r="F9" s="9">
        <v>13137.6</v>
      </c>
      <c r="G9" s="9">
        <f t="shared" si="1"/>
        <v>90640.6</v>
      </c>
      <c r="H9" s="9">
        <v>65688</v>
      </c>
      <c r="I9" s="9">
        <v>56124</v>
      </c>
      <c r="J9" s="9">
        <v>68031</v>
      </c>
      <c r="K9" s="9">
        <v>76571</v>
      </c>
      <c r="L9" s="9">
        <v>70425</v>
      </c>
      <c r="M9" s="9">
        <v>58381</v>
      </c>
      <c r="N9" s="9">
        <v>52514</v>
      </c>
      <c r="O9" s="9">
        <v>48131</v>
      </c>
      <c r="P9" s="9">
        <v>43962</v>
      </c>
      <c r="Q9" s="9">
        <v>39469</v>
      </c>
      <c r="R9" s="9">
        <v>31530</v>
      </c>
      <c r="S9" s="9">
        <v>21685</v>
      </c>
      <c r="T9" s="9">
        <v>15825</v>
      </c>
      <c r="U9" s="9">
        <v>13186</v>
      </c>
      <c r="V9" s="9">
        <v>7628</v>
      </c>
      <c r="W9" s="9">
        <v>4764</v>
      </c>
      <c r="X9" s="9">
        <v>3781</v>
      </c>
    </row>
    <row r="10" spans="1:24" x14ac:dyDescent="0.2">
      <c r="A10" s="10" t="s">
        <v>115</v>
      </c>
      <c r="B10" s="10" t="s">
        <v>144</v>
      </c>
      <c r="C10" s="10" t="str">
        <f t="shared" si="0"/>
        <v>Eastern CapeMetro</v>
      </c>
      <c r="D10" s="10" t="s">
        <v>114</v>
      </c>
      <c r="E10" s="9">
        <v>110406</v>
      </c>
      <c r="F10" s="9">
        <v>19544.2</v>
      </c>
      <c r="G10" s="9">
        <f t="shared" si="1"/>
        <v>129950.2</v>
      </c>
      <c r="H10" s="9">
        <v>97721</v>
      </c>
      <c r="I10" s="9">
        <v>86143</v>
      </c>
      <c r="J10" s="9">
        <v>100811</v>
      </c>
      <c r="K10" s="9">
        <v>115451</v>
      </c>
      <c r="L10" s="9">
        <v>106603</v>
      </c>
      <c r="M10" s="9">
        <v>87405</v>
      </c>
      <c r="N10" s="9">
        <v>82085</v>
      </c>
      <c r="O10" s="9">
        <v>76509</v>
      </c>
      <c r="P10" s="9">
        <v>69414</v>
      </c>
      <c r="Q10" s="9">
        <v>62732</v>
      </c>
      <c r="R10" s="9">
        <v>50381</v>
      </c>
      <c r="S10" s="9">
        <v>37822</v>
      </c>
      <c r="T10" s="9">
        <v>25357</v>
      </c>
      <c r="U10" s="9">
        <v>18793</v>
      </c>
      <c r="V10" s="9">
        <v>12160</v>
      </c>
      <c r="W10" s="9">
        <v>6997</v>
      </c>
      <c r="X10" s="9">
        <v>5326</v>
      </c>
    </row>
    <row r="11" spans="1:24" x14ac:dyDescent="0.2">
      <c r="A11" s="10" t="s">
        <v>109</v>
      </c>
      <c r="B11" s="10" t="s">
        <v>141</v>
      </c>
      <c r="C11" s="10" t="str">
        <f t="shared" si="0"/>
        <v>Free StateDistrict</v>
      </c>
      <c r="D11" s="10" t="s">
        <v>113</v>
      </c>
      <c r="E11" s="9">
        <v>16284</v>
      </c>
      <c r="F11" s="9">
        <v>3037</v>
      </c>
      <c r="G11" s="9">
        <f t="shared" si="1"/>
        <v>19321</v>
      </c>
      <c r="H11" s="9">
        <v>15185</v>
      </c>
      <c r="I11" s="9">
        <v>13515</v>
      </c>
      <c r="J11" s="9">
        <v>13792</v>
      </c>
      <c r="K11" s="9">
        <v>13821</v>
      </c>
      <c r="L11" s="9">
        <v>12415</v>
      </c>
      <c r="M11" s="9">
        <v>10408</v>
      </c>
      <c r="N11" s="9">
        <v>9292</v>
      </c>
      <c r="O11" s="9">
        <v>8390</v>
      </c>
      <c r="P11" s="9">
        <v>7317</v>
      </c>
      <c r="Q11" s="9">
        <v>6331</v>
      </c>
      <c r="R11" s="9">
        <v>5607</v>
      </c>
      <c r="S11" s="9">
        <v>4628</v>
      </c>
      <c r="T11" s="9">
        <v>3105</v>
      </c>
      <c r="U11" s="9">
        <v>2641</v>
      </c>
      <c r="V11" s="9">
        <v>1727</v>
      </c>
      <c r="W11" s="9">
        <v>945</v>
      </c>
      <c r="X11" s="9">
        <v>855</v>
      </c>
    </row>
    <row r="12" spans="1:24" x14ac:dyDescent="0.2">
      <c r="A12" s="10" t="s">
        <v>109</v>
      </c>
      <c r="B12" s="10" t="s">
        <v>141</v>
      </c>
      <c r="C12" s="10" t="str">
        <f t="shared" si="0"/>
        <v>Free StateDistrict</v>
      </c>
      <c r="D12" s="10" t="s">
        <v>112</v>
      </c>
      <c r="E12" s="9">
        <v>68396</v>
      </c>
      <c r="F12" s="9">
        <v>11681.2</v>
      </c>
      <c r="G12" s="9">
        <f t="shared" si="1"/>
        <v>80077.2</v>
      </c>
      <c r="H12" s="9">
        <v>58406</v>
      </c>
      <c r="I12" s="9">
        <v>54615</v>
      </c>
      <c r="J12" s="9">
        <v>57625</v>
      </c>
      <c r="K12" s="9">
        <v>63861</v>
      </c>
      <c r="L12" s="9">
        <v>57346</v>
      </c>
      <c r="M12" s="9">
        <v>46315</v>
      </c>
      <c r="N12" s="9">
        <v>40051</v>
      </c>
      <c r="O12" s="9">
        <v>37747</v>
      </c>
      <c r="P12" s="9">
        <v>37498</v>
      </c>
      <c r="Q12" s="9">
        <v>32375</v>
      </c>
      <c r="R12" s="9">
        <v>24583</v>
      </c>
      <c r="S12" s="9">
        <v>17193</v>
      </c>
      <c r="T12" s="9">
        <v>11796</v>
      </c>
      <c r="U12" s="9">
        <v>8512</v>
      </c>
      <c r="V12" s="9">
        <v>5889</v>
      </c>
      <c r="W12" s="9">
        <v>3015</v>
      </c>
      <c r="X12" s="9">
        <v>2403</v>
      </c>
    </row>
    <row r="13" spans="1:24" x14ac:dyDescent="0.2">
      <c r="A13" s="10" t="s">
        <v>109</v>
      </c>
      <c r="B13" s="10" t="s">
        <v>141</v>
      </c>
      <c r="C13" s="10" t="str">
        <f t="shared" si="0"/>
        <v>Free StateDistrict</v>
      </c>
      <c r="D13" s="10" t="s">
        <v>111</v>
      </c>
      <c r="E13" s="9">
        <v>84251</v>
      </c>
      <c r="F13" s="9">
        <v>15729.2</v>
      </c>
      <c r="G13" s="9">
        <f t="shared" si="1"/>
        <v>99980.2</v>
      </c>
      <c r="H13" s="9">
        <v>78646</v>
      </c>
      <c r="I13" s="9">
        <v>71637</v>
      </c>
      <c r="J13" s="9">
        <v>77058</v>
      </c>
      <c r="K13" s="9">
        <v>72533</v>
      </c>
      <c r="L13" s="9">
        <v>63403</v>
      </c>
      <c r="M13" s="9">
        <v>51267</v>
      </c>
      <c r="N13" s="9">
        <v>44071</v>
      </c>
      <c r="O13" s="9">
        <v>39185</v>
      </c>
      <c r="P13" s="9">
        <v>35954</v>
      </c>
      <c r="Q13" s="9">
        <v>30622</v>
      </c>
      <c r="R13" s="9">
        <v>26502</v>
      </c>
      <c r="S13" s="9">
        <v>20599</v>
      </c>
      <c r="T13" s="9">
        <v>14146</v>
      </c>
      <c r="U13" s="9">
        <v>10532</v>
      </c>
      <c r="V13" s="9">
        <v>7459</v>
      </c>
      <c r="W13" s="9">
        <v>4578</v>
      </c>
      <c r="X13" s="9">
        <v>3794</v>
      </c>
    </row>
    <row r="14" spans="1:24" x14ac:dyDescent="0.2">
      <c r="A14" s="10" t="s">
        <v>109</v>
      </c>
      <c r="B14" s="10" t="s">
        <v>141</v>
      </c>
      <c r="C14" s="10" t="str">
        <f t="shared" si="0"/>
        <v>Free StateDistrict</v>
      </c>
      <c r="D14" s="10" t="s">
        <v>110</v>
      </c>
      <c r="E14" s="9">
        <v>51617</v>
      </c>
      <c r="F14" s="9">
        <v>8927.7999999999993</v>
      </c>
      <c r="G14" s="9">
        <f t="shared" si="1"/>
        <v>60544.800000000003</v>
      </c>
      <c r="H14" s="9">
        <v>44639</v>
      </c>
      <c r="I14" s="9">
        <v>40903</v>
      </c>
      <c r="J14" s="9">
        <v>43467</v>
      </c>
      <c r="K14" s="9">
        <v>47617</v>
      </c>
      <c r="L14" s="9">
        <v>45199</v>
      </c>
      <c r="M14" s="9">
        <v>38389</v>
      </c>
      <c r="N14" s="9">
        <v>33024</v>
      </c>
      <c r="O14" s="9">
        <v>29208</v>
      </c>
      <c r="P14" s="9">
        <v>26711</v>
      </c>
      <c r="Q14" s="9">
        <v>22931</v>
      </c>
      <c r="R14" s="9">
        <v>19483</v>
      </c>
      <c r="S14" s="9">
        <v>15178</v>
      </c>
      <c r="T14" s="9">
        <v>10864</v>
      </c>
      <c r="U14" s="9">
        <v>7870</v>
      </c>
      <c r="V14" s="9">
        <v>5260</v>
      </c>
      <c r="W14" s="9">
        <v>3136</v>
      </c>
      <c r="X14" s="9">
        <v>2539</v>
      </c>
    </row>
    <row r="15" spans="1:24" x14ac:dyDescent="0.2">
      <c r="A15" s="10" t="s">
        <v>109</v>
      </c>
      <c r="B15" s="10" t="s">
        <v>144</v>
      </c>
      <c r="C15" s="10" t="str">
        <f t="shared" si="0"/>
        <v>Free StateMetro</v>
      </c>
      <c r="D15" s="10" t="s">
        <v>108</v>
      </c>
      <c r="E15" s="9">
        <v>75348</v>
      </c>
      <c r="F15" s="9">
        <v>13129.2</v>
      </c>
      <c r="G15" s="9">
        <f t="shared" si="1"/>
        <v>88477.2</v>
      </c>
      <c r="H15" s="9">
        <v>65646</v>
      </c>
      <c r="I15" s="9">
        <v>59827</v>
      </c>
      <c r="J15" s="9">
        <v>70956</v>
      </c>
      <c r="K15" s="9">
        <v>84646</v>
      </c>
      <c r="L15" s="9">
        <v>73305</v>
      </c>
      <c r="M15" s="9">
        <v>59360</v>
      </c>
      <c r="N15" s="9">
        <v>52542</v>
      </c>
      <c r="O15" s="9">
        <v>46847</v>
      </c>
      <c r="P15" s="9">
        <v>39511</v>
      </c>
      <c r="Q15" s="9">
        <v>33071</v>
      </c>
      <c r="R15" s="9">
        <v>26249</v>
      </c>
      <c r="S15" s="9">
        <v>20435</v>
      </c>
      <c r="T15" s="9">
        <v>14190</v>
      </c>
      <c r="U15" s="9">
        <v>10528</v>
      </c>
      <c r="V15" s="9">
        <v>7123</v>
      </c>
      <c r="W15" s="9">
        <v>4080</v>
      </c>
      <c r="X15" s="9">
        <v>3766</v>
      </c>
    </row>
    <row r="16" spans="1:24" x14ac:dyDescent="0.2">
      <c r="A16" s="10" t="s">
        <v>103</v>
      </c>
      <c r="B16" s="10" t="s">
        <v>141</v>
      </c>
      <c r="C16" s="10" t="str">
        <f t="shared" si="0"/>
        <v>GautengDistrict</v>
      </c>
      <c r="D16" s="10" t="s">
        <v>107</v>
      </c>
      <c r="E16" s="9">
        <v>89564</v>
      </c>
      <c r="F16" s="9">
        <v>14753</v>
      </c>
      <c r="G16" s="9">
        <f t="shared" si="1"/>
        <v>104317</v>
      </c>
      <c r="H16" s="9">
        <v>73765</v>
      </c>
      <c r="I16" s="9">
        <v>69081</v>
      </c>
      <c r="J16" s="9">
        <v>79777</v>
      </c>
      <c r="K16" s="9">
        <v>97956</v>
      </c>
      <c r="L16" s="9">
        <v>90754</v>
      </c>
      <c r="M16" s="9">
        <v>77192</v>
      </c>
      <c r="N16" s="9">
        <v>67780</v>
      </c>
      <c r="O16" s="9">
        <v>58754</v>
      </c>
      <c r="P16" s="9">
        <v>52800</v>
      </c>
      <c r="Q16" s="9">
        <v>46343</v>
      </c>
      <c r="R16" s="9">
        <v>37891</v>
      </c>
      <c r="S16" s="9">
        <v>27974</v>
      </c>
      <c r="T16" s="9">
        <v>18431</v>
      </c>
      <c r="U16" s="9">
        <v>12981</v>
      </c>
      <c r="V16" s="9">
        <v>7861</v>
      </c>
      <c r="W16" s="9">
        <v>4263</v>
      </c>
      <c r="X16" s="9">
        <v>3317</v>
      </c>
    </row>
    <row r="17" spans="1:24" x14ac:dyDescent="0.2">
      <c r="A17" s="10" t="s">
        <v>103</v>
      </c>
      <c r="B17" s="10" t="s">
        <v>141</v>
      </c>
      <c r="C17" s="10" t="str">
        <f t="shared" si="0"/>
        <v>GautengDistrict</v>
      </c>
      <c r="D17" s="10" t="s">
        <v>106</v>
      </c>
      <c r="E17" s="9">
        <v>78288</v>
      </c>
      <c r="F17" s="9">
        <v>12415.4</v>
      </c>
      <c r="G17" s="9">
        <f t="shared" si="1"/>
        <v>90703.4</v>
      </c>
      <c r="H17" s="9">
        <v>62077</v>
      </c>
      <c r="I17" s="9">
        <v>57771</v>
      </c>
      <c r="J17" s="9">
        <v>62415</v>
      </c>
      <c r="K17" s="9">
        <v>86684</v>
      </c>
      <c r="L17" s="9">
        <v>91426</v>
      </c>
      <c r="M17" s="9">
        <v>76944</v>
      </c>
      <c r="N17" s="9">
        <v>66284</v>
      </c>
      <c r="O17" s="9">
        <v>58277</v>
      </c>
      <c r="P17" s="9">
        <v>53384</v>
      </c>
      <c r="Q17" s="9">
        <v>43814</v>
      </c>
      <c r="R17" s="9">
        <v>30926</v>
      </c>
      <c r="S17" s="9">
        <v>19816</v>
      </c>
      <c r="T17" s="9">
        <v>12710</v>
      </c>
      <c r="U17" s="9">
        <v>9022</v>
      </c>
      <c r="V17" s="9">
        <v>5415</v>
      </c>
      <c r="W17" s="9">
        <v>3344</v>
      </c>
      <c r="X17" s="9">
        <v>2396</v>
      </c>
    </row>
    <row r="18" spans="1:24" x14ac:dyDescent="0.2">
      <c r="A18" s="10" t="s">
        <v>103</v>
      </c>
      <c r="B18" s="10" t="s">
        <v>144</v>
      </c>
      <c r="C18" s="10" t="str">
        <f t="shared" si="0"/>
        <v>GautengMetro</v>
      </c>
      <c r="D18" s="10" t="s">
        <v>105</v>
      </c>
      <c r="E18" s="9">
        <v>316977</v>
      </c>
      <c r="F18" s="9">
        <v>47860.6</v>
      </c>
      <c r="G18" s="9">
        <f t="shared" si="1"/>
        <v>364837.6</v>
      </c>
      <c r="H18" s="9">
        <v>239303</v>
      </c>
      <c r="I18" s="9">
        <v>216183</v>
      </c>
      <c r="J18" s="9">
        <v>238705</v>
      </c>
      <c r="K18" s="9">
        <v>346727</v>
      </c>
      <c r="L18" s="9">
        <v>387047</v>
      </c>
      <c r="M18" s="9">
        <v>321232</v>
      </c>
      <c r="N18" s="9">
        <v>264302</v>
      </c>
      <c r="O18" s="9">
        <v>211951</v>
      </c>
      <c r="P18" s="9">
        <v>176239</v>
      </c>
      <c r="Q18" s="9">
        <v>143422</v>
      </c>
      <c r="R18" s="9">
        <v>111814</v>
      </c>
      <c r="S18" s="9">
        <v>78014</v>
      </c>
      <c r="T18" s="9">
        <v>50080</v>
      </c>
      <c r="U18" s="9">
        <v>34423</v>
      </c>
      <c r="V18" s="9">
        <v>20715</v>
      </c>
      <c r="W18" s="9">
        <v>12352</v>
      </c>
      <c r="X18" s="9">
        <v>8985</v>
      </c>
    </row>
    <row r="19" spans="1:24" x14ac:dyDescent="0.2">
      <c r="A19" s="10" t="s">
        <v>103</v>
      </c>
      <c r="B19" s="10" t="s">
        <v>144</v>
      </c>
      <c r="C19" s="10" t="str">
        <f t="shared" si="0"/>
        <v>GautengMetro</v>
      </c>
      <c r="D19" s="10" t="s">
        <v>104</v>
      </c>
      <c r="E19" s="9">
        <v>432722</v>
      </c>
      <c r="F19" s="9">
        <v>63693</v>
      </c>
      <c r="G19" s="9">
        <f t="shared" si="1"/>
        <v>496415</v>
      </c>
      <c r="H19" s="9">
        <v>318465</v>
      </c>
      <c r="I19" s="9">
        <v>277624</v>
      </c>
      <c r="J19" s="9">
        <v>315116</v>
      </c>
      <c r="K19" s="9">
        <v>502412</v>
      </c>
      <c r="L19" s="9">
        <v>572807</v>
      </c>
      <c r="M19" s="9">
        <v>472034</v>
      </c>
      <c r="N19" s="9">
        <v>377866</v>
      </c>
      <c r="O19" s="9">
        <v>293746</v>
      </c>
      <c r="P19" s="9">
        <v>236477</v>
      </c>
      <c r="Q19" s="9">
        <v>192933</v>
      </c>
      <c r="R19" s="9">
        <v>151531</v>
      </c>
      <c r="S19" s="9">
        <v>107684</v>
      </c>
      <c r="T19" s="9">
        <v>67906</v>
      </c>
      <c r="U19" s="9">
        <v>48797</v>
      </c>
      <c r="V19" s="9">
        <v>31049</v>
      </c>
      <c r="W19" s="9">
        <v>19589</v>
      </c>
      <c r="X19" s="9">
        <v>16068</v>
      </c>
    </row>
    <row r="20" spans="1:24" x14ac:dyDescent="0.2">
      <c r="A20" s="10" t="s">
        <v>103</v>
      </c>
      <c r="B20" s="10" t="s">
        <v>144</v>
      </c>
      <c r="C20" s="10" t="str">
        <f t="shared" si="0"/>
        <v>GautengMetro</v>
      </c>
      <c r="D20" s="10" t="s">
        <v>102</v>
      </c>
      <c r="E20" s="9">
        <v>273866</v>
      </c>
      <c r="F20" s="9">
        <v>42378.2</v>
      </c>
      <c r="G20" s="9">
        <f t="shared" si="1"/>
        <v>316244.2</v>
      </c>
      <c r="H20" s="9">
        <v>211891</v>
      </c>
      <c r="I20" s="9">
        <v>191352</v>
      </c>
      <c r="J20" s="9">
        <v>228577</v>
      </c>
      <c r="K20" s="9">
        <v>340844</v>
      </c>
      <c r="L20" s="9">
        <v>338813</v>
      </c>
      <c r="M20" s="9">
        <v>277369</v>
      </c>
      <c r="N20" s="9">
        <v>235789</v>
      </c>
      <c r="O20" s="9">
        <v>197126</v>
      </c>
      <c r="P20" s="9">
        <v>164191</v>
      </c>
      <c r="Q20" s="9">
        <v>136340</v>
      </c>
      <c r="R20" s="9">
        <v>106239</v>
      </c>
      <c r="S20" s="9">
        <v>76187</v>
      </c>
      <c r="T20" s="9">
        <v>52501</v>
      </c>
      <c r="U20" s="9">
        <v>37686</v>
      </c>
      <c r="V20" s="9">
        <v>24315</v>
      </c>
      <c r="W20" s="9">
        <v>15912</v>
      </c>
      <c r="X20" s="9">
        <v>12490</v>
      </c>
    </row>
    <row r="21" spans="1:24" x14ac:dyDescent="0.2">
      <c r="A21" s="10" t="s">
        <v>91</v>
      </c>
      <c r="B21" s="10" t="s">
        <v>141</v>
      </c>
      <c r="C21" s="10" t="str">
        <f t="shared" si="0"/>
        <v>KwaZulu-NatalDistrict</v>
      </c>
      <c r="D21" s="10" t="s">
        <v>101</v>
      </c>
      <c r="E21" s="9">
        <v>88077</v>
      </c>
      <c r="F21" s="9">
        <v>15310.2</v>
      </c>
      <c r="G21" s="9">
        <f t="shared" si="1"/>
        <v>103387.2</v>
      </c>
      <c r="H21" s="9">
        <v>76551</v>
      </c>
      <c r="I21" s="9">
        <v>75875</v>
      </c>
      <c r="J21" s="9">
        <v>82887</v>
      </c>
      <c r="K21" s="9">
        <v>69602</v>
      </c>
      <c r="L21" s="9">
        <v>61061</v>
      </c>
      <c r="M21" s="9">
        <v>44346</v>
      </c>
      <c r="N21" s="9">
        <v>38646</v>
      </c>
      <c r="O21" s="9">
        <v>32253</v>
      </c>
      <c r="P21" s="9">
        <v>32221</v>
      </c>
      <c r="Q21" s="9">
        <v>27574</v>
      </c>
      <c r="R21" s="9">
        <v>23436</v>
      </c>
      <c r="S21" s="9">
        <v>22055</v>
      </c>
      <c r="T21" s="9">
        <v>15822</v>
      </c>
      <c r="U21" s="9">
        <v>13386</v>
      </c>
      <c r="V21" s="9">
        <v>8511</v>
      </c>
      <c r="W21" s="9">
        <v>6186</v>
      </c>
      <c r="X21" s="9">
        <v>3997</v>
      </c>
    </row>
    <row r="22" spans="1:24" x14ac:dyDescent="0.2">
      <c r="A22" s="10" t="s">
        <v>91</v>
      </c>
      <c r="B22" s="10" t="s">
        <v>141</v>
      </c>
      <c r="C22" s="10" t="str">
        <f t="shared" si="0"/>
        <v>KwaZulu-NatalDistrict</v>
      </c>
      <c r="D22" s="10" t="s">
        <v>100</v>
      </c>
      <c r="E22" s="9">
        <v>103802</v>
      </c>
      <c r="F22" s="9">
        <v>18380.2</v>
      </c>
      <c r="G22" s="9">
        <f t="shared" si="1"/>
        <v>122182.2</v>
      </c>
      <c r="H22" s="9">
        <v>91901</v>
      </c>
      <c r="I22" s="9">
        <v>92400</v>
      </c>
      <c r="J22" s="9">
        <v>104342</v>
      </c>
      <c r="K22" s="9">
        <v>112396</v>
      </c>
      <c r="L22" s="9">
        <v>101418</v>
      </c>
      <c r="M22" s="9">
        <v>78137</v>
      </c>
      <c r="N22" s="9">
        <v>70114</v>
      </c>
      <c r="O22" s="9">
        <v>55616</v>
      </c>
      <c r="P22" s="9">
        <v>48340</v>
      </c>
      <c r="Q22" s="9">
        <v>39904</v>
      </c>
      <c r="R22" s="9">
        <v>35625</v>
      </c>
      <c r="S22" s="9">
        <v>29669</v>
      </c>
      <c r="T22" s="9">
        <v>18704</v>
      </c>
      <c r="U22" s="9">
        <v>14211</v>
      </c>
      <c r="V22" s="9">
        <v>9367</v>
      </c>
      <c r="W22" s="9">
        <v>6760</v>
      </c>
      <c r="X22" s="9">
        <v>5056</v>
      </c>
    </row>
    <row r="23" spans="1:24" x14ac:dyDescent="0.2">
      <c r="A23" s="10" t="s">
        <v>91</v>
      </c>
      <c r="B23" s="10" t="s">
        <v>141</v>
      </c>
      <c r="C23" s="10" t="str">
        <f t="shared" si="0"/>
        <v>KwaZulu-NatalDistrict</v>
      </c>
      <c r="D23" s="10" t="s">
        <v>99</v>
      </c>
      <c r="E23" s="9">
        <v>89609</v>
      </c>
      <c r="F23" s="9">
        <v>15877.8</v>
      </c>
      <c r="G23" s="9">
        <f t="shared" si="1"/>
        <v>105486.8</v>
      </c>
      <c r="H23" s="9">
        <v>79389</v>
      </c>
      <c r="I23" s="9">
        <v>77210</v>
      </c>
      <c r="J23" s="9">
        <v>76801</v>
      </c>
      <c r="K23" s="9">
        <v>63491</v>
      </c>
      <c r="L23" s="9">
        <v>56285</v>
      </c>
      <c r="M23" s="9">
        <v>41867</v>
      </c>
      <c r="N23" s="9">
        <v>34994</v>
      </c>
      <c r="O23" s="9">
        <v>28937</v>
      </c>
      <c r="P23" s="9">
        <v>27315</v>
      </c>
      <c r="Q23" s="9">
        <v>23203</v>
      </c>
      <c r="R23" s="9">
        <v>20690</v>
      </c>
      <c r="S23" s="9">
        <v>17785</v>
      </c>
      <c r="T23" s="9">
        <v>10559</v>
      </c>
      <c r="U23" s="9">
        <v>8630</v>
      </c>
      <c r="V23" s="9">
        <v>5243</v>
      </c>
      <c r="W23" s="9">
        <v>3794</v>
      </c>
      <c r="X23" s="9">
        <v>3043</v>
      </c>
    </row>
    <row r="24" spans="1:24" x14ac:dyDescent="0.2">
      <c r="A24" s="10" t="s">
        <v>91</v>
      </c>
      <c r="B24" s="10" t="s">
        <v>141</v>
      </c>
      <c r="C24" s="10" t="str">
        <f t="shared" si="0"/>
        <v>KwaZulu-NatalDistrict</v>
      </c>
      <c r="D24" s="10" t="s">
        <v>98</v>
      </c>
      <c r="E24" s="9">
        <v>90186</v>
      </c>
      <c r="F24" s="9">
        <v>16054.4</v>
      </c>
      <c r="G24" s="9">
        <f t="shared" si="1"/>
        <v>106240.4</v>
      </c>
      <c r="H24" s="9">
        <v>80272</v>
      </c>
      <c r="I24" s="9">
        <v>81472</v>
      </c>
      <c r="J24" s="9">
        <v>81127</v>
      </c>
      <c r="K24" s="9">
        <v>62461</v>
      </c>
      <c r="L24" s="9">
        <v>48313</v>
      </c>
      <c r="M24" s="9">
        <v>34508</v>
      </c>
      <c r="N24" s="9">
        <v>28447</v>
      </c>
      <c r="O24" s="9">
        <v>24271</v>
      </c>
      <c r="P24" s="9">
        <v>22219</v>
      </c>
      <c r="Q24" s="9">
        <v>18843</v>
      </c>
      <c r="R24" s="9">
        <v>14200</v>
      </c>
      <c r="S24" s="9">
        <v>11476</v>
      </c>
      <c r="T24" s="9">
        <v>7641</v>
      </c>
      <c r="U24" s="9">
        <v>7741</v>
      </c>
      <c r="V24" s="9">
        <v>5020</v>
      </c>
      <c r="W24" s="9">
        <v>4537</v>
      </c>
      <c r="X24" s="9">
        <v>3111</v>
      </c>
    </row>
    <row r="25" spans="1:24" x14ac:dyDescent="0.2">
      <c r="A25" s="10" t="s">
        <v>91</v>
      </c>
      <c r="B25" s="10" t="s">
        <v>141</v>
      </c>
      <c r="C25" s="10" t="str">
        <f t="shared" si="0"/>
        <v>KwaZulu-NatalDistrict</v>
      </c>
      <c r="D25" s="10" t="s">
        <v>97</v>
      </c>
      <c r="E25" s="9">
        <v>114234</v>
      </c>
      <c r="F25" s="9">
        <v>20036.2</v>
      </c>
      <c r="G25" s="9">
        <f t="shared" si="1"/>
        <v>134270.20000000001</v>
      </c>
      <c r="H25" s="9">
        <v>100181</v>
      </c>
      <c r="I25" s="9">
        <v>101186</v>
      </c>
      <c r="J25" s="9">
        <v>107354</v>
      </c>
      <c r="K25" s="9">
        <v>97505</v>
      </c>
      <c r="L25" s="9">
        <v>83623</v>
      </c>
      <c r="M25" s="9">
        <v>59985</v>
      </c>
      <c r="N25" s="9">
        <v>48889</v>
      </c>
      <c r="O25" s="9">
        <v>38852</v>
      </c>
      <c r="P25" s="9">
        <v>36482</v>
      </c>
      <c r="Q25" s="9">
        <v>31502</v>
      </c>
      <c r="R25" s="9">
        <v>25424</v>
      </c>
      <c r="S25" s="9">
        <v>21255</v>
      </c>
      <c r="T25" s="9">
        <v>12737</v>
      </c>
      <c r="U25" s="9">
        <v>11236</v>
      </c>
      <c r="V25" s="9">
        <v>6995</v>
      </c>
      <c r="W25" s="9">
        <v>5710</v>
      </c>
      <c r="X25" s="9">
        <v>4369</v>
      </c>
    </row>
    <row r="26" spans="1:24" x14ac:dyDescent="0.2">
      <c r="A26" s="10" t="s">
        <v>91</v>
      </c>
      <c r="B26" s="10" t="s">
        <v>141</v>
      </c>
      <c r="C26" s="10" t="str">
        <f t="shared" si="0"/>
        <v>KwaZulu-NatalDistrict</v>
      </c>
      <c r="D26" s="10" t="s">
        <v>96</v>
      </c>
      <c r="E26" s="9">
        <v>63490</v>
      </c>
      <c r="F26" s="9">
        <v>11312.6</v>
      </c>
      <c r="G26" s="9">
        <f t="shared" si="1"/>
        <v>74802.600000000006</v>
      </c>
      <c r="H26" s="9">
        <v>56563</v>
      </c>
      <c r="I26" s="9">
        <v>54826</v>
      </c>
      <c r="J26" s="9">
        <v>56593</v>
      </c>
      <c r="K26" s="9">
        <v>44020</v>
      </c>
      <c r="L26" s="9">
        <v>35274</v>
      </c>
      <c r="M26" s="9">
        <v>26352</v>
      </c>
      <c r="N26" s="9">
        <v>22658</v>
      </c>
      <c r="O26" s="9">
        <v>19506</v>
      </c>
      <c r="P26" s="9">
        <v>18205</v>
      </c>
      <c r="Q26" s="9">
        <v>15841</v>
      </c>
      <c r="R26" s="9">
        <v>13725</v>
      </c>
      <c r="S26" s="9">
        <v>11606</v>
      </c>
      <c r="T26" s="9">
        <v>7905</v>
      </c>
      <c r="U26" s="9">
        <v>5734</v>
      </c>
      <c r="V26" s="9">
        <v>4067</v>
      </c>
      <c r="W26" s="9">
        <v>3003</v>
      </c>
      <c r="X26" s="9">
        <v>2051</v>
      </c>
    </row>
    <row r="27" spans="1:24" x14ac:dyDescent="0.2">
      <c r="A27" s="10" t="s">
        <v>91</v>
      </c>
      <c r="B27" s="10" t="s">
        <v>141</v>
      </c>
      <c r="C27" s="10" t="str">
        <f t="shared" si="0"/>
        <v>KwaZulu-NatalDistrict</v>
      </c>
      <c r="D27" s="10" t="s">
        <v>95</v>
      </c>
      <c r="E27" s="9">
        <v>72800</v>
      </c>
      <c r="F27" s="9">
        <v>13291.2</v>
      </c>
      <c r="G27" s="9">
        <f t="shared" si="1"/>
        <v>86091.199999999997</v>
      </c>
      <c r="H27" s="9">
        <v>66456</v>
      </c>
      <c r="I27" s="9">
        <v>65851</v>
      </c>
      <c r="J27" s="9">
        <v>64937</v>
      </c>
      <c r="K27" s="9">
        <v>45266</v>
      </c>
      <c r="L27" s="9">
        <v>35991</v>
      </c>
      <c r="M27" s="9">
        <v>26812</v>
      </c>
      <c r="N27" s="9">
        <v>23015</v>
      </c>
      <c r="O27" s="9">
        <v>19698</v>
      </c>
      <c r="P27" s="9">
        <v>19591</v>
      </c>
      <c r="Q27" s="9">
        <v>15795</v>
      </c>
      <c r="R27" s="9">
        <v>15049</v>
      </c>
      <c r="S27" s="9">
        <v>12914</v>
      </c>
      <c r="T27" s="9">
        <v>8879</v>
      </c>
      <c r="U27" s="9">
        <v>6958</v>
      </c>
      <c r="V27" s="9">
        <v>4105</v>
      </c>
      <c r="W27" s="9">
        <v>3608</v>
      </c>
      <c r="X27" s="9">
        <v>3114</v>
      </c>
    </row>
    <row r="28" spans="1:24" x14ac:dyDescent="0.2">
      <c r="A28" s="10" t="s">
        <v>91</v>
      </c>
      <c r="B28" s="10" t="s">
        <v>141</v>
      </c>
      <c r="C28" s="10" t="str">
        <f t="shared" si="0"/>
        <v>KwaZulu-NatalDistrict</v>
      </c>
      <c r="D28" s="10" t="s">
        <v>94</v>
      </c>
      <c r="E28" s="9">
        <v>58621</v>
      </c>
      <c r="F28" s="9">
        <v>11153.6</v>
      </c>
      <c r="G28" s="9">
        <f t="shared" si="1"/>
        <v>69774.600000000006</v>
      </c>
      <c r="H28" s="9">
        <v>55768</v>
      </c>
      <c r="I28" s="9">
        <v>53985</v>
      </c>
      <c r="J28" s="9">
        <v>57112</v>
      </c>
      <c r="K28" s="9">
        <v>52394</v>
      </c>
      <c r="L28" s="9">
        <v>44056</v>
      </c>
      <c r="M28" s="9">
        <v>33145</v>
      </c>
      <c r="N28" s="9">
        <v>27957</v>
      </c>
      <c r="O28" s="9">
        <v>22859</v>
      </c>
      <c r="P28" s="9">
        <v>20896</v>
      </c>
      <c r="Q28" s="9">
        <v>19263</v>
      </c>
      <c r="R28" s="9">
        <v>17171</v>
      </c>
      <c r="S28" s="9">
        <v>13340</v>
      </c>
      <c r="T28" s="9">
        <v>8559</v>
      </c>
      <c r="U28" s="9">
        <v>6514</v>
      </c>
      <c r="V28" s="9">
        <v>3884</v>
      </c>
      <c r="W28" s="9">
        <v>2445</v>
      </c>
      <c r="X28" s="9">
        <v>1868</v>
      </c>
    </row>
    <row r="29" spans="1:24" x14ac:dyDescent="0.2">
      <c r="A29" s="10" t="s">
        <v>91</v>
      </c>
      <c r="B29" s="10" t="s">
        <v>141</v>
      </c>
      <c r="C29" s="10" t="str">
        <f t="shared" si="0"/>
        <v>KwaZulu-NatalDistrict</v>
      </c>
      <c r="D29" s="10" t="s">
        <v>93</v>
      </c>
      <c r="E29" s="9">
        <v>112324</v>
      </c>
      <c r="F29" s="9">
        <v>20522.8</v>
      </c>
      <c r="G29" s="9">
        <f t="shared" si="1"/>
        <v>132846.79999999999</v>
      </c>
      <c r="H29" s="9">
        <v>102614</v>
      </c>
      <c r="I29" s="9">
        <v>102770</v>
      </c>
      <c r="J29" s="9">
        <v>102252</v>
      </c>
      <c r="K29" s="9">
        <v>79818</v>
      </c>
      <c r="L29" s="9">
        <v>62875</v>
      </c>
      <c r="M29" s="9">
        <v>43269</v>
      </c>
      <c r="N29" s="9">
        <v>35304</v>
      </c>
      <c r="O29" s="9">
        <v>29949</v>
      </c>
      <c r="P29" s="9">
        <v>29084</v>
      </c>
      <c r="Q29" s="9">
        <v>25836</v>
      </c>
      <c r="R29" s="9">
        <v>22492</v>
      </c>
      <c r="S29" s="9">
        <v>17450</v>
      </c>
      <c r="T29" s="9">
        <v>11008</v>
      </c>
      <c r="U29" s="9">
        <v>10421</v>
      </c>
      <c r="V29" s="9">
        <v>6629</v>
      </c>
      <c r="W29" s="9">
        <v>5289</v>
      </c>
      <c r="X29" s="9">
        <v>4191</v>
      </c>
    </row>
    <row r="30" spans="1:24" x14ac:dyDescent="0.2">
      <c r="A30" s="10" t="s">
        <v>91</v>
      </c>
      <c r="B30" s="10" t="s">
        <v>141</v>
      </c>
      <c r="C30" s="10" t="str">
        <f t="shared" si="0"/>
        <v>KwaZulu-NatalDistrict</v>
      </c>
      <c r="D30" s="10" t="s">
        <v>92</v>
      </c>
      <c r="E30" s="9">
        <v>77018</v>
      </c>
      <c r="F30" s="9">
        <v>12857.4</v>
      </c>
      <c r="G30" s="9">
        <f t="shared" si="1"/>
        <v>89875.4</v>
      </c>
      <c r="H30" s="9">
        <v>64287</v>
      </c>
      <c r="I30" s="9">
        <v>63520</v>
      </c>
      <c r="J30" s="9">
        <v>67591</v>
      </c>
      <c r="K30" s="9">
        <v>62709</v>
      </c>
      <c r="L30" s="9">
        <v>56453</v>
      </c>
      <c r="M30" s="9">
        <v>41643</v>
      </c>
      <c r="N30" s="9">
        <v>35209</v>
      </c>
      <c r="O30" s="9">
        <v>27994</v>
      </c>
      <c r="P30" s="9">
        <v>25352</v>
      </c>
      <c r="Q30" s="9">
        <v>20914</v>
      </c>
      <c r="R30" s="9">
        <v>17786</v>
      </c>
      <c r="S30" s="9">
        <v>16274</v>
      </c>
      <c r="T30" s="9">
        <v>10367</v>
      </c>
      <c r="U30" s="9">
        <v>8157</v>
      </c>
      <c r="V30" s="9">
        <v>4990</v>
      </c>
      <c r="W30" s="9">
        <v>3765</v>
      </c>
      <c r="X30" s="9">
        <v>2781</v>
      </c>
    </row>
    <row r="31" spans="1:24" x14ac:dyDescent="0.2">
      <c r="A31" s="10" t="s">
        <v>91</v>
      </c>
      <c r="B31" s="10" t="s">
        <v>144</v>
      </c>
      <c r="C31" s="10" t="str">
        <f t="shared" si="0"/>
        <v>KwaZulu-NatalMetro</v>
      </c>
      <c r="D31" s="10" t="s">
        <v>90</v>
      </c>
      <c r="E31" s="9">
        <v>327972</v>
      </c>
      <c r="F31" s="9">
        <v>53709</v>
      </c>
      <c r="G31" s="9">
        <f t="shared" si="1"/>
        <v>381681</v>
      </c>
      <c r="H31" s="9">
        <v>268545</v>
      </c>
      <c r="I31" s="9">
        <v>269763</v>
      </c>
      <c r="J31" s="9">
        <v>318539</v>
      </c>
      <c r="K31" s="9">
        <v>412726</v>
      </c>
      <c r="L31" s="9">
        <v>395581</v>
      </c>
      <c r="M31" s="9">
        <v>299167</v>
      </c>
      <c r="N31" s="9">
        <v>247382</v>
      </c>
      <c r="O31" s="9">
        <v>199167</v>
      </c>
      <c r="P31" s="9">
        <v>174931</v>
      </c>
      <c r="Q31" s="9">
        <v>145722</v>
      </c>
      <c r="R31" s="9">
        <v>119972</v>
      </c>
      <c r="S31" s="9">
        <v>97501</v>
      </c>
      <c r="T31" s="9">
        <v>63492</v>
      </c>
      <c r="U31" s="9">
        <v>44833</v>
      </c>
      <c r="V31" s="9">
        <v>27566</v>
      </c>
      <c r="W31" s="9">
        <v>17029</v>
      </c>
      <c r="X31" s="9">
        <v>12473</v>
      </c>
    </row>
    <row r="32" spans="1:24" x14ac:dyDescent="0.2">
      <c r="A32" s="10" t="s">
        <v>85</v>
      </c>
      <c r="B32" s="10" t="s">
        <v>141</v>
      </c>
      <c r="C32" s="10" t="str">
        <f t="shared" si="0"/>
        <v>LimpopoDistrict</v>
      </c>
      <c r="D32" s="10" t="s">
        <v>89</v>
      </c>
      <c r="E32" s="9">
        <v>138761</v>
      </c>
      <c r="F32" s="9">
        <v>23149.8</v>
      </c>
      <c r="G32" s="9">
        <f t="shared" si="1"/>
        <v>161910.79999999999</v>
      </c>
      <c r="H32" s="9">
        <v>115749</v>
      </c>
      <c r="I32" s="9">
        <v>115006</v>
      </c>
      <c r="J32" s="9">
        <v>129588</v>
      </c>
      <c r="K32" s="9">
        <v>113916</v>
      </c>
      <c r="L32" s="9">
        <v>89600</v>
      </c>
      <c r="M32" s="9">
        <v>69610</v>
      </c>
      <c r="N32" s="9">
        <v>61792</v>
      </c>
      <c r="O32" s="9">
        <v>53224</v>
      </c>
      <c r="P32" s="9">
        <v>48174</v>
      </c>
      <c r="Q32" s="9">
        <v>38722</v>
      </c>
      <c r="R32" s="9">
        <v>31454</v>
      </c>
      <c r="S32" s="9">
        <v>24789</v>
      </c>
      <c r="T32" s="9">
        <v>19058</v>
      </c>
      <c r="U32" s="9">
        <v>17407</v>
      </c>
      <c r="V32" s="9">
        <v>10699</v>
      </c>
      <c r="W32" s="9">
        <v>8369</v>
      </c>
      <c r="X32" s="9">
        <v>6592</v>
      </c>
    </row>
    <row r="33" spans="1:24" x14ac:dyDescent="0.2">
      <c r="A33" s="10" t="s">
        <v>85</v>
      </c>
      <c r="B33" s="10" t="s">
        <v>141</v>
      </c>
      <c r="C33" s="10" t="str">
        <f t="shared" si="0"/>
        <v>LimpopoDistrict</v>
      </c>
      <c r="D33" s="10" t="s">
        <v>88</v>
      </c>
      <c r="E33" s="9">
        <v>163902</v>
      </c>
      <c r="F33" s="9">
        <v>28776.2</v>
      </c>
      <c r="G33" s="9">
        <f t="shared" si="1"/>
        <v>192678.2</v>
      </c>
      <c r="H33" s="9">
        <v>143881</v>
      </c>
      <c r="I33" s="9">
        <v>143810</v>
      </c>
      <c r="J33" s="9">
        <v>159489</v>
      </c>
      <c r="K33" s="9">
        <v>130759</v>
      </c>
      <c r="L33" s="9">
        <v>99827</v>
      </c>
      <c r="M33" s="9">
        <v>79930</v>
      </c>
      <c r="N33" s="9">
        <v>70398</v>
      </c>
      <c r="O33" s="9">
        <v>59696</v>
      </c>
      <c r="P33" s="9">
        <v>54494</v>
      </c>
      <c r="Q33" s="9">
        <v>44753</v>
      </c>
      <c r="R33" s="9">
        <v>35101</v>
      </c>
      <c r="S33" s="9">
        <v>27521</v>
      </c>
      <c r="T33" s="9">
        <v>21081</v>
      </c>
      <c r="U33" s="9">
        <v>18216</v>
      </c>
      <c r="V33" s="9">
        <v>16123</v>
      </c>
      <c r="W33" s="9">
        <v>13799</v>
      </c>
      <c r="X33" s="9">
        <v>11943</v>
      </c>
    </row>
    <row r="34" spans="1:24" x14ac:dyDescent="0.2">
      <c r="A34" s="10" t="s">
        <v>85</v>
      </c>
      <c r="B34" s="10" t="s">
        <v>141</v>
      </c>
      <c r="C34" s="10" t="str">
        <f t="shared" si="0"/>
        <v>LimpopoDistrict</v>
      </c>
      <c r="D34" s="10" t="s">
        <v>87</v>
      </c>
      <c r="E34" s="9">
        <v>154877</v>
      </c>
      <c r="F34" s="9">
        <v>27004.6</v>
      </c>
      <c r="G34" s="9">
        <f t="shared" si="1"/>
        <v>181881.60000000001</v>
      </c>
      <c r="H34" s="9">
        <v>135023</v>
      </c>
      <c r="I34" s="9">
        <v>133401</v>
      </c>
      <c r="J34" s="9">
        <v>147946</v>
      </c>
      <c r="K34" s="9">
        <v>127354</v>
      </c>
      <c r="L34" s="9">
        <v>100793</v>
      </c>
      <c r="M34" s="9">
        <v>77094</v>
      </c>
      <c r="N34" s="9">
        <v>68359</v>
      </c>
      <c r="O34" s="9">
        <v>60471</v>
      </c>
      <c r="P34" s="9">
        <v>56031</v>
      </c>
      <c r="Q34" s="9">
        <v>45172</v>
      </c>
      <c r="R34" s="9">
        <v>39011</v>
      </c>
      <c r="S34" s="9">
        <v>32989</v>
      </c>
      <c r="T34" s="9">
        <v>25110</v>
      </c>
      <c r="U34" s="9">
        <v>22055</v>
      </c>
      <c r="V34" s="9">
        <v>14433</v>
      </c>
      <c r="W34" s="9">
        <v>11075</v>
      </c>
      <c r="X34" s="9">
        <v>10269</v>
      </c>
    </row>
    <row r="35" spans="1:24" x14ac:dyDescent="0.2">
      <c r="A35" s="10" t="s">
        <v>85</v>
      </c>
      <c r="B35" s="10" t="s">
        <v>141</v>
      </c>
      <c r="C35" s="10" t="str">
        <f t="shared" si="0"/>
        <v>LimpopoDistrict</v>
      </c>
      <c r="D35" s="10" t="s">
        <v>86</v>
      </c>
      <c r="E35" s="9">
        <v>78220</v>
      </c>
      <c r="F35" s="9">
        <v>12793.8</v>
      </c>
      <c r="G35" s="9">
        <f t="shared" si="1"/>
        <v>91013.8</v>
      </c>
      <c r="H35" s="9">
        <v>63969</v>
      </c>
      <c r="I35" s="9">
        <v>60752</v>
      </c>
      <c r="J35" s="9">
        <v>65874</v>
      </c>
      <c r="K35" s="9">
        <v>71146</v>
      </c>
      <c r="L35" s="9">
        <v>67302</v>
      </c>
      <c r="M35" s="9">
        <v>52196</v>
      </c>
      <c r="N35" s="9">
        <v>44578</v>
      </c>
      <c r="O35" s="9">
        <v>35960</v>
      </c>
      <c r="P35" s="9">
        <v>33654</v>
      </c>
      <c r="Q35" s="9">
        <v>27393</v>
      </c>
      <c r="R35" s="9">
        <v>21916</v>
      </c>
      <c r="S35" s="9">
        <v>16844</v>
      </c>
      <c r="T35" s="9">
        <v>12512</v>
      </c>
      <c r="U35" s="9">
        <v>11204</v>
      </c>
      <c r="V35" s="9">
        <v>6968</v>
      </c>
      <c r="W35" s="9">
        <v>4913</v>
      </c>
      <c r="X35" s="9">
        <v>3938</v>
      </c>
    </row>
    <row r="36" spans="1:24" x14ac:dyDescent="0.2">
      <c r="A36" s="10" t="s">
        <v>85</v>
      </c>
      <c r="B36" s="10" t="s">
        <v>141</v>
      </c>
      <c r="C36" s="10" t="str">
        <f t="shared" si="0"/>
        <v>LimpopoDistrict</v>
      </c>
      <c r="D36" s="11" t="s">
        <v>84</v>
      </c>
      <c r="E36" s="9">
        <v>144404</v>
      </c>
      <c r="F36" s="9">
        <v>25068.400000000001</v>
      </c>
      <c r="G36" s="9">
        <f t="shared" si="1"/>
        <v>169472.4</v>
      </c>
      <c r="H36" s="9">
        <v>125342</v>
      </c>
      <c r="I36" s="9">
        <v>117916</v>
      </c>
      <c r="J36" s="9">
        <v>124438</v>
      </c>
      <c r="K36" s="9">
        <v>104390</v>
      </c>
      <c r="L36" s="9">
        <v>84367</v>
      </c>
      <c r="M36" s="9">
        <v>65009</v>
      </c>
      <c r="N36" s="9">
        <v>55112</v>
      </c>
      <c r="O36" s="9">
        <v>46373</v>
      </c>
      <c r="P36" s="9">
        <v>43962</v>
      </c>
      <c r="Q36" s="9">
        <v>34954</v>
      </c>
      <c r="R36" s="9">
        <v>31113</v>
      </c>
      <c r="S36" s="9">
        <v>26804</v>
      </c>
      <c r="T36" s="9">
        <v>23262</v>
      </c>
      <c r="U36" s="9">
        <v>18776</v>
      </c>
      <c r="V36" s="9">
        <v>11770</v>
      </c>
      <c r="W36" s="9">
        <v>9739</v>
      </c>
      <c r="X36" s="9">
        <v>9106</v>
      </c>
    </row>
    <row r="37" spans="1:24" x14ac:dyDescent="0.2">
      <c r="A37" s="10" t="s">
        <v>81</v>
      </c>
      <c r="B37" s="10" t="s">
        <v>141</v>
      </c>
      <c r="C37" s="10" t="str">
        <f t="shared" si="0"/>
        <v>MpumalangaDistrict</v>
      </c>
      <c r="D37" s="11" t="s">
        <v>83</v>
      </c>
      <c r="E37" s="9">
        <v>118795</v>
      </c>
      <c r="F37" s="9">
        <v>21530</v>
      </c>
      <c r="G37" s="9">
        <f t="shared" si="1"/>
        <v>140325</v>
      </c>
      <c r="H37" s="9">
        <v>107650</v>
      </c>
      <c r="I37" s="9">
        <v>102981</v>
      </c>
      <c r="J37" s="9">
        <v>108525</v>
      </c>
      <c r="K37" s="9">
        <v>107728</v>
      </c>
      <c r="L37" s="9">
        <v>99716</v>
      </c>
      <c r="M37" s="9">
        <v>74466</v>
      </c>
      <c r="N37" s="9">
        <v>64017</v>
      </c>
      <c r="O37" s="9">
        <v>56010</v>
      </c>
      <c r="P37" s="9">
        <v>51493</v>
      </c>
      <c r="Q37" s="9">
        <v>44395</v>
      </c>
      <c r="R37" s="9">
        <v>35315</v>
      </c>
      <c r="S37" s="9">
        <v>25027</v>
      </c>
      <c r="T37" s="9">
        <v>16796</v>
      </c>
      <c r="U37" s="9">
        <v>13022</v>
      </c>
      <c r="V37" s="9">
        <v>7740</v>
      </c>
      <c r="W37" s="9">
        <v>5273</v>
      </c>
      <c r="X37" s="9">
        <v>4244</v>
      </c>
    </row>
    <row r="38" spans="1:24" x14ac:dyDescent="0.2">
      <c r="A38" s="10" t="s">
        <v>81</v>
      </c>
      <c r="B38" s="10" t="s">
        <v>141</v>
      </c>
      <c r="C38" s="10" t="str">
        <f t="shared" si="0"/>
        <v>MpumalangaDistrict</v>
      </c>
      <c r="D38" s="10" t="s">
        <v>82</v>
      </c>
      <c r="E38" s="9">
        <v>140505</v>
      </c>
      <c r="F38" s="9">
        <v>23830</v>
      </c>
      <c r="G38" s="9">
        <f t="shared" si="1"/>
        <v>164335</v>
      </c>
      <c r="H38" s="9">
        <v>119150</v>
      </c>
      <c r="I38" s="9">
        <v>113132</v>
      </c>
      <c r="J38" s="9">
        <v>124098</v>
      </c>
      <c r="K38" s="9">
        <v>136115</v>
      </c>
      <c r="L38" s="9">
        <v>131404</v>
      </c>
      <c r="M38" s="9">
        <v>102176</v>
      </c>
      <c r="N38" s="9">
        <v>88764</v>
      </c>
      <c r="O38" s="9">
        <v>76174</v>
      </c>
      <c r="P38" s="9">
        <v>69396</v>
      </c>
      <c r="Q38" s="9">
        <v>58520</v>
      </c>
      <c r="R38" s="9">
        <v>47828</v>
      </c>
      <c r="S38" s="9">
        <v>35447</v>
      </c>
      <c r="T38" s="9">
        <v>23668</v>
      </c>
      <c r="U38" s="9">
        <v>17504</v>
      </c>
      <c r="V38" s="9">
        <v>10280</v>
      </c>
      <c r="W38" s="9">
        <v>7390</v>
      </c>
      <c r="X38" s="9">
        <v>6577</v>
      </c>
    </row>
    <row r="39" spans="1:24" x14ac:dyDescent="0.2">
      <c r="A39" s="10" t="s">
        <v>81</v>
      </c>
      <c r="B39" s="10" t="s">
        <v>141</v>
      </c>
      <c r="C39" s="10" t="str">
        <f t="shared" si="0"/>
        <v>MpumalangaDistrict</v>
      </c>
      <c r="D39" s="10" t="s">
        <v>80</v>
      </c>
      <c r="E39" s="9">
        <v>202259</v>
      </c>
      <c r="F39" s="9">
        <v>35194.199999999997</v>
      </c>
      <c r="G39" s="9">
        <f t="shared" si="1"/>
        <v>237453.2</v>
      </c>
      <c r="H39" s="9">
        <v>175971</v>
      </c>
      <c r="I39" s="9">
        <v>180235</v>
      </c>
      <c r="J39" s="9">
        <v>191655</v>
      </c>
      <c r="K39" s="9">
        <v>183698</v>
      </c>
      <c r="L39" s="9">
        <v>161976</v>
      </c>
      <c r="M39" s="9">
        <v>120921</v>
      </c>
      <c r="N39" s="9">
        <v>103126</v>
      </c>
      <c r="O39" s="9">
        <v>84654</v>
      </c>
      <c r="P39" s="9">
        <v>72949</v>
      </c>
      <c r="Q39" s="9">
        <v>53765</v>
      </c>
      <c r="R39" s="9">
        <v>46218</v>
      </c>
      <c r="S39" s="9">
        <v>33968</v>
      </c>
      <c r="T39" s="9">
        <v>23752</v>
      </c>
      <c r="U39" s="9">
        <v>21237</v>
      </c>
      <c r="V39" s="9">
        <v>13194</v>
      </c>
      <c r="W39" s="9">
        <v>10887</v>
      </c>
      <c r="X39" s="9">
        <v>8150</v>
      </c>
    </row>
    <row r="40" spans="1:24" x14ac:dyDescent="0.2">
      <c r="A40" s="10" t="s">
        <v>76</v>
      </c>
      <c r="B40" s="10" t="s">
        <v>141</v>
      </c>
      <c r="C40" s="10" t="str">
        <f t="shared" si="0"/>
        <v>North WestDistrict</v>
      </c>
      <c r="D40" s="11" t="s">
        <v>79</v>
      </c>
      <c r="E40" s="9">
        <v>166076</v>
      </c>
      <c r="F40" s="9">
        <v>24731.8</v>
      </c>
      <c r="G40" s="9">
        <f t="shared" si="1"/>
        <v>190807.8</v>
      </c>
      <c r="H40" s="9">
        <v>123659</v>
      </c>
      <c r="I40" s="9">
        <v>108618</v>
      </c>
      <c r="J40" s="9">
        <v>122148</v>
      </c>
      <c r="K40" s="9">
        <v>156882</v>
      </c>
      <c r="L40" s="9">
        <v>162994</v>
      </c>
      <c r="M40" s="9">
        <v>135236</v>
      </c>
      <c r="N40" s="9">
        <v>111484</v>
      </c>
      <c r="O40" s="9">
        <v>92693</v>
      </c>
      <c r="P40" s="9">
        <v>83986</v>
      </c>
      <c r="Q40" s="9">
        <v>70396</v>
      </c>
      <c r="R40" s="9">
        <v>54774</v>
      </c>
      <c r="S40" s="9">
        <v>38796</v>
      </c>
      <c r="T40" s="9">
        <v>28655</v>
      </c>
      <c r="U40" s="9">
        <v>20574</v>
      </c>
      <c r="V40" s="9">
        <v>13881</v>
      </c>
      <c r="W40" s="9">
        <v>8916</v>
      </c>
      <c r="X40" s="9">
        <v>7740</v>
      </c>
    </row>
    <row r="41" spans="1:24" x14ac:dyDescent="0.2">
      <c r="A41" s="10" t="s">
        <v>76</v>
      </c>
      <c r="B41" s="10" t="s">
        <v>141</v>
      </c>
      <c r="C41" s="10" t="str">
        <f t="shared" si="0"/>
        <v>North WestDistrict</v>
      </c>
      <c r="D41" s="10" t="s">
        <v>78</v>
      </c>
      <c r="E41" s="9">
        <v>103088</v>
      </c>
      <c r="F41" s="9">
        <v>17974</v>
      </c>
      <c r="G41" s="9">
        <f t="shared" si="1"/>
        <v>121062</v>
      </c>
      <c r="H41" s="9">
        <v>89870</v>
      </c>
      <c r="I41" s="9">
        <v>87615</v>
      </c>
      <c r="J41" s="9">
        <v>85908</v>
      </c>
      <c r="K41" s="9">
        <v>78070</v>
      </c>
      <c r="L41" s="9">
        <v>66643</v>
      </c>
      <c r="M41" s="9">
        <v>54741</v>
      </c>
      <c r="N41" s="9">
        <v>50808</v>
      </c>
      <c r="O41" s="9">
        <v>45634</v>
      </c>
      <c r="P41" s="9">
        <v>41246</v>
      </c>
      <c r="Q41" s="9">
        <v>36460</v>
      </c>
      <c r="R41" s="9">
        <v>29944</v>
      </c>
      <c r="S41" s="9">
        <v>22713</v>
      </c>
      <c r="T41" s="9">
        <v>17828</v>
      </c>
      <c r="U41" s="9">
        <v>13052</v>
      </c>
      <c r="V41" s="9">
        <v>8459</v>
      </c>
      <c r="W41" s="9">
        <v>5509</v>
      </c>
      <c r="X41" s="9">
        <v>5110</v>
      </c>
    </row>
    <row r="42" spans="1:24" x14ac:dyDescent="0.2">
      <c r="A42" s="10" t="s">
        <v>76</v>
      </c>
      <c r="B42" s="10" t="s">
        <v>141</v>
      </c>
      <c r="C42" s="10" t="str">
        <f t="shared" si="0"/>
        <v>North WestDistrict</v>
      </c>
      <c r="D42" s="11" t="s">
        <v>77</v>
      </c>
      <c r="E42" s="9">
        <v>60194</v>
      </c>
      <c r="F42" s="9">
        <v>10929</v>
      </c>
      <c r="G42" s="9">
        <f t="shared" si="1"/>
        <v>71123</v>
      </c>
      <c r="H42" s="9">
        <v>54645</v>
      </c>
      <c r="I42" s="9">
        <v>48291</v>
      </c>
      <c r="J42" s="9">
        <v>47856</v>
      </c>
      <c r="K42" s="9">
        <v>39249</v>
      </c>
      <c r="L42" s="9">
        <v>34284</v>
      </c>
      <c r="M42" s="9">
        <v>28636</v>
      </c>
      <c r="N42" s="9">
        <v>26301</v>
      </c>
      <c r="O42" s="9">
        <v>22836</v>
      </c>
      <c r="P42" s="9">
        <v>21906</v>
      </c>
      <c r="Q42" s="9">
        <v>19581</v>
      </c>
      <c r="R42" s="9">
        <v>16851</v>
      </c>
      <c r="S42" s="9">
        <v>13324</v>
      </c>
      <c r="T42" s="9">
        <v>10715</v>
      </c>
      <c r="U42" s="9">
        <v>7606</v>
      </c>
      <c r="V42" s="9">
        <v>5261</v>
      </c>
      <c r="W42" s="9">
        <v>3242</v>
      </c>
      <c r="X42" s="9">
        <v>3037</v>
      </c>
    </row>
    <row r="43" spans="1:24" x14ac:dyDescent="0.2">
      <c r="A43" s="10" t="s">
        <v>76</v>
      </c>
      <c r="B43" s="10" t="s">
        <v>141</v>
      </c>
      <c r="C43" s="10" t="str">
        <f t="shared" si="0"/>
        <v>North WestDistrict</v>
      </c>
      <c r="D43" s="11" t="s">
        <v>75</v>
      </c>
      <c r="E43" s="9">
        <v>74990</v>
      </c>
      <c r="F43" s="9">
        <v>12826</v>
      </c>
      <c r="G43" s="9">
        <f t="shared" si="1"/>
        <v>87816</v>
      </c>
      <c r="H43" s="9">
        <v>64130</v>
      </c>
      <c r="I43" s="9">
        <v>59190</v>
      </c>
      <c r="J43" s="9">
        <v>60620</v>
      </c>
      <c r="K43" s="9">
        <v>69190</v>
      </c>
      <c r="L43" s="9">
        <v>63740</v>
      </c>
      <c r="M43" s="9">
        <v>53069</v>
      </c>
      <c r="N43" s="9">
        <v>48146</v>
      </c>
      <c r="O43" s="9">
        <v>43764</v>
      </c>
      <c r="P43" s="9">
        <v>39981</v>
      </c>
      <c r="Q43" s="9">
        <v>34130</v>
      </c>
      <c r="R43" s="9">
        <v>27008</v>
      </c>
      <c r="S43" s="9">
        <v>19705</v>
      </c>
      <c r="T43" s="9">
        <v>14493</v>
      </c>
      <c r="U43" s="9">
        <v>10479</v>
      </c>
      <c r="V43" s="9">
        <v>6615</v>
      </c>
      <c r="W43" s="9">
        <v>3816</v>
      </c>
      <c r="X43" s="9">
        <v>2868</v>
      </c>
    </row>
    <row r="44" spans="1:24" x14ac:dyDescent="0.2">
      <c r="A44" s="10" t="s">
        <v>70</v>
      </c>
      <c r="B44" s="10" t="s">
        <v>141</v>
      </c>
      <c r="C44" s="10" t="str">
        <f t="shared" si="0"/>
        <v>Northern CapeDistrict</v>
      </c>
      <c r="D44" s="10" t="s">
        <v>74</v>
      </c>
      <c r="E44" s="9">
        <v>9746</v>
      </c>
      <c r="F44" s="9">
        <v>1957.8</v>
      </c>
      <c r="G44" s="9">
        <f t="shared" si="1"/>
        <v>11703.8</v>
      </c>
      <c r="H44" s="9">
        <v>9789</v>
      </c>
      <c r="I44" s="9">
        <v>10346</v>
      </c>
      <c r="J44" s="9">
        <v>10190</v>
      </c>
      <c r="K44" s="9">
        <v>8910</v>
      </c>
      <c r="L44" s="9">
        <v>8816</v>
      </c>
      <c r="M44" s="9">
        <v>7896</v>
      </c>
      <c r="N44" s="9">
        <v>8038</v>
      </c>
      <c r="O44" s="9">
        <v>8245</v>
      </c>
      <c r="P44" s="9">
        <v>7770</v>
      </c>
      <c r="Q44" s="9">
        <v>6622</v>
      </c>
      <c r="R44" s="9">
        <v>5668</v>
      </c>
      <c r="S44" s="9">
        <v>4443</v>
      </c>
      <c r="T44" s="9">
        <v>3557</v>
      </c>
      <c r="U44" s="9">
        <v>2483</v>
      </c>
      <c r="V44" s="9">
        <v>1550</v>
      </c>
      <c r="W44" s="9">
        <v>945</v>
      </c>
      <c r="X44" s="9">
        <v>828</v>
      </c>
    </row>
    <row r="45" spans="1:24" x14ac:dyDescent="0.2">
      <c r="A45" s="10" t="s">
        <v>70</v>
      </c>
      <c r="B45" s="10" t="s">
        <v>141</v>
      </c>
      <c r="C45" s="10" t="str">
        <f t="shared" si="0"/>
        <v>Northern CapeDistrict</v>
      </c>
      <c r="D45" s="10" t="s">
        <v>73</v>
      </c>
      <c r="E45" s="9">
        <v>20198</v>
      </c>
      <c r="F45" s="9">
        <v>3960.6</v>
      </c>
      <c r="G45" s="9">
        <f t="shared" si="1"/>
        <v>24158.6</v>
      </c>
      <c r="H45" s="9">
        <v>19803</v>
      </c>
      <c r="I45" s="9">
        <v>18851</v>
      </c>
      <c r="J45" s="9">
        <v>17158</v>
      </c>
      <c r="K45" s="9">
        <v>15514</v>
      </c>
      <c r="L45" s="9">
        <v>14984</v>
      </c>
      <c r="M45" s="9">
        <v>12674</v>
      </c>
      <c r="N45" s="9">
        <v>11543</v>
      </c>
      <c r="O45" s="9">
        <v>11251</v>
      </c>
      <c r="P45" s="9">
        <v>10341</v>
      </c>
      <c r="Q45" s="9">
        <v>9019</v>
      </c>
      <c r="R45" s="9">
        <v>7710</v>
      </c>
      <c r="S45" s="9">
        <v>6017</v>
      </c>
      <c r="T45" s="9">
        <v>4275</v>
      </c>
      <c r="U45" s="9">
        <v>3001</v>
      </c>
      <c r="V45" s="9">
        <v>1952</v>
      </c>
      <c r="W45" s="9">
        <v>1025</v>
      </c>
      <c r="X45" s="9">
        <v>1036</v>
      </c>
    </row>
    <row r="46" spans="1:24" x14ac:dyDescent="0.2">
      <c r="A46" s="10" t="s">
        <v>70</v>
      </c>
      <c r="B46" s="10" t="s">
        <v>141</v>
      </c>
      <c r="C46" s="10" t="str">
        <f t="shared" si="0"/>
        <v>Northern CapeDistrict</v>
      </c>
      <c r="D46" s="10" t="s">
        <v>72</v>
      </c>
      <c r="E46" s="9">
        <v>23304</v>
      </c>
      <c r="F46" s="9">
        <v>4413.8</v>
      </c>
      <c r="G46" s="9">
        <f t="shared" si="1"/>
        <v>27717.8</v>
      </c>
      <c r="H46" s="9">
        <v>22069</v>
      </c>
      <c r="I46" s="9">
        <v>21939</v>
      </c>
      <c r="J46" s="9">
        <v>22437</v>
      </c>
      <c r="K46" s="9">
        <v>23934</v>
      </c>
      <c r="L46" s="9">
        <v>22264</v>
      </c>
      <c r="M46" s="9">
        <v>18937</v>
      </c>
      <c r="N46" s="9">
        <v>16294</v>
      </c>
      <c r="O46" s="9">
        <v>14780</v>
      </c>
      <c r="P46" s="9">
        <v>12956</v>
      </c>
      <c r="Q46" s="9">
        <v>10877</v>
      </c>
      <c r="R46" s="9">
        <v>8370</v>
      </c>
      <c r="S46" s="9">
        <v>6468</v>
      </c>
      <c r="T46" s="9">
        <v>4378</v>
      </c>
      <c r="U46" s="9">
        <v>3347</v>
      </c>
      <c r="V46" s="9">
        <v>2213</v>
      </c>
      <c r="W46" s="9">
        <v>1091</v>
      </c>
      <c r="X46" s="9">
        <v>1126</v>
      </c>
    </row>
    <row r="47" spans="1:24" x14ac:dyDescent="0.2">
      <c r="A47" s="10" t="s">
        <v>70</v>
      </c>
      <c r="B47" s="10" t="s">
        <v>141</v>
      </c>
      <c r="C47" s="10" t="str">
        <f t="shared" si="0"/>
        <v>Northern CapeDistrict</v>
      </c>
      <c r="D47" s="10" t="s">
        <v>71</v>
      </c>
      <c r="E47" s="9">
        <v>40979</v>
      </c>
      <c r="F47" s="9">
        <v>7379.4</v>
      </c>
      <c r="G47" s="9">
        <f t="shared" si="1"/>
        <v>48358.400000000001</v>
      </c>
      <c r="H47" s="9">
        <v>36897</v>
      </c>
      <c r="I47" s="9">
        <v>35127</v>
      </c>
      <c r="J47" s="9">
        <v>35836</v>
      </c>
      <c r="K47" s="9">
        <v>35848</v>
      </c>
      <c r="L47" s="9">
        <v>34702</v>
      </c>
      <c r="M47" s="9">
        <v>29721</v>
      </c>
      <c r="N47" s="9">
        <v>25522</v>
      </c>
      <c r="O47" s="9">
        <v>22722</v>
      </c>
      <c r="P47" s="9">
        <v>20257</v>
      </c>
      <c r="Q47" s="9">
        <v>17959</v>
      </c>
      <c r="R47" s="9">
        <v>14323</v>
      </c>
      <c r="S47" s="9">
        <v>11033</v>
      </c>
      <c r="T47" s="9">
        <v>7721</v>
      </c>
      <c r="U47" s="9">
        <v>5673</v>
      </c>
      <c r="V47" s="9">
        <v>3796</v>
      </c>
      <c r="W47" s="9">
        <v>2191</v>
      </c>
      <c r="X47" s="9">
        <v>1780</v>
      </c>
    </row>
    <row r="48" spans="1:24" x14ac:dyDescent="0.2">
      <c r="A48" s="10" t="s">
        <v>70</v>
      </c>
      <c r="B48" s="10" t="s">
        <v>141</v>
      </c>
      <c r="C48" s="10" t="str">
        <f t="shared" si="0"/>
        <v>Northern CapeDistrict</v>
      </c>
      <c r="D48" s="10" t="s">
        <v>69</v>
      </c>
      <c r="E48" s="9">
        <v>27691</v>
      </c>
      <c r="F48" s="9">
        <v>5089.8</v>
      </c>
      <c r="G48" s="9">
        <f t="shared" si="1"/>
        <v>32780.800000000003</v>
      </c>
      <c r="H48" s="9">
        <v>25449</v>
      </c>
      <c r="I48" s="9">
        <v>23185</v>
      </c>
      <c r="J48" s="9">
        <v>22056</v>
      </c>
      <c r="K48" s="9">
        <v>20425</v>
      </c>
      <c r="L48" s="9">
        <v>19607</v>
      </c>
      <c r="M48" s="9">
        <v>16769</v>
      </c>
      <c r="N48" s="9">
        <v>13826</v>
      </c>
      <c r="O48" s="9">
        <v>11426</v>
      </c>
      <c r="P48" s="9">
        <v>10495</v>
      </c>
      <c r="Q48" s="9">
        <v>9503</v>
      </c>
      <c r="R48" s="9">
        <v>7905</v>
      </c>
      <c r="S48" s="9">
        <v>5660</v>
      </c>
      <c r="T48" s="9">
        <v>3861</v>
      </c>
      <c r="U48" s="9">
        <v>2739</v>
      </c>
      <c r="V48" s="9">
        <v>1962</v>
      </c>
      <c r="W48" s="9">
        <v>1234</v>
      </c>
      <c r="X48" s="9">
        <v>1005</v>
      </c>
    </row>
    <row r="49" spans="1:24" x14ac:dyDescent="0.2">
      <c r="A49" s="10" t="s">
        <v>63</v>
      </c>
      <c r="B49" s="10" t="s">
        <v>141</v>
      </c>
      <c r="C49" s="10" t="str">
        <f t="shared" si="0"/>
        <v>Western CapeDistrict</v>
      </c>
      <c r="D49" s="10" t="s">
        <v>68</v>
      </c>
      <c r="E49" s="9">
        <v>36668</v>
      </c>
      <c r="F49" s="9">
        <v>6372</v>
      </c>
      <c r="G49" s="9">
        <f t="shared" si="1"/>
        <v>43040</v>
      </c>
      <c r="H49" s="9">
        <v>31860</v>
      </c>
      <c r="I49" s="9">
        <v>31196</v>
      </c>
      <c r="J49" s="9">
        <v>32431</v>
      </c>
      <c r="K49" s="9">
        <v>37729</v>
      </c>
      <c r="L49" s="9">
        <v>36832</v>
      </c>
      <c r="M49" s="9">
        <v>29556</v>
      </c>
      <c r="N49" s="9">
        <v>28855</v>
      </c>
      <c r="O49" s="9">
        <v>28582</v>
      </c>
      <c r="P49" s="9">
        <v>24805</v>
      </c>
      <c r="Q49" s="9">
        <v>20878</v>
      </c>
      <c r="R49" s="9">
        <v>16298</v>
      </c>
      <c r="S49" s="9">
        <v>12513</v>
      </c>
      <c r="T49" s="9">
        <v>8944</v>
      </c>
      <c r="U49" s="9">
        <v>6413</v>
      </c>
      <c r="V49" s="9">
        <v>4158</v>
      </c>
      <c r="W49" s="9">
        <v>2336</v>
      </c>
      <c r="X49" s="9">
        <v>1714</v>
      </c>
    </row>
    <row r="50" spans="1:24" x14ac:dyDescent="0.2">
      <c r="A50" s="10" t="s">
        <v>63</v>
      </c>
      <c r="B50" s="10" t="s">
        <v>141</v>
      </c>
      <c r="C50" s="10" t="str">
        <f t="shared" si="0"/>
        <v>Western CapeDistrict</v>
      </c>
      <c r="D50" s="10" t="s">
        <v>67</v>
      </c>
      <c r="E50" s="9">
        <v>74012</v>
      </c>
      <c r="F50" s="9">
        <v>12850.4</v>
      </c>
      <c r="G50" s="9">
        <f t="shared" si="1"/>
        <v>86862.399999999994</v>
      </c>
      <c r="H50" s="9">
        <v>64252</v>
      </c>
      <c r="I50" s="9">
        <v>65212</v>
      </c>
      <c r="J50" s="9">
        <v>72747</v>
      </c>
      <c r="K50" s="9">
        <v>84093</v>
      </c>
      <c r="L50" s="9">
        <v>74211</v>
      </c>
      <c r="M50" s="9">
        <v>58571</v>
      </c>
      <c r="N50" s="9">
        <v>56719</v>
      </c>
      <c r="O50" s="9">
        <v>55901</v>
      </c>
      <c r="P50" s="9">
        <v>48551</v>
      </c>
      <c r="Q50" s="9">
        <v>39824</v>
      </c>
      <c r="R50" s="9">
        <v>30403</v>
      </c>
      <c r="S50" s="9">
        <v>22579</v>
      </c>
      <c r="T50" s="9">
        <v>15097</v>
      </c>
      <c r="U50" s="9">
        <v>10861</v>
      </c>
      <c r="V50" s="9">
        <v>7001</v>
      </c>
      <c r="W50" s="9">
        <v>4161</v>
      </c>
      <c r="X50" s="9">
        <v>3296</v>
      </c>
    </row>
    <row r="51" spans="1:24" x14ac:dyDescent="0.2">
      <c r="A51" s="10" t="s">
        <v>63</v>
      </c>
      <c r="B51" s="10" t="s">
        <v>141</v>
      </c>
      <c r="C51" s="10" t="str">
        <f t="shared" si="0"/>
        <v>Western CapeDistrict</v>
      </c>
      <c r="D51" s="10" t="s">
        <v>66</v>
      </c>
      <c r="E51" s="9">
        <v>22803</v>
      </c>
      <c r="F51" s="9">
        <v>3939.2</v>
      </c>
      <c r="G51" s="9">
        <f t="shared" si="1"/>
        <v>26742.2</v>
      </c>
      <c r="H51" s="9">
        <v>19696</v>
      </c>
      <c r="I51" s="9">
        <v>19632</v>
      </c>
      <c r="J51" s="9">
        <v>19863</v>
      </c>
      <c r="K51" s="9">
        <v>22349</v>
      </c>
      <c r="L51" s="9">
        <v>25324</v>
      </c>
      <c r="M51" s="9">
        <v>20041</v>
      </c>
      <c r="N51" s="9">
        <v>19053</v>
      </c>
      <c r="O51" s="9">
        <v>18160</v>
      </c>
      <c r="P51" s="9">
        <v>15756</v>
      </c>
      <c r="Q51" s="9">
        <v>13314</v>
      </c>
      <c r="R51" s="9">
        <v>10674</v>
      </c>
      <c r="S51" s="9">
        <v>9982</v>
      </c>
      <c r="T51" s="9">
        <v>7935</v>
      </c>
      <c r="U51" s="9">
        <v>6013</v>
      </c>
      <c r="V51" s="9">
        <v>3757</v>
      </c>
      <c r="W51" s="9">
        <v>2181</v>
      </c>
      <c r="X51" s="9">
        <v>1642</v>
      </c>
    </row>
    <row r="52" spans="1:24" x14ac:dyDescent="0.2">
      <c r="A52" s="10" t="s">
        <v>63</v>
      </c>
      <c r="B52" s="10" t="s">
        <v>141</v>
      </c>
      <c r="C52" s="10" t="str">
        <f t="shared" si="0"/>
        <v>Western CapeDistrict</v>
      </c>
      <c r="D52" s="10" t="s">
        <v>65</v>
      </c>
      <c r="E52" s="9">
        <v>53344</v>
      </c>
      <c r="F52" s="9">
        <v>9579.4</v>
      </c>
      <c r="G52" s="9">
        <f t="shared" si="1"/>
        <v>62923.4</v>
      </c>
      <c r="H52" s="9">
        <v>47897</v>
      </c>
      <c r="I52" s="9">
        <v>47223</v>
      </c>
      <c r="J52" s="9">
        <v>47552</v>
      </c>
      <c r="K52" s="9">
        <v>48218</v>
      </c>
      <c r="L52" s="9">
        <v>50139</v>
      </c>
      <c r="M52" s="9">
        <v>42029</v>
      </c>
      <c r="N52" s="9">
        <v>41617</v>
      </c>
      <c r="O52" s="9">
        <v>40187</v>
      </c>
      <c r="P52" s="9">
        <v>35230</v>
      </c>
      <c r="Q52" s="9">
        <v>29923</v>
      </c>
      <c r="R52" s="9">
        <v>24726</v>
      </c>
      <c r="S52" s="9">
        <v>21322</v>
      </c>
      <c r="T52" s="9">
        <v>16455</v>
      </c>
      <c r="U52" s="9">
        <v>12526</v>
      </c>
      <c r="V52" s="9">
        <v>7844</v>
      </c>
      <c r="W52" s="9">
        <v>4559</v>
      </c>
      <c r="X52" s="9">
        <v>3473</v>
      </c>
    </row>
    <row r="53" spans="1:24" x14ac:dyDescent="0.2">
      <c r="A53" s="10" t="s">
        <v>63</v>
      </c>
      <c r="B53" s="10" t="s">
        <v>141</v>
      </c>
      <c r="C53" s="10" t="str">
        <f t="shared" si="0"/>
        <v>Western CapeDistrict</v>
      </c>
      <c r="D53" s="10" t="s">
        <v>64</v>
      </c>
      <c r="E53" s="9">
        <v>7678</v>
      </c>
      <c r="F53" s="9">
        <v>1406</v>
      </c>
      <c r="G53" s="9">
        <f t="shared" si="1"/>
        <v>9084</v>
      </c>
      <c r="H53" s="9">
        <v>7030</v>
      </c>
      <c r="I53" s="9">
        <v>6975</v>
      </c>
      <c r="J53" s="9">
        <v>6159</v>
      </c>
      <c r="K53" s="9">
        <v>5672</v>
      </c>
      <c r="L53" s="9">
        <v>5343</v>
      </c>
      <c r="M53" s="9">
        <v>4740</v>
      </c>
      <c r="N53" s="9">
        <v>4773</v>
      </c>
      <c r="O53" s="9">
        <v>4786</v>
      </c>
      <c r="P53" s="9">
        <v>4278</v>
      </c>
      <c r="Q53" s="9">
        <v>3811</v>
      </c>
      <c r="R53" s="9">
        <v>3047</v>
      </c>
      <c r="S53" s="9">
        <v>2344</v>
      </c>
      <c r="T53" s="9">
        <v>1637</v>
      </c>
      <c r="U53" s="9">
        <v>1243</v>
      </c>
      <c r="V53" s="9">
        <v>750</v>
      </c>
      <c r="W53" s="9">
        <v>405</v>
      </c>
      <c r="X53" s="9">
        <v>341</v>
      </c>
    </row>
    <row r="54" spans="1:24" x14ac:dyDescent="0.2">
      <c r="A54" s="10" t="s">
        <v>63</v>
      </c>
      <c r="B54" s="10" t="s">
        <v>144</v>
      </c>
      <c r="C54" s="10" t="str">
        <f t="shared" si="0"/>
        <v>Western CapeMetro</v>
      </c>
      <c r="D54" s="10" t="s">
        <v>62</v>
      </c>
      <c r="E54" s="9">
        <v>370296</v>
      </c>
      <c r="F54" s="9">
        <v>57885.4</v>
      </c>
      <c r="G54" s="9">
        <f t="shared" si="1"/>
        <v>428181.4</v>
      </c>
      <c r="H54" s="9">
        <v>289427</v>
      </c>
      <c r="I54" s="9">
        <v>268606</v>
      </c>
      <c r="J54" s="9">
        <v>301370</v>
      </c>
      <c r="K54" s="9">
        <v>385489</v>
      </c>
      <c r="L54" s="9">
        <v>400698</v>
      </c>
      <c r="M54" s="9">
        <v>326664</v>
      </c>
      <c r="N54" s="9">
        <v>285622</v>
      </c>
      <c r="O54" s="9">
        <v>247421</v>
      </c>
      <c r="P54" s="9">
        <v>219245</v>
      </c>
      <c r="Q54" s="9">
        <v>184935</v>
      </c>
      <c r="R54" s="9">
        <v>142949</v>
      </c>
      <c r="S54" s="9">
        <v>109817</v>
      </c>
      <c r="T54" s="9">
        <v>75143</v>
      </c>
      <c r="U54" s="9">
        <v>56137</v>
      </c>
      <c r="V54" s="9">
        <v>36430</v>
      </c>
      <c r="W54" s="9">
        <v>22794</v>
      </c>
      <c r="X54" s="9">
        <v>16983</v>
      </c>
    </row>
  </sheetData>
  <pageMargins left="0.75" right="0.75" top="1" bottom="1" header="0.5" footer="0.5"/>
  <extLst>
    <ext xmlns:mx="http://schemas.microsoft.com/office/mac/excel/2008/main" uri="{64002731-A6B0-56B0-2670-7721B7C09600}">
      <mx:PLV Mode="0" OnePage="0" WScale="0"/>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37"/>
  <sheetViews>
    <sheetView topLeftCell="A76" workbookViewId="0">
      <selection activeCell="B236" sqref="B236"/>
    </sheetView>
  </sheetViews>
  <sheetFormatPr defaultColWidth="8.85546875" defaultRowHeight="12.75" x14ac:dyDescent="0.2"/>
  <cols>
    <col min="1" max="2" width="26.7109375" style="8" customWidth="1"/>
    <col min="3" max="22" width="10.7109375" style="8" customWidth="1"/>
    <col min="23" max="16384" width="8.85546875" style="8"/>
  </cols>
  <sheetData>
    <row r="1" spans="1:22" x14ac:dyDescent="0.2">
      <c r="C1" s="20" t="s">
        <v>143</v>
      </c>
      <c r="D1" s="20"/>
      <c r="E1" s="20"/>
      <c r="F1" s="20"/>
      <c r="G1" s="20"/>
      <c r="H1" s="20"/>
      <c r="I1" s="20"/>
      <c r="J1" s="20"/>
      <c r="K1" s="20"/>
      <c r="L1" s="20"/>
      <c r="M1" s="20"/>
      <c r="N1" s="20"/>
      <c r="O1" s="20"/>
      <c r="P1" s="20"/>
      <c r="Q1" s="20"/>
      <c r="R1" s="20"/>
      <c r="S1" s="20"/>
      <c r="T1" s="20"/>
      <c r="U1" s="20"/>
      <c r="V1" s="20"/>
    </row>
    <row r="2" spans="1:22" s="19" customFormat="1" x14ac:dyDescent="0.2">
      <c r="A2" s="21" t="s">
        <v>142</v>
      </c>
      <c r="B2" s="21" t="s">
        <v>371</v>
      </c>
      <c r="C2" s="20" t="s">
        <v>140</v>
      </c>
      <c r="D2" s="20">
        <v>5</v>
      </c>
      <c r="E2" s="20" t="s">
        <v>372</v>
      </c>
      <c r="F2" s="20" t="s">
        <v>139</v>
      </c>
      <c r="G2" s="20" t="s">
        <v>138</v>
      </c>
      <c r="H2" s="20" t="s">
        <v>137</v>
      </c>
      <c r="I2" s="20" t="s">
        <v>136</v>
      </c>
      <c r="J2" s="20" t="s">
        <v>135</v>
      </c>
      <c r="K2" s="20" t="s">
        <v>134</v>
      </c>
      <c r="L2" s="20" t="s">
        <v>133</v>
      </c>
      <c r="M2" s="20" t="s">
        <v>132</v>
      </c>
      <c r="N2" s="20" t="s">
        <v>131</v>
      </c>
      <c r="O2" s="20" t="s">
        <v>130</v>
      </c>
      <c r="P2" s="20" t="s">
        <v>129</v>
      </c>
      <c r="Q2" s="20" t="s">
        <v>128</v>
      </c>
      <c r="R2" s="20" t="s">
        <v>127</v>
      </c>
      <c r="S2" s="20" t="s">
        <v>126</v>
      </c>
      <c r="T2" s="20" t="s">
        <v>125</v>
      </c>
      <c r="U2" s="20" t="s">
        <v>124</v>
      </c>
      <c r="V2" s="20" t="s">
        <v>123</v>
      </c>
    </row>
    <row r="3" spans="1:22" x14ac:dyDescent="0.2">
      <c r="A3" s="18" t="s">
        <v>115</v>
      </c>
      <c r="B3" s="18" t="s">
        <v>370</v>
      </c>
      <c r="C3" s="17">
        <v>5238</v>
      </c>
      <c r="D3" s="17">
        <v>1002.2</v>
      </c>
      <c r="E3" s="17">
        <f>D3+C3</f>
        <v>6240.2</v>
      </c>
      <c r="F3" s="17">
        <v>5011</v>
      </c>
      <c r="G3" s="17">
        <v>4925</v>
      </c>
      <c r="H3" s="17">
        <v>5103</v>
      </c>
      <c r="I3" s="17">
        <v>4582</v>
      </c>
      <c r="J3" s="17">
        <v>3876</v>
      </c>
      <c r="K3" s="17">
        <v>3279</v>
      </c>
      <c r="L3" s="17">
        <v>3133</v>
      </c>
      <c r="M3" s="17">
        <v>3141</v>
      </c>
      <c r="N3" s="17">
        <v>2869</v>
      </c>
      <c r="O3" s="17">
        <v>2502</v>
      </c>
      <c r="P3" s="17">
        <v>2065</v>
      </c>
      <c r="Q3" s="17">
        <v>1732</v>
      </c>
      <c r="R3" s="17">
        <v>1296</v>
      </c>
      <c r="S3" s="17">
        <v>953</v>
      </c>
      <c r="T3" s="17">
        <v>638</v>
      </c>
      <c r="U3" s="17">
        <v>366</v>
      </c>
      <c r="V3" s="17">
        <v>286</v>
      </c>
    </row>
    <row r="4" spans="1:22" x14ac:dyDescent="0.2">
      <c r="A4" s="18" t="s">
        <v>115</v>
      </c>
      <c r="B4" s="18" t="s">
        <v>369</v>
      </c>
      <c r="C4" s="17">
        <v>3956</v>
      </c>
      <c r="D4" s="17">
        <v>690.6</v>
      </c>
      <c r="E4" s="17">
        <f t="shared" ref="E4:E67" si="0">D4+C4</f>
        <v>4646.6000000000004</v>
      </c>
      <c r="F4" s="17">
        <v>3453</v>
      </c>
      <c r="G4" s="17">
        <v>3108</v>
      </c>
      <c r="H4" s="17">
        <v>3173</v>
      </c>
      <c r="I4" s="17">
        <v>2859</v>
      </c>
      <c r="J4" s="17">
        <v>2760</v>
      </c>
      <c r="K4" s="17">
        <v>2314</v>
      </c>
      <c r="L4" s="17">
        <v>2436</v>
      </c>
      <c r="M4" s="17">
        <v>2248</v>
      </c>
      <c r="N4" s="17">
        <v>2203</v>
      </c>
      <c r="O4" s="17">
        <v>2015</v>
      </c>
      <c r="P4" s="17">
        <v>1670</v>
      </c>
      <c r="Q4" s="17">
        <v>1284</v>
      </c>
      <c r="R4" s="17">
        <v>931</v>
      </c>
      <c r="S4" s="17">
        <v>778</v>
      </c>
      <c r="T4" s="17">
        <v>391</v>
      </c>
      <c r="U4" s="17">
        <v>242</v>
      </c>
      <c r="V4" s="17">
        <v>182</v>
      </c>
    </row>
    <row r="5" spans="1:22" x14ac:dyDescent="0.2">
      <c r="A5" s="18" t="s">
        <v>115</v>
      </c>
      <c r="B5" s="18" t="s">
        <v>368</v>
      </c>
      <c r="C5" s="17">
        <v>1159</v>
      </c>
      <c r="D5" s="17">
        <v>227.6</v>
      </c>
      <c r="E5" s="17">
        <f t="shared" si="0"/>
        <v>1386.6</v>
      </c>
      <c r="F5" s="17">
        <v>1138</v>
      </c>
      <c r="G5" s="17">
        <v>978</v>
      </c>
      <c r="H5" s="17">
        <v>886</v>
      </c>
      <c r="I5" s="17">
        <v>824</v>
      </c>
      <c r="J5" s="17">
        <v>716</v>
      </c>
      <c r="K5" s="17">
        <v>709</v>
      </c>
      <c r="L5" s="17">
        <v>690</v>
      </c>
      <c r="M5" s="17">
        <v>614</v>
      </c>
      <c r="N5" s="17">
        <v>673</v>
      </c>
      <c r="O5" s="17">
        <v>631</v>
      </c>
      <c r="P5" s="17">
        <v>452</v>
      </c>
      <c r="Q5" s="17">
        <v>333</v>
      </c>
      <c r="R5" s="17">
        <v>285</v>
      </c>
      <c r="S5" s="17">
        <v>190</v>
      </c>
      <c r="T5" s="17">
        <v>127</v>
      </c>
      <c r="U5" s="17">
        <v>81</v>
      </c>
      <c r="V5" s="17">
        <v>51</v>
      </c>
    </row>
    <row r="6" spans="1:22" x14ac:dyDescent="0.2">
      <c r="A6" s="18" t="s">
        <v>115</v>
      </c>
      <c r="B6" s="18" t="s">
        <v>367</v>
      </c>
      <c r="C6" s="17">
        <v>7180</v>
      </c>
      <c r="D6" s="17">
        <v>1290</v>
      </c>
      <c r="E6" s="17">
        <f t="shared" si="0"/>
        <v>8470</v>
      </c>
      <c r="F6" s="17">
        <v>6450</v>
      </c>
      <c r="G6" s="17">
        <v>5981</v>
      </c>
      <c r="H6" s="17">
        <v>7692</v>
      </c>
      <c r="I6" s="17">
        <v>9959</v>
      </c>
      <c r="J6" s="17">
        <v>7497</v>
      </c>
      <c r="K6" s="17">
        <v>5554</v>
      </c>
      <c r="L6" s="17">
        <v>5323</v>
      </c>
      <c r="M6" s="17">
        <v>5258</v>
      </c>
      <c r="N6" s="17">
        <v>4757</v>
      </c>
      <c r="O6" s="17">
        <v>4159</v>
      </c>
      <c r="P6" s="17">
        <v>3236</v>
      </c>
      <c r="Q6" s="17">
        <v>2342</v>
      </c>
      <c r="R6" s="17">
        <v>1659</v>
      </c>
      <c r="S6" s="17">
        <v>1455</v>
      </c>
      <c r="T6" s="17">
        <v>873</v>
      </c>
      <c r="U6" s="17">
        <v>498</v>
      </c>
      <c r="V6" s="17">
        <v>518</v>
      </c>
    </row>
    <row r="7" spans="1:22" x14ac:dyDescent="0.2">
      <c r="A7" s="18" t="s">
        <v>115</v>
      </c>
      <c r="B7" s="18" t="s">
        <v>366</v>
      </c>
      <c r="C7" s="17">
        <v>5803</v>
      </c>
      <c r="D7" s="17">
        <v>1026.2</v>
      </c>
      <c r="E7" s="17">
        <f t="shared" si="0"/>
        <v>6829.2</v>
      </c>
      <c r="F7" s="17">
        <v>5131</v>
      </c>
      <c r="G7" s="17">
        <v>4505</v>
      </c>
      <c r="H7" s="17">
        <v>4933</v>
      </c>
      <c r="I7" s="17">
        <v>4958</v>
      </c>
      <c r="J7" s="17">
        <v>5080</v>
      </c>
      <c r="K7" s="17">
        <v>4298</v>
      </c>
      <c r="L7" s="17">
        <v>4232</v>
      </c>
      <c r="M7" s="17">
        <v>4035</v>
      </c>
      <c r="N7" s="17">
        <v>3569</v>
      </c>
      <c r="O7" s="17">
        <v>3383</v>
      </c>
      <c r="P7" s="17">
        <v>2749</v>
      </c>
      <c r="Q7" s="17">
        <v>2413</v>
      </c>
      <c r="R7" s="17">
        <v>1853</v>
      </c>
      <c r="S7" s="17">
        <v>1737</v>
      </c>
      <c r="T7" s="17">
        <v>1012</v>
      </c>
      <c r="U7" s="17">
        <v>735</v>
      </c>
      <c r="V7" s="17">
        <v>750</v>
      </c>
    </row>
    <row r="8" spans="1:22" x14ac:dyDescent="0.2">
      <c r="A8" s="18" t="s">
        <v>115</v>
      </c>
      <c r="B8" s="18" t="s">
        <v>365</v>
      </c>
      <c r="C8" s="17">
        <v>5682</v>
      </c>
      <c r="D8" s="17">
        <v>967.8</v>
      </c>
      <c r="E8" s="17">
        <f t="shared" si="0"/>
        <v>6649.8</v>
      </c>
      <c r="F8" s="17">
        <v>4839</v>
      </c>
      <c r="G8" s="17">
        <v>4057</v>
      </c>
      <c r="H8" s="17">
        <v>4560</v>
      </c>
      <c r="I8" s="17">
        <v>5344</v>
      </c>
      <c r="J8" s="17">
        <v>5473</v>
      </c>
      <c r="K8" s="17">
        <v>4341</v>
      </c>
      <c r="L8" s="17">
        <v>4254</v>
      </c>
      <c r="M8" s="17">
        <v>3787</v>
      </c>
      <c r="N8" s="17">
        <v>3145</v>
      </c>
      <c r="O8" s="17">
        <v>2679</v>
      </c>
      <c r="P8" s="17">
        <v>2055</v>
      </c>
      <c r="Q8" s="17">
        <v>1451</v>
      </c>
      <c r="R8" s="17">
        <v>993</v>
      </c>
      <c r="S8" s="17">
        <v>829</v>
      </c>
      <c r="T8" s="17">
        <v>441</v>
      </c>
      <c r="U8" s="17">
        <v>283</v>
      </c>
      <c r="V8" s="17">
        <v>290</v>
      </c>
    </row>
    <row r="9" spans="1:22" x14ac:dyDescent="0.2">
      <c r="A9" s="18" t="s">
        <v>115</v>
      </c>
      <c r="B9" s="18" t="s">
        <v>364</v>
      </c>
      <c r="C9" s="17">
        <v>2006</v>
      </c>
      <c r="D9" s="17">
        <v>369.4</v>
      </c>
      <c r="E9" s="17">
        <f t="shared" si="0"/>
        <v>2375.4</v>
      </c>
      <c r="F9" s="17">
        <v>1847</v>
      </c>
      <c r="G9" s="17">
        <v>1669</v>
      </c>
      <c r="H9" s="17">
        <v>1487</v>
      </c>
      <c r="I9" s="17">
        <v>1416</v>
      </c>
      <c r="J9" s="17">
        <v>1291</v>
      </c>
      <c r="K9" s="17">
        <v>1181</v>
      </c>
      <c r="L9" s="17">
        <v>1143</v>
      </c>
      <c r="M9" s="17">
        <v>1126</v>
      </c>
      <c r="N9" s="17">
        <v>1105</v>
      </c>
      <c r="O9" s="17">
        <v>931</v>
      </c>
      <c r="P9" s="17">
        <v>836</v>
      </c>
      <c r="Q9" s="17">
        <v>569</v>
      </c>
      <c r="R9" s="17">
        <v>458</v>
      </c>
      <c r="S9" s="17">
        <v>322</v>
      </c>
      <c r="T9" s="17">
        <v>189</v>
      </c>
      <c r="U9" s="17">
        <v>105</v>
      </c>
      <c r="V9" s="17">
        <v>79</v>
      </c>
    </row>
    <row r="10" spans="1:22" x14ac:dyDescent="0.2">
      <c r="A10" s="18" t="s">
        <v>115</v>
      </c>
      <c r="B10" s="18" t="s">
        <v>363</v>
      </c>
      <c r="C10" s="17">
        <v>10366</v>
      </c>
      <c r="D10" s="17">
        <v>1715.8</v>
      </c>
      <c r="E10" s="17">
        <f t="shared" si="0"/>
        <v>12081.8</v>
      </c>
      <c r="F10" s="17">
        <v>8579</v>
      </c>
      <c r="G10" s="17">
        <v>7458</v>
      </c>
      <c r="H10" s="17">
        <v>7645</v>
      </c>
      <c r="I10" s="17">
        <v>8665</v>
      </c>
      <c r="J10" s="17">
        <v>9284</v>
      </c>
      <c r="K10" s="17">
        <v>7682</v>
      </c>
      <c r="L10" s="17">
        <v>7087</v>
      </c>
      <c r="M10" s="17">
        <v>6447</v>
      </c>
      <c r="N10" s="17">
        <v>5691</v>
      </c>
      <c r="O10" s="17">
        <v>4542</v>
      </c>
      <c r="P10" s="17">
        <v>3878</v>
      </c>
      <c r="Q10" s="17">
        <v>3410</v>
      </c>
      <c r="R10" s="17">
        <v>2684</v>
      </c>
      <c r="S10" s="17">
        <v>2195</v>
      </c>
      <c r="T10" s="17">
        <v>1454</v>
      </c>
      <c r="U10" s="17">
        <v>814</v>
      </c>
      <c r="V10" s="17">
        <v>678</v>
      </c>
    </row>
    <row r="11" spans="1:22" x14ac:dyDescent="0.2">
      <c r="A11" s="18" t="s">
        <v>115</v>
      </c>
      <c r="B11" s="18" t="s">
        <v>362</v>
      </c>
      <c r="C11" s="17">
        <v>4580</v>
      </c>
      <c r="D11" s="17">
        <v>782.8</v>
      </c>
      <c r="E11" s="17">
        <f t="shared" si="0"/>
        <v>5362.8</v>
      </c>
      <c r="F11" s="17">
        <v>3914</v>
      </c>
      <c r="G11" s="17">
        <v>3593</v>
      </c>
      <c r="H11" s="17">
        <v>3097</v>
      </c>
      <c r="I11" s="17">
        <v>3751</v>
      </c>
      <c r="J11" s="17">
        <v>3809</v>
      </c>
      <c r="K11" s="17">
        <v>3052</v>
      </c>
      <c r="L11" s="17">
        <v>3071</v>
      </c>
      <c r="M11" s="17">
        <v>2755</v>
      </c>
      <c r="N11" s="17">
        <v>2454</v>
      </c>
      <c r="O11" s="17">
        <v>2004</v>
      </c>
      <c r="P11" s="17">
        <v>1589</v>
      </c>
      <c r="Q11" s="17">
        <v>1149</v>
      </c>
      <c r="R11" s="17">
        <v>735</v>
      </c>
      <c r="S11" s="17">
        <v>541</v>
      </c>
      <c r="T11" s="17">
        <v>297</v>
      </c>
      <c r="U11" s="17">
        <v>151</v>
      </c>
      <c r="V11" s="17">
        <v>122</v>
      </c>
    </row>
    <row r="12" spans="1:22" x14ac:dyDescent="0.2">
      <c r="A12" s="18" t="s">
        <v>115</v>
      </c>
      <c r="B12" s="18" t="s">
        <v>361</v>
      </c>
      <c r="C12" s="17">
        <v>31383</v>
      </c>
      <c r="D12" s="17">
        <v>6267.6</v>
      </c>
      <c r="E12" s="17">
        <f t="shared" si="0"/>
        <v>37650.6</v>
      </c>
      <c r="F12" s="17">
        <v>31338</v>
      </c>
      <c r="G12" s="17">
        <v>34107</v>
      </c>
      <c r="H12" s="17">
        <v>35376</v>
      </c>
      <c r="I12" s="17">
        <v>21463</v>
      </c>
      <c r="J12" s="17">
        <v>14301</v>
      </c>
      <c r="K12" s="17">
        <v>11049</v>
      </c>
      <c r="L12" s="17">
        <v>10304</v>
      </c>
      <c r="M12" s="17">
        <v>9081</v>
      </c>
      <c r="N12" s="17">
        <v>9512</v>
      </c>
      <c r="O12" s="17">
        <v>9858</v>
      </c>
      <c r="P12" s="17">
        <v>8306</v>
      </c>
      <c r="Q12" s="17">
        <v>8164</v>
      </c>
      <c r="R12" s="17">
        <v>6125</v>
      </c>
      <c r="S12" s="17">
        <v>6206</v>
      </c>
      <c r="T12" s="17">
        <v>3800</v>
      </c>
      <c r="U12" s="17">
        <v>2742</v>
      </c>
      <c r="V12" s="17">
        <v>1794</v>
      </c>
    </row>
    <row r="13" spans="1:22" x14ac:dyDescent="0.2">
      <c r="A13" s="18" t="s">
        <v>115</v>
      </c>
      <c r="B13" s="18" t="s">
        <v>360</v>
      </c>
      <c r="C13" s="17">
        <v>29566</v>
      </c>
      <c r="D13" s="17">
        <v>5635.6</v>
      </c>
      <c r="E13" s="17">
        <f t="shared" si="0"/>
        <v>35201.599999999999</v>
      </c>
      <c r="F13" s="17">
        <v>28178</v>
      </c>
      <c r="G13" s="17">
        <v>28867</v>
      </c>
      <c r="H13" s="17">
        <v>31936</v>
      </c>
      <c r="I13" s="17">
        <v>21417</v>
      </c>
      <c r="J13" s="17">
        <v>14806</v>
      </c>
      <c r="K13" s="17">
        <v>11467</v>
      </c>
      <c r="L13" s="17">
        <v>10930</v>
      </c>
      <c r="M13" s="17">
        <v>10639</v>
      </c>
      <c r="N13" s="17">
        <v>10798</v>
      </c>
      <c r="O13" s="17">
        <v>11644</v>
      </c>
      <c r="P13" s="17">
        <v>10508</v>
      </c>
      <c r="Q13" s="17">
        <v>9000</v>
      </c>
      <c r="R13" s="17">
        <v>6993</v>
      </c>
      <c r="S13" s="17">
        <v>6493</v>
      </c>
      <c r="T13" s="17">
        <v>4184</v>
      </c>
      <c r="U13" s="17">
        <v>2811</v>
      </c>
      <c r="V13" s="17">
        <v>2153</v>
      </c>
    </row>
    <row r="14" spans="1:22" x14ac:dyDescent="0.2">
      <c r="A14" s="18" t="s">
        <v>115</v>
      </c>
      <c r="B14" s="18" t="s">
        <v>359</v>
      </c>
      <c r="C14" s="17">
        <v>4344</v>
      </c>
      <c r="D14" s="17">
        <v>733.8</v>
      </c>
      <c r="E14" s="17">
        <f t="shared" si="0"/>
        <v>5077.8</v>
      </c>
      <c r="F14" s="17">
        <v>3669</v>
      </c>
      <c r="G14" s="17">
        <v>3166</v>
      </c>
      <c r="H14" s="17">
        <v>3870</v>
      </c>
      <c r="I14" s="17">
        <v>3335</v>
      </c>
      <c r="J14" s="17">
        <v>2806</v>
      </c>
      <c r="K14" s="17">
        <v>2453</v>
      </c>
      <c r="L14" s="17">
        <v>2262</v>
      </c>
      <c r="M14" s="17">
        <v>2349</v>
      </c>
      <c r="N14" s="17">
        <v>2093</v>
      </c>
      <c r="O14" s="17">
        <v>2125</v>
      </c>
      <c r="P14" s="17">
        <v>1706</v>
      </c>
      <c r="Q14" s="17">
        <v>1177</v>
      </c>
      <c r="R14" s="17">
        <v>1105</v>
      </c>
      <c r="S14" s="17">
        <v>1251</v>
      </c>
      <c r="T14" s="17">
        <v>622</v>
      </c>
      <c r="U14" s="17">
        <v>383</v>
      </c>
      <c r="V14" s="17">
        <v>276</v>
      </c>
    </row>
    <row r="15" spans="1:22" x14ac:dyDescent="0.2">
      <c r="A15" s="18" t="s">
        <v>115</v>
      </c>
      <c r="B15" s="18" t="s">
        <v>358</v>
      </c>
      <c r="C15" s="17">
        <v>14252</v>
      </c>
      <c r="D15" s="17">
        <v>2552</v>
      </c>
      <c r="E15" s="17">
        <f t="shared" si="0"/>
        <v>16804</v>
      </c>
      <c r="F15" s="17">
        <v>12760</v>
      </c>
      <c r="G15" s="17">
        <v>11419</v>
      </c>
      <c r="H15" s="17">
        <v>13229</v>
      </c>
      <c r="I15" s="17">
        <v>10092</v>
      </c>
      <c r="J15" s="17">
        <v>7883</v>
      </c>
      <c r="K15" s="17">
        <v>6464</v>
      </c>
      <c r="L15" s="17">
        <v>6288</v>
      </c>
      <c r="M15" s="17">
        <v>6532</v>
      </c>
      <c r="N15" s="17">
        <v>6627</v>
      </c>
      <c r="O15" s="17">
        <v>6615</v>
      </c>
      <c r="P15" s="17">
        <v>5613</v>
      </c>
      <c r="Q15" s="17">
        <v>4390</v>
      </c>
      <c r="R15" s="17">
        <v>3270</v>
      </c>
      <c r="S15" s="17">
        <v>3240</v>
      </c>
      <c r="T15" s="17">
        <v>1741</v>
      </c>
      <c r="U15" s="17">
        <v>1249</v>
      </c>
      <c r="V15" s="17">
        <v>1112</v>
      </c>
    </row>
    <row r="16" spans="1:22" x14ac:dyDescent="0.2">
      <c r="A16" s="18" t="s">
        <v>115</v>
      </c>
      <c r="B16" s="18" t="s">
        <v>357</v>
      </c>
      <c r="C16" s="17">
        <v>8180</v>
      </c>
      <c r="D16" s="17">
        <v>1458</v>
      </c>
      <c r="E16" s="17">
        <f t="shared" si="0"/>
        <v>9638</v>
      </c>
      <c r="F16" s="17">
        <v>7290</v>
      </c>
      <c r="G16" s="17">
        <v>6187</v>
      </c>
      <c r="H16" s="17">
        <v>7142</v>
      </c>
      <c r="I16" s="17">
        <v>5253</v>
      </c>
      <c r="J16" s="17">
        <v>4195</v>
      </c>
      <c r="K16" s="17">
        <v>3570</v>
      </c>
      <c r="L16" s="17">
        <v>3719</v>
      </c>
      <c r="M16" s="17">
        <v>3631</v>
      </c>
      <c r="N16" s="17">
        <v>3855</v>
      </c>
      <c r="O16" s="17">
        <v>3900</v>
      </c>
      <c r="P16" s="17">
        <v>3593</v>
      </c>
      <c r="Q16" s="17">
        <v>3092</v>
      </c>
      <c r="R16" s="17">
        <v>2540</v>
      </c>
      <c r="S16" s="17">
        <v>2449</v>
      </c>
      <c r="T16" s="17">
        <v>1646</v>
      </c>
      <c r="U16" s="17">
        <v>1024</v>
      </c>
      <c r="V16" s="17">
        <v>924</v>
      </c>
    </row>
    <row r="17" spans="1:22" x14ac:dyDescent="0.2">
      <c r="A17" s="18" t="s">
        <v>115</v>
      </c>
      <c r="B17" s="18" t="s">
        <v>356</v>
      </c>
      <c r="C17" s="17">
        <v>13611</v>
      </c>
      <c r="D17" s="17">
        <v>2494.4</v>
      </c>
      <c r="E17" s="17">
        <f t="shared" si="0"/>
        <v>16105.4</v>
      </c>
      <c r="F17" s="17">
        <v>12472</v>
      </c>
      <c r="G17" s="17">
        <v>10513</v>
      </c>
      <c r="H17" s="17">
        <v>12534</v>
      </c>
      <c r="I17" s="17">
        <v>12809</v>
      </c>
      <c r="J17" s="17">
        <v>8959</v>
      </c>
      <c r="K17" s="17">
        <v>6703</v>
      </c>
      <c r="L17" s="17">
        <v>6950</v>
      </c>
      <c r="M17" s="17">
        <v>7001</v>
      </c>
      <c r="N17" s="17">
        <v>6976</v>
      </c>
      <c r="O17" s="17">
        <v>6633</v>
      </c>
      <c r="P17" s="17">
        <v>5637</v>
      </c>
      <c r="Q17" s="17">
        <v>4621</v>
      </c>
      <c r="R17" s="17">
        <v>3741</v>
      </c>
      <c r="S17" s="17">
        <v>3174</v>
      </c>
      <c r="T17" s="17">
        <v>1915</v>
      </c>
      <c r="U17" s="17">
        <v>1441</v>
      </c>
      <c r="V17" s="17">
        <v>1427</v>
      </c>
    </row>
    <row r="18" spans="1:22" x14ac:dyDescent="0.2">
      <c r="A18" s="18" t="s">
        <v>115</v>
      </c>
      <c r="B18" s="18" t="s">
        <v>355</v>
      </c>
      <c r="C18" s="17">
        <v>2695</v>
      </c>
      <c r="D18" s="17">
        <v>482.2</v>
      </c>
      <c r="E18" s="17">
        <f t="shared" si="0"/>
        <v>3177.2</v>
      </c>
      <c r="F18" s="17">
        <v>2411</v>
      </c>
      <c r="G18" s="17">
        <v>2175</v>
      </c>
      <c r="H18" s="17">
        <v>2385</v>
      </c>
      <c r="I18" s="17">
        <v>1872</v>
      </c>
      <c r="J18" s="17">
        <v>1767</v>
      </c>
      <c r="K18" s="17">
        <v>1478</v>
      </c>
      <c r="L18" s="17">
        <v>1470</v>
      </c>
      <c r="M18" s="17">
        <v>1371</v>
      </c>
      <c r="N18" s="17">
        <v>1429</v>
      </c>
      <c r="O18" s="17">
        <v>1216</v>
      </c>
      <c r="P18" s="17">
        <v>1154</v>
      </c>
      <c r="Q18" s="17">
        <v>796</v>
      </c>
      <c r="R18" s="17">
        <v>683</v>
      </c>
      <c r="S18" s="17">
        <v>619</v>
      </c>
      <c r="T18" s="17">
        <v>353</v>
      </c>
      <c r="U18" s="17">
        <v>201</v>
      </c>
      <c r="V18" s="17">
        <v>189</v>
      </c>
    </row>
    <row r="19" spans="1:22" x14ac:dyDescent="0.2">
      <c r="A19" s="18" t="s">
        <v>115</v>
      </c>
      <c r="B19" s="18" t="s">
        <v>354</v>
      </c>
      <c r="C19" s="17">
        <v>6987</v>
      </c>
      <c r="D19" s="17">
        <v>1251.5999999999999</v>
      </c>
      <c r="E19" s="17">
        <f t="shared" si="0"/>
        <v>8238.6</v>
      </c>
      <c r="F19" s="17">
        <v>6258</v>
      </c>
      <c r="G19" s="17">
        <v>5861</v>
      </c>
      <c r="H19" s="17">
        <v>5965</v>
      </c>
      <c r="I19" s="17">
        <v>5663</v>
      </c>
      <c r="J19" s="17">
        <v>5468</v>
      </c>
      <c r="K19" s="17">
        <v>4325</v>
      </c>
      <c r="L19" s="17">
        <v>4335</v>
      </c>
      <c r="M19" s="17">
        <v>4167</v>
      </c>
      <c r="N19" s="17">
        <v>3736</v>
      </c>
      <c r="O19" s="17">
        <v>3509</v>
      </c>
      <c r="P19" s="17">
        <v>2912</v>
      </c>
      <c r="Q19" s="17">
        <v>2291</v>
      </c>
      <c r="R19" s="17">
        <v>1524</v>
      </c>
      <c r="S19" s="17">
        <v>1111</v>
      </c>
      <c r="T19" s="17">
        <v>631</v>
      </c>
      <c r="U19" s="17">
        <v>412</v>
      </c>
      <c r="V19" s="17">
        <v>405</v>
      </c>
    </row>
    <row r="20" spans="1:22" x14ac:dyDescent="0.2">
      <c r="A20" s="18" t="s">
        <v>115</v>
      </c>
      <c r="B20" s="18" t="s">
        <v>353</v>
      </c>
      <c r="C20" s="17">
        <v>3884</v>
      </c>
      <c r="D20" s="17">
        <v>747</v>
      </c>
      <c r="E20" s="17">
        <f t="shared" si="0"/>
        <v>4631</v>
      </c>
      <c r="F20" s="17">
        <v>3735</v>
      </c>
      <c r="G20" s="17">
        <v>3408</v>
      </c>
      <c r="H20" s="17">
        <v>3558</v>
      </c>
      <c r="I20" s="17">
        <v>2877</v>
      </c>
      <c r="J20" s="17">
        <v>2273</v>
      </c>
      <c r="K20" s="17">
        <v>1773</v>
      </c>
      <c r="L20" s="17">
        <v>1755</v>
      </c>
      <c r="M20" s="17">
        <v>1613</v>
      </c>
      <c r="N20" s="17">
        <v>1544</v>
      </c>
      <c r="O20" s="17">
        <v>1491</v>
      </c>
      <c r="P20" s="17">
        <v>1446</v>
      </c>
      <c r="Q20" s="17">
        <v>1187</v>
      </c>
      <c r="R20" s="17">
        <v>857</v>
      </c>
      <c r="S20" s="17">
        <v>807</v>
      </c>
      <c r="T20" s="17">
        <v>523</v>
      </c>
      <c r="U20" s="17">
        <v>284</v>
      </c>
      <c r="V20" s="17">
        <v>265</v>
      </c>
    </row>
    <row r="21" spans="1:22" x14ac:dyDescent="0.2">
      <c r="A21" s="18" t="s">
        <v>115</v>
      </c>
      <c r="B21" s="18" t="s">
        <v>352</v>
      </c>
      <c r="C21" s="17">
        <v>2609</v>
      </c>
      <c r="D21" s="17">
        <v>438.4</v>
      </c>
      <c r="E21" s="17">
        <f t="shared" si="0"/>
        <v>3047.4</v>
      </c>
      <c r="F21" s="17">
        <v>2192</v>
      </c>
      <c r="G21" s="17">
        <v>2006</v>
      </c>
      <c r="H21" s="17">
        <v>2084</v>
      </c>
      <c r="I21" s="17">
        <v>2131</v>
      </c>
      <c r="J21" s="17">
        <v>1773</v>
      </c>
      <c r="K21" s="17">
        <v>1448</v>
      </c>
      <c r="L21" s="17">
        <v>1302</v>
      </c>
      <c r="M21" s="17">
        <v>1144</v>
      </c>
      <c r="N21" s="17">
        <v>1145</v>
      </c>
      <c r="O21" s="17">
        <v>1038</v>
      </c>
      <c r="P21" s="17">
        <v>948</v>
      </c>
      <c r="Q21" s="17">
        <v>729</v>
      </c>
      <c r="R21" s="17">
        <v>433</v>
      </c>
      <c r="S21" s="17">
        <v>468</v>
      </c>
      <c r="T21" s="17">
        <v>218</v>
      </c>
      <c r="U21" s="17">
        <v>152</v>
      </c>
      <c r="V21" s="17">
        <v>150</v>
      </c>
    </row>
    <row r="22" spans="1:22" x14ac:dyDescent="0.2">
      <c r="A22" s="18" t="s">
        <v>115</v>
      </c>
      <c r="B22" s="18" t="s">
        <v>351</v>
      </c>
      <c r="C22" s="17">
        <v>20589</v>
      </c>
      <c r="D22" s="17">
        <v>4002.2</v>
      </c>
      <c r="E22" s="17">
        <f t="shared" si="0"/>
        <v>24591.200000000001</v>
      </c>
      <c r="F22" s="17">
        <v>20011</v>
      </c>
      <c r="G22" s="17">
        <v>17656</v>
      </c>
      <c r="H22" s="17">
        <v>19759</v>
      </c>
      <c r="I22" s="17">
        <v>18164</v>
      </c>
      <c r="J22" s="17">
        <v>15278</v>
      </c>
      <c r="K22" s="17">
        <v>11726</v>
      </c>
      <c r="L22" s="17">
        <v>11147</v>
      </c>
      <c r="M22" s="17">
        <v>10272</v>
      </c>
      <c r="N22" s="17">
        <v>10000</v>
      </c>
      <c r="O22" s="17">
        <v>9343</v>
      </c>
      <c r="P22" s="17">
        <v>7693</v>
      </c>
      <c r="Q22" s="17">
        <v>5938</v>
      </c>
      <c r="R22" s="17">
        <v>4089</v>
      </c>
      <c r="S22" s="17">
        <v>3938</v>
      </c>
      <c r="T22" s="17">
        <v>2233</v>
      </c>
      <c r="U22" s="17">
        <v>1481</v>
      </c>
      <c r="V22" s="17">
        <v>1406</v>
      </c>
    </row>
    <row r="23" spans="1:22" x14ac:dyDescent="0.2">
      <c r="A23" s="18" t="s">
        <v>115</v>
      </c>
      <c r="B23" s="18" t="s">
        <v>350</v>
      </c>
      <c r="C23" s="17">
        <v>17536</v>
      </c>
      <c r="D23" s="17">
        <v>3591</v>
      </c>
      <c r="E23" s="17">
        <f t="shared" si="0"/>
        <v>21127</v>
      </c>
      <c r="F23" s="17">
        <v>17955</v>
      </c>
      <c r="G23" s="17">
        <v>16992</v>
      </c>
      <c r="H23" s="17">
        <v>17584</v>
      </c>
      <c r="I23" s="17">
        <v>10563</v>
      </c>
      <c r="J23" s="17">
        <v>7635</v>
      </c>
      <c r="K23" s="17">
        <v>5820</v>
      </c>
      <c r="L23" s="17">
        <v>5828</v>
      </c>
      <c r="M23" s="17">
        <v>5706</v>
      </c>
      <c r="N23" s="17">
        <v>6277</v>
      </c>
      <c r="O23" s="17">
        <v>6729</v>
      </c>
      <c r="P23" s="17">
        <v>6326</v>
      </c>
      <c r="Q23" s="17">
        <v>5873</v>
      </c>
      <c r="R23" s="17">
        <v>4294</v>
      </c>
      <c r="S23" s="17">
        <v>4297</v>
      </c>
      <c r="T23" s="17">
        <v>2562</v>
      </c>
      <c r="U23" s="17">
        <v>1994</v>
      </c>
      <c r="V23" s="17">
        <v>1401</v>
      </c>
    </row>
    <row r="24" spans="1:22" x14ac:dyDescent="0.2">
      <c r="A24" s="18" t="s">
        <v>115</v>
      </c>
      <c r="B24" s="18" t="s">
        <v>349</v>
      </c>
      <c r="C24" s="17">
        <v>14328</v>
      </c>
      <c r="D24" s="17">
        <v>2932.6</v>
      </c>
      <c r="E24" s="17">
        <f t="shared" si="0"/>
        <v>17260.599999999999</v>
      </c>
      <c r="F24" s="17">
        <v>14663</v>
      </c>
      <c r="G24" s="17">
        <v>12908</v>
      </c>
      <c r="H24" s="17">
        <v>14642</v>
      </c>
      <c r="I24" s="17">
        <v>9429</v>
      </c>
      <c r="J24" s="17">
        <v>6473</v>
      </c>
      <c r="K24" s="17">
        <v>5056</v>
      </c>
      <c r="L24" s="17">
        <v>5026</v>
      </c>
      <c r="M24" s="17">
        <v>4809</v>
      </c>
      <c r="N24" s="17">
        <v>5030</v>
      </c>
      <c r="O24" s="17">
        <v>5727</v>
      </c>
      <c r="P24" s="17">
        <v>5020</v>
      </c>
      <c r="Q24" s="17">
        <v>4514</v>
      </c>
      <c r="R24" s="17">
        <v>3323</v>
      </c>
      <c r="S24" s="17">
        <v>3803</v>
      </c>
      <c r="T24" s="17">
        <v>2116</v>
      </c>
      <c r="U24" s="17">
        <v>1333</v>
      </c>
      <c r="V24" s="17">
        <v>1261</v>
      </c>
    </row>
    <row r="25" spans="1:22" x14ac:dyDescent="0.2">
      <c r="A25" s="18" t="s">
        <v>115</v>
      </c>
      <c r="B25" s="18" t="s">
        <v>348</v>
      </c>
      <c r="C25" s="17">
        <v>20768</v>
      </c>
      <c r="D25" s="17">
        <v>4071.8</v>
      </c>
      <c r="E25" s="17">
        <f t="shared" si="0"/>
        <v>24839.8</v>
      </c>
      <c r="F25" s="17">
        <v>20359</v>
      </c>
      <c r="G25" s="17">
        <v>20322</v>
      </c>
      <c r="H25" s="17">
        <v>19917</v>
      </c>
      <c r="I25" s="17">
        <v>11698</v>
      </c>
      <c r="J25" s="17">
        <v>8701</v>
      </c>
      <c r="K25" s="17">
        <v>6681</v>
      </c>
      <c r="L25" s="17">
        <v>6746</v>
      </c>
      <c r="M25" s="17">
        <v>6240</v>
      </c>
      <c r="N25" s="17">
        <v>6044</v>
      </c>
      <c r="O25" s="17">
        <v>6177</v>
      </c>
      <c r="P25" s="17">
        <v>5365</v>
      </c>
      <c r="Q25" s="17">
        <v>4642</v>
      </c>
      <c r="R25" s="17">
        <v>3480</v>
      </c>
      <c r="S25" s="17">
        <v>3666</v>
      </c>
      <c r="T25" s="17">
        <v>2335</v>
      </c>
      <c r="U25" s="17">
        <v>1425</v>
      </c>
      <c r="V25" s="17">
        <v>948</v>
      </c>
    </row>
    <row r="26" spans="1:22" x14ac:dyDescent="0.2">
      <c r="A26" s="18" t="s">
        <v>115</v>
      </c>
      <c r="B26" s="18" t="s">
        <v>347</v>
      </c>
      <c r="C26" s="17">
        <v>7964</v>
      </c>
      <c r="D26" s="17">
        <v>1432.4</v>
      </c>
      <c r="E26" s="17">
        <f t="shared" si="0"/>
        <v>9396.4</v>
      </c>
      <c r="F26" s="17">
        <v>7162</v>
      </c>
      <c r="G26" s="17">
        <v>7105</v>
      </c>
      <c r="H26" s="17">
        <v>7617</v>
      </c>
      <c r="I26" s="17">
        <v>5532</v>
      </c>
      <c r="J26" s="17">
        <v>4107</v>
      </c>
      <c r="K26" s="17">
        <v>3299</v>
      </c>
      <c r="L26" s="17">
        <v>2962</v>
      </c>
      <c r="M26" s="17">
        <v>2792</v>
      </c>
      <c r="N26" s="17">
        <v>2801</v>
      </c>
      <c r="O26" s="17">
        <v>2892</v>
      </c>
      <c r="P26" s="17">
        <v>2447</v>
      </c>
      <c r="Q26" s="17">
        <v>2125</v>
      </c>
      <c r="R26" s="17">
        <v>1413</v>
      </c>
      <c r="S26" s="17">
        <v>1359</v>
      </c>
      <c r="T26" s="17">
        <v>892</v>
      </c>
      <c r="U26" s="17">
        <v>603</v>
      </c>
      <c r="V26" s="17">
        <v>509</v>
      </c>
    </row>
    <row r="27" spans="1:22" x14ac:dyDescent="0.2">
      <c r="A27" s="18" t="s">
        <v>115</v>
      </c>
      <c r="B27" s="18" t="s">
        <v>346</v>
      </c>
      <c r="C27" s="17">
        <v>16137</v>
      </c>
      <c r="D27" s="17">
        <v>3198.6</v>
      </c>
      <c r="E27" s="17">
        <f t="shared" si="0"/>
        <v>19335.599999999999</v>
      </c>
      <c r="F27" s="17">
        <v>15993</v>
      </c>
      <c r="G27" s="17">
        <v>16726</v>
      </c>
      <c r="H27" s="17">
        <v>17180</v>
      </c>
      <c r="I27" s="17">
        <v>12187</v>
      </c>
      <c r="J27" s="17">
        <v>8699</v>
      </c>
      <c r="K27" s="17">
        <v>6641</v>
      </c>
      <c r="L27" s="17">
        <v>6256</v>
      </c>
      <c r="M27" s="17">
        <v>5597</v>
      </c>
      <c r="N27" s="17">
        <v>5582</v>
      </c>
      <c r="O27" s="17">
        <v>5707</v>
      </c>
      <c r="P27" s="17">
        <v>5285</v>
      </c>
      <c r="Q27" s="17">
        <v>4742</v>
      </c>
      <c r="R27" s="17">
        <v>3414</v>
      </c>
      <c r="S27" s="17">
        <v>3067</v>
      </c>
      <c r="T27" s="17">
        <v>2431</v>
      </c>
      <c r="U27" s="17">
        <v>1497</v>
      </c>
      <c r="V27" s="17">
        <v>1000</v>
      </c>
    </row>
    <row r="28" spans="1:22" x14ac:dyDescent="0.2">
      <c r="A28" s="18" t="s">
        <v>115</v>
      </c>
      <c r="B28" s="18" t="s">
        <v>345</v>
      </c>
      <c r="C28" s="17">
        <v>15812</v>
      </c>
      <c r="D28" s="17">
        <v>3024.6</v>
      </c>
      <c r="E28" s="17">
        <f t="shared" si="0"/>
        <v>18836.599999999999</v>
      </c>
      <c r="F28" s="17">
        <v>15123</v>
      </c>
      <c r="G28" s="17">
        <v>14642</v>
      </c>
      <c r="H28" s="17">
        <v>16001</v>
      </c>
      <c r="I28" s="17">
        <v>12707</v>
      </c>
      <c r="J28" s="17">
        <v>9288</v>
      </c>
      <c r="K28" s="17">
        <v>7631</v>
      </c>
      <c r="L28" s="17">
        <v>6734</v>
      </c>
      <c r="M28" s="17">
        <v>5683</v>
      </c>
      <c r="N28" s="17">
        <v>5476</v>
      </c>
      <c r="O28" s="17">
        <v>5321</v>
      </c>
      <c r="P28" s="17">
        <v>4937</v>
      </c>
      <c r="Q28" s="17">
        <v>4467</v>
      </c>
      <c r="R28" s="17">
        <v>3233</v>
      </c>
      <c r="S28" s="17">
        <v>2770</v>
      </c>
      <c r="T28" s="17">
        <v>2255</v>
      </c>
      <c r="U28" s="17">
        <v>1192</v>
      </c>
      <c r="V28" s="17">
        <v>878</v>
      </c>
    </row>
    <row r="29" spans="1:22" x14ac:dyDescent="0.2">
      <c r="A29" s="18" t="s">
        <v>115</v>
      </c>
      <c r="B29" s="18" t="s">
        <v>344</v>
      </c>
      <c r="C29" s="17">
        <v>5176</v>
      </c>
      <c r="D29" s="17">
        <v>958.6</v>
      </c>
      <c r="E29" s="17">
        <f t="shared" si="0"/>
        <v>6134.6</v>
      </c>
      <c r="F29" s="17">
        <v>4793</v>
      </c>
      <c r="G29" s="17">
        <v>4222</v>
      </c>
      <c r="H29" s="17">
        <v>4142</v>
      </c>
      <c r="I29" s="17">
        <v>4177</v>
      </c>
      <c r="J29" s="17">
        <v>3959</v>
      </c>
      <c r="K29" s="17">
        <v>3209</v>
      </c>
      <c r="L29" s="17">
        <v>2858</v>
      </c>
      <c r="M29" s="17">
        <v>2360</v>
      </c>
      <c r="N29" s="17">
        <v>1985</v>
      </c>
      <c r="O29" s="17">
        <v>1825</v>
      </c>
      <c r="P29" s="17">
        <v>1454</v>
      </c>
      <c r="Q29" s="17">
        <v>1217</v>
      </c>
      <c r="R29" s="17">
        <v>794</v>
      </c>
      <c r="S29" s="17">
        <v>636</v>
      </c>
      <c r="T29" s="17">
        <v>413</v>
      </c>
      <c r="U29" s="17">
        <v>263</v>
      </c>
      <c r="V29" s="17">
        <v>315</v>
      </c>
    </row>
    <row r="30" spans="1:22" x14ac:dyDescent="0.2">
      <c r="A30" s="18" t="s">
        <v>115</v>
      </c>
      <c r="B30" s="18" t="s">
        <v>343</v>
      </c>
      <c r="C30" s="17">
        <v>3843</v>
      </c>
      <c r="D30" s="17">
        <v>731.6</v>
      </c>
      <c r="E30" s="17">
        <f t="shared" si="0"/>
        <v>4574.6000000000004</v>
      </c>
      <c r="F30" s="17">
        <v>3658</v>
      </c>
      <c r="G30" s="17">
        <v>3168</v>
      </c>
      <c r="H30" s="17">
        <v>3084</v>
      </c>
      <c r="I30" s="17">
        <v>2954</v>
      </c>
      <c r="J30" s="17">
        <v>2691</v>
      </c>
      <c r="K30" s="17">
        <v>2289</v>
      </c>
      <c r="L30" s="17">
        <v>2159</v>
      </c>
      <c r="M30" s="17">
        <v>1781</v>
      </c>
      <c r="N30" s="17">
        <v>1826</v>
      </c>
      <c r="O30" s="17">
        <v>1541</v>
      </c>
      <c r="P30" s="17">
        <v>1439</v>
      </c>
      <c r="Q30" s="17">
        <v>1049</v>
      </c>
      <c r="R30" s="17">
        <v>706</v>
      </c>
      <c r="S30" s="17">
        <v>641</v>
      </c>
      <c r="T30" s="17">
        <v>355</v>
      </c>
      <c r="U30" s="17">
        <v>261</v>
      </c>
      <c r="V30" s="17">
        <v>233</v>
      </c>
    </row>
    <row r="31" spans="1:22" x14ac:dyDescent="0.2">
      <c r="A31" s="18" t="s">
        <v>115</v>
      </c>
      <c r="B31" s="18" t="s">
        <v>342</v>
      </c>
      <c r="C31" s="17">
        <v>40833</v>
      </c>
      <c r="D31" s="17">
        <v>7776.8</v>
      </c>
      <c r="E31" s="17">
        <f t="shared" si="0"/>
        <v>48609.8</v>
      </c>
      <c r="F31" s="17">
        <v>38884</v>
      </c>
      <c r="G31" s="17">
        <v>38311</v>
      </c>
      <c r="H31" s="17">
        <v>38344</v>
      </c>
      <c r="I31" s="17">
        <v>24253</v>
      </c>
      <c r="J31" s="17">
        <v>17975</v>
      </c>
      <c r="K31" s="17">
        <v>14127</v>
      </c>
      <c r="L31" s="17">
        <v>11586</v>
      </c>
      <c r="M31" s="17">
        <v>9620</v>
      </c>
      <c r="N31" s="17">
        <v>8855</v>
      </c>
      <c r="O31" s="17">
        <v>8451</v>
      </c>
      <c r="P31" s="17">
        <v>6454</v>
      </c>
      <c r="Q31" s="17">
        <v>5698</v>
      </c>
      <c r="R31" s="17">
        <v>4230</v>
      </c>
      <c r="S31" s="17">
        <v>4233</v>
      </c>
      <c r="T31" s="17">
        <v>2953</v>
      </c>
      <c r="U31" s="17">
        <v>2377</v>
      </c>
      <c r="V31" s="17">
        <v>1297</v>
      </c>
    </row>
    <row r="32" spans="1:22" x14ac:dyDescent="0.2">
      <c r="A32" s="18" t="s">
        <v>115</v>
      </c>
      <c r="B32" s="18" t="s">
        <v>341</v>
      </c>
      <c r="C32" s="17">
        <v>22672</v>
      </c>
      <c r="D32" s="17">
        <v>4429.8</v>
      </c>
      <c r="E32" s="17">
        <f t="shared" si="0"/>
        <v>27101.8</v>
      </c>
      <c r="F32" s="17">
        <v>22149</v>
      </c>
      <c r="G32" s="17">
        <v>21568</v>
      </c>
      <c r="H32" s="17">
        <v>22597</v>
      </c>
      <c r="I32" s="17">
        <v>13493</v>
      </c>
      <c r="J32" s="17">
        <v>9071</v>
      </c>
      <c r="K32" s="17">
        <v>6986</v>
      </c>
      <c r="L32" s="17">
        <v>6112</v>
      </c>
      <c r="M32" s="17">
        <v>5190</v>
      </c>
      <c r="N32" s="17">
        <v>5003</v>
      </c>
      <c r="O32" s="17">
        <v>4935</v>
      </c>
      <c r="P32" s="17">
        <v>3893</v>
      </c>
      <c r="Q32" s="17">
        <v>3674</v>
      </c>
      <c r="R32" s="17">
        <v>2338</v>
      </c>
      <c r="S32" s="17">
        <v>2682</v>
      </c>
      <c r="T32" s="17">
        <v>1706</v>
      </c>
      <c r="U32" s="17">
        <v>1311</v>
      </c>
      <c r="V32" s="17">
        <v>755</v>
      </c>
    </row>
    <row r="33" spans="1:22" x14ac:dyDescent="0.2">
      <c r="A33" s="18" t="s">
        <v>115</v>
      </c>
      <c r="B33" s="18" t="s">
        <v>340</v>
      </c>
      <c r="C33" s="17">
        <v>39600</v>
      </c>
      <c r="D33" s="17">
        <v>7762.6</v>
      </c>
      <c r="E33" s="17">
        <f t="shared" si="0"/>
        <v>47362.6</v>
      </c>
      <c r="F33" s="17">
        <v>38813</v>
      </c>
      <c r="G33" s="17">
        <v>39496</v>
      </c>
      <c r="H33" s="17">
        <v>40901</v>
      </c>
      <c r="I33" s="17">
        <v>26854</v>
      </c>
      <c r="J33" s="17">
        <v>18711</v>
      </c>
      <c r="K33" s="17">
        <v>14177</v>
      </c>
      <c r="L33" s="17">
        <v>12450</v>
      </c>
      <c r="M33" s="17">
        <v>10440</v>
      </c>
      <c r="N33" s="17">
        <v>9909</v>
      </c>
      <c r="O33" s="17">
        <v>9386</v>
      </c>
      <c r="P33" s="17">
        <v>7589</v>
      </c>
      <c r="Q33" s="17">
        <v>6368</v>
      </c>
      <c r="R33" s="17">
        <v>4222</v>
      </c>
      <c r="S33" s="17">
        <v>4742</v>
      </c>
      <c r="T33" s="17">
        <v>3169</v>
      </c>
      <c r="U33" s="17">
        <v>2219</v>
      </c>
      <c r="V33" s="17">
        <v>1344</v>
      </c>
    </row>
    <row r="34" spans="1:22" x14ac:dyDescent="0.2">
      <c r="A34" s="18" t="s">
        <v>115</v>
      </c>
      <c r="B34" s="18" t="s">
        <v>339</v>
      </c>
      <c r="C34" s="17">
        <v>24870</v>
      </c>
      <c r="D34" s="17">
        <v>4722.8</v>
      </c>
      <c r="E34" s="17">
        <f t="shared" si="0"/>
        <v>29592.799999999999</v>
      </c>
      <c r="F34" s="17">
        <v>23614</v>
      </c>
      <c r="G34" s="17">
        <v>23630</v>
      </c>
      <c r="H34" s="17">
        <v>25378</v>
      </c>
      <c r="I34" s="17">
        <v>16875</v>
      </c>
      <c r="J34" s="17">
        <v>10945</v>
      </c>
      <c r="K34" s="17">
        <v>8385</v>
      </c>
      <c r="L34" s="17">
        <v>7771</v>
      </c>
      <c r="M34" s="17">
        <v>7093</v>
      </c>
      <c r="N34" s="17">
        <v>7248</v>
      </c>
      <c r="O34" s="17">
        <v>7051</v>
      </c>
      <c r="P34" s="17">
        <v>6353</v>
      </c>
      <c r="Q34" s="17">
        <v>5453</v>
      </c>
      <c r="R34" s="17">
        <v>4028</v>
      </c>
      <c r="S34" s="17">
        <v>3601</v>
      </c>
      <c r="T34" s="17">
        <v>2785</v>
      </c>
      <c r="U34" s="17">
        <v>1860</v>
      </c>
      <c r="V34" s="17">
        <v>1288</v>
      </c>
    </row>
    <row r="35" spans="1:22" x14ac:dyDescent="0.2">
      <c r="A35" s="18" t="s">
        <v>115</v>
      </c>
      <c r="B35" s="18" t="s">
        <v>338</v>
      </c>
      <c r="C35" s="17">
        <v>53961</v>
      </c>
      <c r="D35" s="17">
        <v>10242.6</v>
      </c>
      <c r="E35" s="17">
        <f t="shared" si="0"/>
        <v>64203.6</v>
      </c>
      <c r="F35" s="17">
        <v>51213</v>
      </c>
      <c r="G35" s="17">
        <v>52854</v>
      </c>
      <c r="H35" s="17">
        <v>61279</v>
      </c>
      <c r="I35" s="17">
        <v>47921</v>
      </c>
      <c r="J35" s="17">
        <v>35801</v>
      </c>
      <c r="K35" s="17">
        <v>25982</v>
      </c>
      <c r="L35" s="17">
        <v>22946</v>
      </c>
      <c r="M35" s="17">
        <v>19632</v>
      </c>
      <c r="N35" s="17">
        <v>17392</v>
      </c>
      <c r="O35" s="17">
        <v>15902</v>
      </c>
      <c r="P35" s="17">
        <v>13167</v>
      </c>
      <c r="Q35" s="17">
        <v>10720</v>
      </c>
      <c r="R35" s="17">
        <v>6540</v>
      </c>
      <c r="S35" s="17">
        <v>6931</v>
      </c>
      <c r="T35" s="17">
        <v>4188</v>
      </c>
      <c r="U35" s="17">
        <v>2999</v>
      </c>
      <c r="V35" s="17">
        <v>2284</v>
      </c>
    </row>
    <row r="36" spans="1:22" x14ac:dyDescent="0.2">
      <c r="A36" s="18" t="s">
        <v>115</v>
      </c>
      <c r="B36" s="18" t="s">
        <v>337</v>
      </c>
      <c r="C36" s="17">
        <v>25898</v>
      </c>
      <c r="D36" s="17">
        <v>5164.6000000000004</v>
      </c>
      <c r="E36" s="17">
        <f t="shared" si="0"/>
        <v>31062.6</v>
      </c>
      <c r="F36" s="17">
        <v>25823</v>
      </c>
      <c r="G36" s="17">
        <v>26601</v>
      </c>
      <c r="H36" s="17">
        <v>26105</v>
      </c>
      <c r="I36" s="17">
        <v>17608</v>
      </c>
      <c r="J36" s="17">
        <v>12595</v>
      </c>
      <c r="K36" s="17">
        <v>10130</v>
      </c>
      <c r="L36" s="17">
        <v>9117</v>
      </c>
      <c r="M36" s="17">
        <v>7601</v>
      </c>
      <c r="N36" s="17">
        <v>7697</v>
      </c>
      <c r="O36" s="17">
        <v>7478</v>
      </c>
      <c r="P36" s="17">
        <v>6943</v>
      </c>
      <c r="Q36" s="17">
        <v>6102</v>
      </c>
      <c r="R36" s="17">
        <v>4619</v>
      </c>
      <c r="S36" s="17">
        <v>3484</v>
      </c>
      <c r="T36" s="17">
        <v>2912</v>
      </c>
      <c r="U36" s="17">
        <v>1786</v>
      </c>
      <c r="V36" s="17">
        <v>1344</v>
      </c>
    </row>
    <row r="37" spans="1:22" x14ac:dyDescent="0.2">
      <c r="A37" s="18" t="s">
        <v>115</v>
      </c>
      <c r="B37" s="18" t="s">
        <v>336</v>
      </c>
      <c r="C37" s="17">
        <v>25164</v>
      </c>
      <c r="D37" s="17">
        <v>4856.8</v>
      </c>
      <c r="E37" s="17">
        <f t="shared" si="0"/>
        <v>30020.799999999999</v>
      </c>
      <c r="F37" s="17">
        <v>24284</v>
      </c>
      <c r="G37" s="17">
        <v>23935</v>
      </c>
      <c r="H37" s="17">
        <v>24585</v>
      </c>
      <c r="I37" s="17">
        <v>17375</v>
      </c>
      <c r="J37" s="17">
        <v>12373</v>
      </c>
      <c r="K37" s="17">
        <v>9712</v>
      </c>
      <c r="L37" s="17">
        <v>8621</v>
      </c>
      <c r="M37" s="17">
        <v>7273</v>
      </c>
      <c r="N37" s="17">
        <v>6955</v>
      </c>
      <c r="O37" s="17">
        <v>6834</v>
      </c>
      <c r="P37" s="17">
        <v>6167</v>
      </c>
      <c r="Q37" s="17">
        <v>5465</v>
      </c>
      <c r="R37" s="17">
        <v>4145</v>
      </c>
      <c r="S37" s="17">
        <v>3256</v>
      </c>
      <c r="T37" s="17">
        <v>2618</v>
      </c>
      <c r="U37" s="17">
        <v>1739</v>
      </c>
      <c r="V37" s="17">
        <v>1118</v>
      </c>
    </row>
    <row r="38" spans="1:22" x14ac:dyDescent="0.2">
      <c r="A38" s="18" t="s">
        <v>115</v>
      </c>
      <c r="B38" s="18" t="s">
        <v>335</v>
      </c>
      <c r="C38" s="17">
        <v>42789</v>
      </c>
      <c r="D38" s="17">
        <v>8097.8</v>
      </c>
      <c r="E38" s="17">
        <f t="shared" si="0"/>
        <v>50886.8</v>
      </c>
      <c r="F38" s="17">
        <v>40489</v>
      </c>
      <c r="G38" s="17">
        <v>41234</v>
      </c>
      <c r="H38" s="17">
        <v>39290</v>
      </c>
      <c r="I38" s="17">
        <v>24082</v>
      </c>
      <c r="J38" s="17">
        <v>17244</v>
      </c>
      <c r="K38" s="17">
        <v>12226</v>
      </c>
      <c r="L38" s="17">
        <v>10989</v>
      </c>
      <c r="M38" s="17">
        <v>9576</v>
      </c>
      <c r="N38" s="17">
        <v>8765</v>
      </c>
      <c r="O38" s="17">
        <v>8500</v>
      </c>
      <c r="P38" s="17">
        <v>6198</v>
      </c>
      <c r="Q38" s="17">
        <v>5860</v>
      </c>
      <c r="R38" s="17">
        <v>4069</v>
      </c>
      <c r="S38" s="17">
        <v>4038</v>
      </c>
      <c r="T38" s="17">
        <v>2870</v>
      </c>
      <c r="U38" s="17">
        <v>2413</v>
      </c>
      <c r="V38" s="17">
        <v>1273</v>
      </c>
    </row>
    <row r="39" spans="1:22" x14ac:dyDescent="0.2">
      <c r="A39" s="18" t="s">
        <v>115</v>
      </c>
      <c r="B39" s="18" t="s">
        <v>334</v>
      </c>
      <c r="C39" s="17">
        <v>17889</v>
      </c>
      <c r="D39" s="17">
        <v>3386.2</v>
      </c>
      <c r="E39" s="17">
        <f t="shared" si="0"/>
        <v>21275.200000000001</v>
      </c>
      <c r="F39" s="17">
        <v>16931</v>
      </c>
      <c r="G39" s="17">
        <v>16664</v>
      </c>
      <c r="H39" s="17">
        <v>16614</v>
      </c>
      <c r="I39" s="17">
        <v>11208</v>
      </c>
      <c r="J39" s="17">
        <v>7713</v>
      </c>
      <c r="K39" s="17">
        <v>5582</v>
      </c>
      <c r="L39" s="17">
        <v>4814</v>
      </c>
      <c r="M39" s="17">
        <v>4092</v>
      </c>
      <c r="N39" s="17">
        <v>4206</v>
      </c>
      <c r="O39" s="17">
        <v>3933</v>
      </c>
      <c r="P39" s="17">
        <v>3413</v>
      </c>
      <c r="Q39" s="17">
        <v>3086</v>
      </c>
      <c r="R39" s="17">
        <v>2184</v>
      </c>
      <c r="S39" s="17">
        <v>2010</v>
      </c>
      <c r="T39" s="17">
        <v>1597</v>
      </c>
      <c r="U39" s="17">
        <v>1241</v>
      </c>
      <c r="V39" s="17">
        <v>798</v>
      </c>
    </row>
    <row r="40" spans="1:22" x14ac:dyDescent="0.2">
      <c r="A40" s="18" t="s">
        <v>144</v>
      </c>
      <c r="B40" s="18" t="s">
        <v>116</v>
      </c>
      <c r="C40" s="17">
        <v>77503</v>
      </c>
      <c r="D40" s="17">
        <v>13137.6</v>
      </c>
      <c r="E40" s="17">
        <f t="shared" si="0"/>
        <v>90640.6</v>
      </c>
      <c r="F40" s="17">
        <v>65688</v>
      </c>
      <c r="G40" s="17">
        <v>56124</v>
      </c>
      <c r="H40" s="17">
        <v>68031</v>
      </c>
      <c r="I40" s="17">
        <v>76571</v>
      </c>
      <c r="J40" s="17">
        <v>70425</v>
      </c>
      <c r="K40" s="17">
        <v>58381</v>
      </c>
      <c r="L40" s="17">
        <v>52514</v>
      </c>
      <c r="M40" s="17">
        <v>48131</v>
      </c>
      <c r="N40" s="17">
        <v>43962</v>
      </c>
      <c r="O40" s="17">
        <v>39469</v>
      </c>
      <c r="P40" s="17">
        <v>31530</v>
      </c>
      <c r="Q40" s="17">
        <v>21685</v>
      </c>
      <c r="R40" s="17">
        <v>15825</v>
      </c>
      <c r="S40" s="17">
        <v>13186</v>
      </c>
      <c r="T40" s="17">
        <v>7628</v>
      </c>
      <c r="U40" s="17">
        <v>4764</v>
      </c>
      <c r="V40" s="17">
        <v>3781</v>
      </c>
    </row>
    <row r="41" spans="1:22" x14ac:dyDescent="0.2">
      <c r="A41" s="18" t="s">
        <v>144</v>
      </c>
      <c r="B41" s="18" t="s">
        <v>114</v>
      </c>
      <c r="C41" s="17">
        <v>110406</v>
      </c>
      <c r="D41" s="17">
        <v>19544.2</v>
      </c>
      <c r="E41" s="17">
        <f t="shared" si="0"/>
        <v>129950.2</v>
      </c>
      <c r="F41" s="17">
        <v>97721</v>
      </c>
      <c r="G41" s="17">
        <v>86143</v>
      </c>
      <c r="H41" s="17">
        <v>100811</v>
      </c>
      <c r="I41" s="17">
        <v>115451</v>
      </c>
      <c r="J41" s="17">
        <v>106603</v>
      </c>
      <c r="K41" s="17">
        <v>87405</v>
      </c>
      <c r="L41" s="17">
        <v>82085</v>
      </c>
      <c r="M41" s="17">
        <v>76509</v>
      </c>
      <c r="N41" s="17">
        <v>69414</v>
      </c>
      <c r="O41" s="17">
        <v>62732</v>
      </c>
      <c r="P41" s="17">
        <v>50381</v>
      </c>
      <c r="Q41" s="17">
        <v>37822</v>
      </c>
      <c r="R41" s="17">
        <v>25357</v>
      </c>
      <c r="S41" s="17">
        <v>18793</v>
      </c>
      <c r="T41" s="17">
        <v>12160</v>
      </c>
      <c r="U41" s="17">
        <v>6997</v>
      </c>
      <c r="V41" s="17">
        <v>5326</v>
      </c>
    </row>
    <row r="42" spans="1:22" x14ac:dyDescent="0.2">
      <c r="A42" s="18" t="s">
        <v>109</v>
      </c>
      <c r="B42" s="18" t="s">
        <v>333</v>
      </c>
      <c r="C42" s="17">
        <v>4202</v>
      </c>
      <c r="D42" s="17">
        <v>736.8</v>
      </c>
      <c r="E42" s="17">
        <f t="shared" si="0"/>
        <v>4938.8</v>
      </c>
      <c r="F42" s="17">
        <v>3684</v>
      </c>
      <c r="G42" s="17">
        <v>3592</v>
      </c>
      <c r="H42" s="17">
        <v>3618</v>
      </c>
      <c r="I42" s="17">
        <v>3612</v>
      </c>
      <c r="J42" s="17">
        <v>3298</v>
      </c>
      <c r="K42" s="17">
        <v>3022</v>
      </c>
      <c r="L42" s="17">
        <v>2668</v>
      </c>
      <c r="M42" s="17">
        <v>2332</v>
      </c>
      <c r="N42" s="17">
        <v>2086</v>
      </c>
      <c r="O42" s="17">
        <v>1843</v>
      </c>
      <c r="P42" s="17">
        <v>1430</v>
      </c>
      <c r="Q42" s="17">
        <v>1141</v>
      </c>
      <c r="R42" s="17">
        <v>732</v>
      </c>
      <c r="S42" s="17">
        <v>572</v>
      </c>
      <c r="T42" s="17">
        <v>388</v>
      </c>
      <c r="U42" s="17">
        <v>206</v>
      </c>
      <c r="V42" s="17">
        <v>203</v>
      </c>
    </row>
    <row r="43" spans="1:22" x14ac:dyDescent="0.2">
      <c r="A43" s="18" t="s">
        <v>109</v>
      </c>
      <c r="B43" s="18" t="s">
        <v>332</v>
      </c>
      <c r="C43" s="17">
        <v>5298</v>
      </c>
      <c r="D43" s="17">
        <v>1008.6</v>
      </c>
      <c r="E43" s="17">
        <f t="shared" si="0"/>
        <v>6306.6</v>
      </c>
      <c r="F43" s="17">
        <v>5043</v>
      </c>
      <c r="G43" s="17">
        <v>4268</v>
      </c>
      <c r="H43" s="17">
        <v>4389</v>
      </c>
      <c r="I43" s="17">
        <v>4534</v>
      </c>
      <c r="J43" s="17">
        <v>4272</v>
      </c>
      <c r="K43" s="17">
        <v>3420</v>
      </c>
      <c r="L43" s="17">
        <v>3118</v>
      </c>
      <c r="M43" s="17">
        <v>2979</v>
      </c>
      <c r="N43" s="17">
        <v>2595</v>
      </c>
      <c r="O43" s="17">
        <v>2206</v>
      </c>
      <c r="P43" s="17">
        <v>2006</v>
      </c>
      <c r="Q43" s="17">
        <v>1712</v>
      </c>
      <c r="R43" s="17">
        <v>1165</v>
      </c>
      <c r="S43" s="17">
        <v>921</v>
      </c>
      <c r="T43" s="17">
        <v>582</v>
      </c>
      <c r="U43" s="17">
        <v>345</v>
      </c>
      <c r="V43" s="17">
        <v>318</v>
      </c>
    </row>
    <row r="44" spans="1:22" x14ac:dyDescent="0.2">
      <c r="A44" s="18" t="s">
        <v>109</v>
      </c>
      <c r="B44" s="18" t="s">
        <v>331</v>
      </c>
      <c r="C44" s="17">
        <v>3926</v>
      </c>
      <c r="D44" s="17">
        <v>762.2</v>
      </c>
      <c r="E44" s="17">
        <f t="shared" si="0"/>
        <v>4688.2</v>
      </c>
      <c r="F44" s="17">
        <v>3811</v>
      </c>
      <c r="G44" s="17">
        <v>3253</v>
      </c>
      <c r="H44" s="17">
        <v>3248</v>
      </c>
      <c r="I44" s="17">
        <v>3367</v>
      </c>
      <c r="J44" s="17">
        <v>2967</v>
      </c>
      <c r="K44" s="17">
        <v>2284</v>
      </c>
      <c r="L44" s="17">
        <v>2075</v>
      </c>
      <c r="M44" s="17">
        <v>1803</v>
      </c>
      <c r="N44" s="17">
        <v>1605</v>
      </c>
      <c r="O44" s="17">
        <v>1351</v>
      </c>
      <c r="P44" s="17">
        <v>1245</v>
      </c>
      <c r="Q44" s="17">
        <v>1016</v>
      </c>
      <c r="R44" s="17">
        <v>670</v>
      </c>
      <c r="S44" s="17">
        <v>679</v>
      </c>
      <c r="T44" s="17">
        <v>424</v>
      </c>
      <c r="U44" s="17">
        <v>245</v>
      </c>
      <c r="V44" s="17">
        <v>177</v>
      </c>
    </row>
    <row r="45" spans="1:22" x14ac:dyDescent="0.2">
      <c r="A45" s="18" t="s">
        <v>109</v>
      </c>
      <c r="B45" s="18" t="s">
        <v>330</v>
      </c>
      <c r="C45" s="17">
        <v>2858</v>
      </c>
      <c r="D45" s="17">
        <v>529.4</v>
      </c>
      <c r="E45" s="17">
        <f t="shared" si="0"/>
        <v>3387.4</v>
      </c>
      <c r="F45" s="17">
        <v>2647</v>
      </c>
      <c r="G45" s="17">
        <v>2403</v>
      </c>
      <c r="H45" s="17">
        <v>2537</v>
      </c>
      <c r="I45" s="17">
        <v>2308</v>
      </c>
      <c r="J45" s="17">
        <v>1878</v>
      </c>
      <c r="K45" s="17">
        <v>1681</v>
      </c>
      <c r="L45" s="17">
        <v>1431</v>
      </c>
      <c r="M45" s="17">
        <v>1277</v>
      </c>
      <c r="N45" s="17">
        <v>1031</v>
      </c>
      <c r="O45" s="17">
        <v>932</v>
      </c>
      <c r="P45" s="17">
        <v>925</v>
      </c>
      <c r="Q45" s="17">
        <v>759</v>
      </c>
      <c r="R45" s="17">
        <v>538</v>
      </c>
      <c r="S45" s="17">
        <v>470</v>
      </c>
      <c r="T45" s="17">
        <v>332</v>
      </c>
      <c r="U45" s="17">
        <v>150</v>
      </c>
      <c r="V45" s="17">
        <v>157</v>
      </c>
    </row>
    <row r="46" spans="1:22" x14ac:dyDescent="0.2">
      <c r="A46" s="18" t="s">
        <v>109</v>
      </c>
      <c r="B46" s="18" t="s">
        <v>329</v>
      </c>
      <c r="C46" s="17">
        <v>6906</v>
      </c>
      <c r="D46" s="17">
        <v>1263.5999999999999</v>
      </c>
      <c r="E46" s="17">
        <f t="shared" si="0"/>
        <v>8169.6</v>
      </c>
      <c r="F46" s="17">
        <v>6318</v>
      </c>
      <c r="G46" s="17">
        <v>5643</v>
      </c>
      <c r="H46" s="17">
        <v>5828</v>
      </c>
      <c r="I46" s="17">
        <v>6004</v>
      </c>
      <c r="J46" s="17">
        <v>5310</v>
      </c>
      <c r="K46" s="17">
        <v>4619</v>
      </c>
      <c r="L46" s="17">
        <v>4153</v>
      </c>
      <c r="M46" s="17">
        <v>3968</v>
      </c>
      <c r="N46" s="17">
        <v>3644</v>
      </c>
      <c r="O46" s="17">
        <v>3094</v>
      </c>
      <c r="P46" s="17">
        <v>2419</v>
      </c>
      <c r="Q46" s="17">
        <v>1738</v>
      </c>
      <c r="R46" s="17">
        <v>1244</v>
      </c>
      <c r="S46" s="17">
        <v>1012</v>
      </c>
      <c r="T46" s="17">
        <v>686</v>
      </c>
      <c r="U46" s="17">
        <v>392</v>
      </c>
      <c r="V46" s="17">
        <v>355</v>
      </c>
    </row>
    <row r="47" spans="1:22" x14ac:dyDescent="0.2">
      <c r="A47" s="18" t="s">
        <v>109</v>
      </c>
      <c r="B47" s="18" t="s">
        <v>328</v>
      </c>
      <c r="C47" s="17">
        <v>3214</v>
      </c>
      <c r="D47" s="17">
        <v>596.6</v>
      </c>
      <c r="E47" s="17">
        <f t="shared" si="0"/>
        <v>3810.6</v>
      </c>
      <c r="F47" s="17">
        <v>2983</v>
      </c>
      <c r="G47" s="17">
        <v>2846</v>
      </c>
      <c r="H47" s="17">
        <v>2796</v>
      </c>
      <c r="I47" s="17">
        <v>2629</v>
      </c>
      <c r="J47" s="17">
        <v>2283</v>
      </c>
      <c r="K47" s="17">
        <v>2153</v>
      </c>
      <c r="L47" s="17">
        <v>2037</v>
      </c>
      <c r="M47" s="17">
        <v>1628</v>
      </c>
      <c r="N47" s="17">
        <v>1463</v>
      </c>
      <c r="O47" s="17">
        <v>1287</v>
      </c>
      <c r="P47" s="17">
        <v>1128</v>
      </c>
      <c r="Q47" s="17">
        <v>833</v>
      </c>
      <c r="R47" s="17">
        <v>635</v>
      </c>
      <c r="S47" s="17">
        <v>371</v>
      </c>
      <c r="T47" s="17">
        <v>344</v>
      </c>
      <c r="U47" s="17">
        <v>186</v>
      </c>
      <c r="V47" s="17">
        <v>170</v>
      </c>
    </row>
    <row r="48" spans="1:22" x14ac:dyDescent="0.2">
      <c r="A48" s="18" t="s">
        <v>109</v>
      </c>
      <c r="B48" s="18" t="s">
        <v>327</v>
      </c>
      <c r="C48" s="17">
        <v>5851</v>
      </c>
      <c r="D48" s="17">
        <v>1050.2</v>
      </c>
      <c r="E48" s="17">
        <f t="shared" si="0"/>
        <v>6901.2</v>
      </c>
      <c r="F48" s="17">
        <v>5251</v>
      </c>
      <c r="G48" s="17">
        <v>4973</v>
      </c>
      <c r="H48" s="17">
        <v>4370</v>
      </c>
      <c r="I48" s="17">
        <v>4786</v>
      </c>
      <c r="J48" s="17">
        <v>4206</v>
      </c>
      <c r="K48" s="17">
        <v>3157</v>
      </c>
      <c r="L48" s="17">
        <v>2682</v>
      </c>
      <c r="M48" s="17">
        <v>2536</v>
      </c>
      <c r="N48" s="17">
        <v>2274</v>
      </c>
      <c r="O48" s="17">
        <v>1923</v>
      </c>
      <c r="P48" s="17">
        <v>1755</v>
      </c>
      <c r="Q48" s="17">
        <v>1270</v>
      </c>
      <c r="R48" s="17">
        <v>926</v>
      </c>
      <c r="S48" s="17">
        <v>648</v>
      </c>
      <c r="T48" s="17">
        <v>520</v>
      </c>
      <c r="U48" s="17">
        <v>283</v>
      </c>
      <c r="V48" s="17">
        <v>215</v>
      </c>
    </row>
    <row r="49" spans="1:22" x14ac:dyDescent="0.2">
      <c r="A49" s="18" t="s">
        <v>109</v>
      </c>
      <c r="B49" s="18" t="s">
        <v>326</v>
      </c>
      <c r="C49" s="17">
        <v>42339</v>
      </c>
      <c r="D49" s="17">
        <v>7017</v>
      </c>
      <c r="E49" s="17">
        <f t="shared" si="0"/>
        <v>49356</v>
      </c>
      <c r="F49" s="17">
        <v>35085</v>
      </c>
      <c r="G49" s="17">
        <v>33473</v>
      </c>
      <c r="H49" s="17">
        <v>37122</v>
      </c>
      <c r="I49" s="17">
        <v>42651</v>
      </c>
      <c r="J49" s="17">
        <v>38586</v>
      </c>
      <c r="K49" s="17">
        <v>30793</v>
      </c>
      <c r="L49" s="17">
        <v>26386</v>
      </c>
      <c r="M49" s="17">
        <v>25440</v>
      </c>
      <c r="N49" s="17">
        <v>26281</v>
      </c>
      <c r="O49" s="17">
        <v>22511</v>
      </c>
      <c r="P49" s="17">
        <v>16100</v>
      </c>
      <c r="Q49" s="17">
        <v>10755</v>
      </c>
      <c r="R49" s="17">
        <v>7138</v>
      </c>
      <c r="S49" s="17">
        <v>5249</v>
      </c>
      <c r="T49" s="17">
        <v>3516</v>
      </c>
      <c r="U49" s="17">
        <v>1717</v>
      </c>
      <c r="V49" s="17">
        <v>1319</v>
      </c>
    </row>
    <row r="50" spans="1:22" x14ac:dyDescent="0.2">
      <c r="A50" s="18" t="s">
        <v>109</v>
      </c>
      <c r="B50" s="18" t="s">
        <v>325</v>
      </c>
      <c r="C50" s="17">
        <v>10085</v>
      </c>
      <c r="D50" s="17">
        <v>1753.6</v>
      </c>
      <c r="E50" s="17">
        <f t="shared" si="0"/>
        <v>11838.6</v>
      </c>
      <c r="F50" s="17">
        <v>8768</v>
      </c>
      <c r="G50" s="17">
        <v>7681</v>
      </c>
      <c r="H50" s="17">
        <v>7509</v>
      </c>
      <c r="I50" s="17">
        <v>7791</v>
      </c>
      <c r="J50" s="17">
        <v>6961</v>
      </c>
      <c r="K50" s="17">
        <v>5594</v>
      </c>
      <c r="L50" s="17">
        <v>4793</v>
      </c>
      <c r="M50" s="17">
        <v>4176</v>
      </c>
      <c r="N50" s="17">
        <v>3836</v>
      </c>
      <c r="O50" s="17">
        <v>3560</v>
      </c>
      <c r="P50" s="17">
        <v>3181</v>
      </c>
      <c r="Q50" s="17">
        <v>2597</v>
      </c>
      <c r="R50" s="17">
        <v>1853</v>
      </c>
      <c r="S50" s="17">
        <v>1232</v>
      </c>
      <c r="T50" s="17">
        <v>823</v>
      </c>
      <c r="U50" s="17">
        <v>437</v>
      </c>
      <c r="V50" s="17">
        <v>344</v>
      </c>
    </row>
    <row r="51" spans="1:22" x14ac:dyDescent="0.2">
      <c r="A51" s="18" t="s">
        <v>109</v>
      </c>
      <c r="B51" s="18" t="s">
        <v>324</v>
      </c>
      <c r="C51" s="17">
        <v>13150</v>
      </c>
      <c r="D51" s="17">
        <v>2461</v>
      </c>
      <c r="E51" s="17">
        <f t="shared" si="0"/>
        <v>15611</v>
      </c>
      <c r="F51" s="17">
        <v>12305</v>
      </c>
      <c r="G51" s="17">
        <v>10688</v>
      </c>
      <c r="H51" s="17">
        <v>11325</v>
      </c>
      <c r="I51" s="17">
        <v>10714</v>
      </c>
      <c r="J51" s="17">
        <v>9758</v>
      </c>
      <c r="K51" s="17">
        <v>8071</v>
      </c>
      <c r="L51" s="17">
        <v>6978</v>
      </c>
      <c r="M51" s="17">
        <v>5917</v>
      </c>
      <c r="N51" s="17">
        <v>5316</v>
      </c>
      <c r="O51" s="17">
        <v>4517</v>
      </c>
      <c r="P51" s="17">
        <v>4093</v>
      </c>
      <c r="Q51" s="17">
        <v>3199</v>
      </c>
      <c r="R51" s="17">
        <v>2294</v>
      </c>
      <c r="S51" s="17">
        <v>1726</v>
      </c>
      <c r="T51" s="17">
        <v>1240</v>
      </c>
      <c r="U51" s="17">
        <v>699</v>
      </c>
      <c r="V51" s="17">
        <v>609</v>
      </c>
    </row>
    <row r="52" spans="1:22" x14ac:dyDescent="0.2">
      <c r="A52" s="18" t="s">
        <v>109</v>
      </c>
      <c r="B52" s="18" t="s">
        <v>323</v>
      </c>
      <c r="C52" s="17">
        <v>13786</v>
      </c>
      <c r="D52" s="17">
        <v>2479.1999999999998</v>
      </c>
      <c r="E52" s="17">
        <f t="shared" si="0"/>
        <v>16265.2</v>
      </c>
      <c r="F52" s="17">
        <v>12396</v>
      </c>
      <c r="G52" s="17">
        <v>11679</v>
      </c>
      <c r="H52" s="17">
        <v>11235</v>
      </c>
      <c r="I52" s="17">
        <v>12080</v>
      </c>
      <c r="J52" s="17">
        <v>12162</v>
      </c>
      <c r="K52" s="17">
        <v>10418</v>
      </c>
      <c r="L52" s="17">
        <v>8904</v>
      </c>
      <c r="M52" s="17">
        <v>7781</v>
      </c>
      <c r="N52" s="17">
        <v>6881</v>
      </c>
      <c r="O52" s="17">
        <v>5789</v>
      </c>
      <c r="P52" s="17">
        <v>4764</v>
      </c>
      <c r="Q52" s="17">
        <v>3839</v>
      </c>
      <c r="R52" s="17">
        <v>2493</v>
      </c>
      <c r="S52" s="17">
        <v>1800</v>
      </c>
      <c r="T52" s="17">
        <v>1280</v>
      </c>
      <c r="U52" s="17">
        <v>790</v>
      </c>
      <c r="V52" s="17">
        <v>627</v>
      </c>
    </row>
    <row r="53" spans="1:22" x14ac:dyDescent="0.2">
      <c r="A53" s="18" t="s">
        <v>109</v>
      </c>
      <c r="B53" s="18" t="s">
        <v>322</v>
      </c>
      <c r="C53" s="17">
        <v>7118</v>
      </c>
      <c r="D53" s="17">
        <v>1311.6</v>
      </c>
      <c r="E53" s="17">
        <f t="shared" si="0"/>
        <v>8429.6</v>
      </c>
      <c r="F53" s="17">
        <v>6558</v>
      </c>
      <c r="G53" s="17">
        <v>5806</v>
      </c>
      <c r="H53" s="17">
        <v>5883</v>
      </c>
      <c r="I53" s="17">
        <v>5871</v>
      </c>
      <c r="J53" s="17">
        <v>5173</v>
      </c>
      <c r="K53" s="17">
        <v>4201</v>
      </c>
      <c r="L53" s="17">
        <v>3547</v>
      </c>
      <c r="M53" s="17">
        <v>2946</v>
      </c>
      <c r="N53" s="17">
        <v>2999</v>
      </c>
      <c r="O53" s="17">
        <v>2549</v>
      </c>
      <c r="P53" s="17">
        <v>2326</v>
      </c>
      <c r="Q53" s="17">
        <v>1834</v>
      </c>
      <c r="R53" s="17">
        <v>1262</v>
      </c>
      <c r="S53" s="17">
        <v>884</v>
      </c>
      <c r="T53" s="17">
        <v>596</v>
      </c>
      <c r="U53" s="17">
        <v>433</v>
      </c>
      <c r="V53" s="17">
        <v>338</v>
      </c>
    </row>
    <row r="54" spans="1:22" x14ac:dyDescent="0.2">
      <c r="A54" s="18" t="s">
        <v>109</v>
      </c>
      <c r="B54" s="18" t="s">
        <v>321</v>
      </c>
      <c r="C54" s="17">
        <v>38991</v>
      </c>
      <c r="D54" s="17">
        <v>7369</v>
      </c>
      <c r="E54" s="17">
        <f t="shared" si="0"/>
        <v>46360</v>
      </c>
      <c r="F54" s="17">
        <v>36845</v>
      </c>
      <c r="G54" s="17">
        <v>33861</v>
      </c>
      <c r="H54" s="17">
        <v>38950</v>
      </c>
      <c r="I54" s="17">
        <v>34383</v>
      </c>
      <c r="J54" s="17">
        <v>27809</v>
      </c>
      <c r="K54" s="17">
        <v>21603</v>
      </c>
      <c r="L54" s="17">
        <v>18652</v>
      </c>
      <c r="M54" s="17">
        <v>17184</v>
      </c>
      <c r="N54" s="17">
        <v>15914</v>
      </c>
      <c r="O54" s="17">
        <v>13441</v>
      </c>
      <c r="P54" s="17">
        <v>11504</v>
      </c>
      <c r="Q54" s="17">
        <v>8856</v>
      </c>
      <c r="R54" s="17">
        <v>6163</v>
      </c>
      <c r="S54" s="17">
        <v>4547</v>
      </c>
      <c r="T54" s="17">
        <v>3335</v>
      </c>
      <c r="U54" s="17">
        <v>2041</v>
      </c>
      <c r="V54" s="17">
        <v>1705</v>
      </c>
    </row>
    <row r="55" spans="1:22" x14ac:dyDescent="0.2">
      <c r="A55" s="18" t="s">
        <v>109</v>
      </c>
      <c r="B55" s="18" t="s">
        <v>320</v>
      </c>
      <c r="C55" s="17">
        <v>5212</v>
      </c>
      <c r="D55" s="17">
        <v>1034.4000000000001</v>
      </c>
      <c r="E55" s="17">
        <f t="shared" si="0"/>
        <v>6246.4</v>
      </c>
      <c r="F55" s="17">
        <v>5172</v>
      </c>
      <c r="G55" s="17">
        <v>4752</v>
      </c>
      <c r="H55" s="17">
        <v>4548</v>
      </c>
      <c r="I55" s="17">
        <v>4645</v>
      </c>
      <c r="J55" s="17">
        <v>3962</v>
      </c>
      <c r="K55" s="17">
        <v>3324</v>
      </c>
      <c r="L55" s="17">
        <v>2868</v>
      </c>
      <c r="M55" s="17">
        <v>2563</v>
      </c>
      <c r="N55" s="17">
        <v>2377</v>
      </c>
      <c r="O55" s="17">
        <v>2188</v>
      </c>
      <c r="P55" s="17">
        <v>1861</v>
      </c>
      <c r="Q55" s="17">
        <v>1429</v>
      </c>
      <c r="R55" s="17">
        <v>977</v>
      </c>
      <c r="S55" s="17">
        <v>799</v>
      </c>
      <c r="T55" s="17">
        <v>533</v>
      </c>
      <c r="U55" s="17">
        <v>313</v>
      </c>
      <c r="V55" s="17">
        <v>250</v>
      </c>
    </row>
    <row r="56" spans="1:22" x14ac:dyDescent="0.2">
      <c r="A56" s="18" t="s">
        <v>109</v>
      </c>
      <c r="B56" s="18" t="s">
        <v>319</v>
      </c>
      <c r="C56" s="17">
        <v>5994</v>
      </c>
      <c r="D56" s="17">
        <v>1074</v>
      </c>
      <c r="E56" s="17">
        <f t="shared" si="0"/>
        <v>7068</v>
      </c>
      <c r="F56" s="17">
        <v>5370</v>
      </c>
      <c r="G56" s="17">
        <v>4852</v>
      </c>
      <c r="H56" s="17">
        <v>5116</v>
      </c>
      <c r="I56" s="17">
        <v>4841</v>
      </c>
      <c r="J56" s="17">
        <v>4540</v>
      </c>
      <c r="K56" s="17">
        <v>3650</v>
      </c>
      <c r="L56" s="17">
        <v>3123</v>
      </c>
      <c r="M56" s="17">
        <v>2794</v>
      </c>
      <c r="N56" s="17">
        <v>2467</v>
      </c>
      <c r="O56" s="17">
        <v>2137</v>
      </c>
      <c r="P56" s="17">
        <v>1954</v>
      </c>
      <c r="Q56" s="17">
        <v>1443</v>
      </c>
      <c r="R56" s="17">
        <v>957</v>
      </c>
      <c r="S56" s="17">
        <v>776</v>
      </c>
      <c r="T56" s="17">
        <v>476</v>
      </c>
      <c r="U56" s="17">
        <v>302</v>
      </c>
      <c r="V56" s="17">
        <v>265</v>
      </c>
    </row>
    <row r="57" spans="1:22" x14ac:dyDescent="0.2">
      <c r="A57" s="18" t="s">
        <v>109</v>
      </c>
      <c r="B57" s="18" t="s">
        <v>318</v>
      </c>
      <c r="C57" s="17">
        <v>16324</v>
      </c>
      <c r="D57" s="17">
        <v>2804.2</v>
      </c>
      <c r="E57" s="17">
        <f t="shared" si="0"/>
        <v>19128.2</v>
      </c>
      <c r="F57" s="17">
        <v>14021</v>
      </c>
      <c r="G57" s="17">
        <v>13018</v>
      </c>
      <c r="H57" s="17">
        <v>14445</v>
      </c>
      <c r="I57" s="17">
        <v>15374</v>
      </c>
      <c r="J57" s="17">
        <v>13846</v>
      </c>
      <c r="K57" s="17">
        <v>12016</v>
      </c>
      <c r="L57" s="17">
        <v>10744</v>
      </c>
      <c r="M57" s="17">
        <v>9885</v>
      </c>
      <c r="N57" s="17">
        <v>9555</v>
      </c>
      <c r="O57" s="17">
        <v>8403</v>
      </c>
      <c r="P57" s="17">
        <v>6861</v>
      </c>
      <c r="Q57" s="17">
        <v>5538</v>
      </c>
      <c r="R57" s="17">
        <v>3709</v>
      </c>
      <c r="S57" s="17">
        <v>2722</v>
      </c>
      <c r="T57" s="17">
        <v>1964</v>
      </c>
      <c r="U57" s="17">
        <v>1155</v>
      </c>
      <c r="V57" s="17">
        <v>951</v>
      </c>
    </row>
    <row r="58" spans="1:22" x14ac:dyDescent="0.2">
      <c r="A58" s="18" t="s">
        <v>109</v>
      </c>
      <c r="B58" s="18" t="s">
        <v>317</v>
      </c>
      <c r="C58" s="17">
        <v>13504</v>
      </c>
      <c r="D58" s="17">
        <v>2401.8000000000002</v>
      </c>
      <c r="E58" s="17">
        <f t="shared" si="0"/>
        <v>15905.8</v>
      </c>
      <c r="F58" s="17">
        <v>12009</v>
      </c>
      <c r="G58" s="17">
        <v>10769</v>
      </c>
      <c r="H58" s="17">
        <v>10749</v>
      </c>
      <c r="I58" s="17">
        <v>11138</v>
      </c>
      <c r="J58" s="17">
        <v>10242</v>
      </c>
      <c r="K58" s="17">
        <v>8472</v>
      </c>
      <c r="L58" s="17">
        <v>7386</v>
      </c>
      <c r="M58" s="17">
        <v>6660</v>
      </c>
      <c r="N58" s="17">
        <v>6153</v>
      </c>
      <c r="O58" s="17">
        <v>5301</v>
      </c>
      <c r="P58" s="17">
        <v>5101</v>
      </c>
      <c r="Q58" s="17">
        <v>4039</v>
      </c>
      <c r="R58" s="17">
        <v>3263</v>
      </c>
      <c r="S58" s="17">
        <v>2354</v>
      </c>
      <c r="T58" s="17">
        <v>1621</v>
      </c>
      <c r="U58" s="17">
        <v>944</v>
      </c>
      <c r="V58" s="17">
        <v>814</v>
      </c>
    </row>
    <row r="59" spans="1:22" x14ac:dyDescent="0.2">
      <c r="A59" s="18" t="s">
        <v>109</v>
      </c>
      <c r="B59" s="18" t="s">
        <v>316</v>
      </c>
      <c r="C59" s="17">
        <v>15401</v>
      </c>
      <c r="D59" s="17">
        <v>2488.1999999999998</v>
      </c>
      <c r="E59" s="17">
        <f t="shared" si="0"/>
        <v>17889.2</v>
      </c>
      <c r="F59" s="17">
        <v>12441</v>
      </c>
      <c r="G59" s="17">
        <v>11395</v>
      </c>
      <c r="H59" s="17">
        <v>12532</v>
      </c>
      <c r="I59" s="17">
        <v>15639</v>
      </c>
      <c r="J59" s="17">
        <v>16113</v>
      </c>
      <c r="K59" s="17">
        <v>13812</v>
      </c>
      <c r="L59" s="17">
        <v>11414</v>
      </c>
      <c r="M59" s="17">
        <v>9686</v>
      </c>
      <c r="N59" s="17">
        <v>8182</v>
      </c>
      <c r="O59" s="17">
        <v>6679</v>
      </c>
      <c r="P59" s="17">
        <v>5337</v>
      </c>
      <c r="Q59" s="17">
        <v>3969</v>
      </c>
      <c r="R59" s="17">
        <v>2652</v>
      </c>
      <c r="S59" s="17">
        <v>1776</v>
      </c>
      <c r="T59" s="17">
        <v>1045</v>
      </c>
      <c r="U59" s="17">
        <v>578</v>
      </c>
      <c r="V59" s="17">
        <v>458</v>
      </c>
    </row>
    <row r="60" spans="1:22" x14ac:dyDescent="0.2">
      <c r="A60" s="18" t="s">
        <v>109</v>
      </c>
      <c r="B60" s="18" t="s">
        <v>315</v>
      </c>
      <c r="C60" s="17">
        <v>6388</v>
      </c>
      <c r="D60" s="17">
        <v>1233.5999999999999</v>
      </c>
      <c r="E60" s="17">
        <f t="shared" si="0"/>
        <v>7621.6</v>
      </c>
      <c r="F60" s="17">
        <v>6168</v>
      </c>
      <c r="G60" s="17">
        <v>5722</v>
      </c>
      <c r="H60" s="17">
        <v>5742</v>
      </c>
      <c r="I60" s="17">
        <v>5465</v>
      </c>
      <c r="J60" s="17">
        <v>4998</v>
      </c>
      <c r="K60" s="17">
        <v>4089</v>
      </c>
      <c r="L60" s="17">
        <v>3478</v>
      </c>
      <c r="M60" s="17">
        <v>2977</v>
      </c>
      <c r="N60" s="17">
        <v>2820</v>
      </c>
      <c r="O60" s="17">
        <v>2548</v>
      </c>
      <c r="P60" s="17">
        <v>2184</v>
      </c>
      <c r="Q60" s="17">
        <v>1632</v>
      </c>
      <c r="R60" s="17">
        <v>1240</v>
      </c>
      <c r="S60" s="17">
        <v>1018</v>
      </c>
      <c r="T60" s="17">
        <v>630</v>
      </c>
      <c r="U60" s="17">
        <v>459</v>
      </c>
      <c r="V60" s="17">
        <v>316</v>
      </c>
    </row>
    <row r="61" spans="1:22" x14ac:dyDescent="0.2">
      <c r="A61" s="18" t="s">
        <v>144</v>
      </c>
      <c r="B61" s="18" t="s">
        <v>108</v>
      </c>
      <c r="C61" s="17">
        <v>75348</v>
      </c>
      <c r="D61" s="17">
        <v>13129.2</v>
      </c>
      <c r="E61" s="17">
        <f t="shared" si="0"/>
        <v>88477.2</v>
      </c>
      <c r="F61" s="17">
        <v>65646</v>
      </c>
      <c r="G61" s="17">
        <v>59827</v>
      </c>
      <c r="H61" s="17">
        <v>70956</v>
      </c>
      <c r="I61" s="17">
        <v>84646</v>
      </c>
      <c r="J61" s="17">
        <v>73305</v>
      </c>
      <c r="K61" s="17">
        <v>59360</v>
      </c>
      <c r="L61" s="17">
        <v>52542</v>
      </c>
      <c r="M61" s="17">
        <v>46847</v>
      </c>
      <c r="N61" s="17">
        <v>39511</v>
      </c>
      <c r="O61" s="17">
        <v>33071</v>
      </c>
      <c r="P61" s="17">
        <v>26249</v>
      </c>
      <c r="Q61" s="17">
        <v>20435</v>
      </c>
      <c r="R61" s="17">
        <v>14190</v>
      </c>
      <c r="S61" s="17">
        <v>10528</v>
      </c>
      <c r="T61" s="17">
        <v>7123</v>
      </c>
      <c r="U61" s="17">
        <v>4080</v>
      </c>
      <c r="V61" s="17">
        <v>3766</v>
      </c>
    </row>
    <row r="62" spans="1:22" x14ac:dyDescent="0.2">
      <c r="A62" s="18" t="s">
        <v>103</v>
      </c>
      <c r="B62" s="18" t="s">
        <v>314</v>
      </c>
      <c r="C62" s="17">
        <v>71223</v>
      </c>
      <c r="D62" s="17">
        <v>11690.2</v>
      </c>
      <c r="E62" s="17">
        <f t="shared" si="0"/>
        <v>82913.2</v>
      </c>
      <c r="F62" s="17">
        <v>58451</v>
      </c>
      <c r="G62" s="17">
        <v>54751</v>
      </c>
      <c r="H62" s="17">
        <v>63883</v>
      </c>
      <c r="I62" s="17">
        <v>79217</v>
      </c>
      <c r="J62" s="17">
        <v>70831</v>
      </c>
      <c r="K62" s="17">
        <v>60580</v>
      </c>
      <c r="L62" s="17">
        <v>52620</v>
      </c>
      <c r="M62" s="17">
        <v>45491</v>
      </c>
      <c r="N62" s="17">
        <v>41258</v>
      </c>
      <c r="O62" s="17">
        <v>36538</v>
      </c>
      <c r="P62" s="17">
        <v>29729</v>
      </c>
      <c r="Q62" s="17">
        <v>21638</v>
      </c>
      <c r="R62" s="17">
        <v>13883</v>
      </c>
      <c r="S62" s="17">
        <v>9763</v>
      </c>
      <c r="T62" s="17">
        <v>5997</v>
      </c>
      <c r="U62" s="17">
        <v>3264</v>
      </c>
      <c r="V62" s="17">
        <v>2546</v>
      </c>
    </row>
    <row r="63" spans="1:22" x14ac:dyDescent="0.2">
      <c r="A63" s="18" t="s">
        <v>103</v>
      </c>
      <c r="B63" s="18" t="s">
        <v>313</v>
      </c>
      <c r="C63" s="17">
        <v>8379</v>
      </c>
      <c r="D63" s="17">
        <v>1404.2</v>
      </c>
      <c r="E63" s="17">
        <f t="shared" si="0"/>
        <v>9783.2000000000007</v>
      </c>
      <c r="F63" s="17">
        <v>7021</v>
      </c>
      <c r="G63" s="17">
        <v>6704</v>
      </c>
      <c r="H63" s="17">
        <v>7616</v>
      </c>
      <c r="I63" s="17">
        <v>8892</v>
      </c>
      <c r="J63" s="17">
        <v>9490</v>
      </c>
      <c r="K63" s="17">
        <v>8048</v>
      </c>
      <c r="L63" s="17">
        <v>7704</v>
      </c>
      <c r="M63" s="17">
        <v>6795</v>
      </c>
      <c r="N63" s="17">
        <v>5913</v>
      </c>
      <c r="O63" s="17">
        <v>5094</v>
      </c>
      <c r="P63" s="17">
        <v>4243</v>
      </c>
      <c r="Q63" s="17">
        <v>3387</v>
      </c>
      <c r="R63" s="17">
        <v>2496</v>
      </c>
      <c r="S63" s="17">
        <v>1666</v>
      </c>
      <c r="T63" s="17">
        <v>950</v>
      </c>
      <c r="U63" s="17">
        <v>495</v>
      </c>
      <c r="V63" s="17">
        <v>407</v>
      </c>
    </row>
    <row r="64" spans="1:22" x14ac:dyDescent="0.2">
      <c r="A64" s="18" t="s">
        <v>103</v>
      </c>
      <c r="B64" s="18" t="s">
        <v>312</v>
      </c>
      <c r="C64" s="17">
        <v>9962</v>
      </c>
      <c r="D64" s="17">
        <v>1658.6</v>
      </c>
      <c r="E64" s="17">
        <f t="shared" si="0"/>
        <v>11620.6</v>
      </c>
      <c r="F64" s="17">
        <v>8293</v>
      </c>
      <c r="G64" s="17">
        <v>7626</v>
      </c>
      <c r="H64" s="17">
        <v>8278</v>
      </c>
      <c r="I64" s="17">
        <v>9848</v>
      </c>
      <c r="J64" s="17">
        <v>10434</v>
      </c>
      <c r="K64" s="17">
        <v>8563</v>
      </c>
      <c r="L64" s="17">
        <v>7457</v>
      </c>
      <c r="M64" s="17">
        <v>6467</v>
      </c>
      <c r="N64" s="17">
        <v>5628</v>
      </c>
      <c r="O64" s="17">
        <v>4711</v>
      </c>
      <c r="P64" s="17">
        <v>3919</v>
      </c>
      <c r="Q64" s="17">
        <v>2949</v>
      </c>
      <c r="R64" s="17">
        <v>2052</v>
      </c>
      <c r="S64" s="17">
        <v>1552</v>
      </c>
      <c r="T64" s="17">
        <v>914</v>
      </c>
      <c r="U64" s="17">
        <v>504</v>
      </c>
      <c r="V64" s="17">
        <v>363</v>
      </c>
    </row>
    <row r="65" spans="1:22" x14ac:dyDescent="0.2">
      <c r="A65" s="18" t="s">
        <v>103</v>
      </c>
      <c r="B65" s="18" t="s">
        <v>311</v>
      </c>
      <c r="C65" s="17">
        <v>33910</v>
      </c>
      <c r="D65" s="17">
        <v>5439</v>
      </c>
      <c r="E65" s="17">
        <f t="shared" si="0"/>
        <v>39349</v>
      </c>
      <c r="F65" s="17">
        <v>27195</v>
      </c>
      <c r="G65" s="17">
        <v>24908</v>
      </c>
      <c r="H65" s="17">
        <v>27469</v>
      </c>
      <c r="I65" s="17">
        <v>39617</v>
      </c>
      <c r="J65" s="17">
        <v>40774</v>
      </c>
      <c r="K65" s="17">
        <v>34305</v>
      </c>
      <c r="L65" s="17">
        <v>29352</v>
      </c>
      <c r="M65" s="17">
        <v>24771</v>
      </c>
      <c r="N65" s="17">
        <v>21612</v>
      </c>
      <c r="O65" s="17">
        <v>18038</v>
      </c>
      <c r="P65" s="17">
        <v>14150</v>
      </c>
      <c r="Q65" s="17">
        <v>9830</v>
      </c>
      <c r="R65" s="17">
        <v>6300</v>
      </c>
      <c r="S65" s="17">
        <v>4507</v>
      </c>
      <c r="T65" s="17">
        <v>2685</v>
      </c>
      <c r="U65" s="17">
        <v>1734</v>
      </c>
      <c r="V65" s="17">
        <v>1266</v>
      </c>
    </row>
    <row r="66" spans="1:22" x14ac:dyDescent="0.2">
      <c r="A66" s="18" t="s">
        <v>103</v>
      </c>
      <c r="B66" s="18" t="s">
        <v>310</v>
      </c>
      <c r="C66" s="17">
        <v>13971</v>
      </c>
      <c r="D66" s="17">
        <v>2358.1999999999998</v>
      </c>
      <c r="E66" s="17">
        <f t="shared" si="0"/>
        <v>16329.2</v>
      </c>
      <c r="F66" s="17">
        <v>11791</v>
      </c>
      <c r="G66" s="17">
        <v>11342</v>
      </c>
      <c r="H66" s="17">
        <v>11600</v>
      </c>
      <c r="I66" s="17">
        <v>14770</v>
      </c>
      <c r="J66" s="17">
        <v>14959</v>
      </c>
      <c r="K66" s="17">
        <v>12959</v>
      </c>
      <c r="L66" s="17">
        <v>11466</v>
      </c>
      <c r="M66" s="17">
        <v>10328</v>
      </c>
      <c r="N66" s="17">
        <v>9589</v>
      </c>
      <c r="O66" s="17">
        <v>8498</v>
      </c>
      <c r="P66" s="17">
        <v>6408</v>
      </c>
      <c r="Q66" s="17">
        <v>4271</v>
      </c>
      <c r="R66" s="17">
        <v>2896</v>
      </c>
      <c r="S66" s="17">
        <v>1962</v>
      </c>
      <c r="T66" s="17">
        <v>1261</v>
      </c>
      <c r="U66" s="17">
        <v>715</v>
      </c>
      <c r="V66" s="17">
        <v>499</v>
      </c>
    </row>
    <row r="67" spans="1:22" x14ac:dyDescent="0.2">
      <c r="A67" s="18" t="s">
        <v>103</v>
      </c>
      <c r="B67" s="18" t="s">
        <v>309</v>
      </c>
      <c r="C67" s="17">
        <v>11288</v>
      </c>
      <c r="D67" s="17">
        <v>1667.8</v>
      </c>
      <c r="E67" s="17">
        <f t="shared" si="0"/>
        <v>12955.8</v>
      </c>
      <c r="F67" s="17">
        <v>8339</v>
      </c>
      <c r="G67" s="17">
        <v>7773</v>
      </c>
      <c r="H67" s="17">
        <v>8354</v>
      </c>
      <c r="I67" s="17">
        <v>12337</v>
      </c>
      <c r="J67" s="17">
        <v>13901</v>
      </c>
      <c r="K67" s="17">
        <v>11220</v>
      </c>
      <c r="L67" s="17">
        <v>9276</v>
      </c>
      <c r="M67" s="17">
        <v>8093</v>
      </c>
      <c r="N67" s="17">
        <v>7732</v>
      </c>
      <c r="O67" s="17">
        <v>5927</v>
      </c>
      <c r="P67" s="17">
        <v>3370</v>
      </c>
      <c r="Q67" s="17">
        <v>1716</v>
      </c>
      <c r="R67" s="17">
        <v>1022</v>
      </c>
      <c r="S67" s="17">
        <v>665</v>
      </c>
      <c r="T67" s="17">
        <v>382</v>
      </c>
      <c r="U67" s="17">
        <v>208</v>
      </c>
      <c r="V67" s="17">
        <v>161</v>
      </c>
    </row>
    <row r="68" spans="1:22" x14ac:dyDescent="0.2">
      <c r="A68" s="18" t="s">
        <v>103</v>
      </c>
      <c r="B68" s="18" t="s">
        <v>308</v>
      </c>
      <c r="C68" s="17">
        <v>19119</v>
      </c>
      <c r="D68" s="17">
        <v>2950.2</v>
      </c>
      <c r="E68" s="17">
        <f t="shared" ref="E68:E131" si="1">D68+C68</f>
        <v>22069.200000000001</v>
      </c>
      <c r="F68" s="17">
        <v>14751</v>
      </c>
      <c r="G68" s="17">
        <v>13748</v>
      </c>
      <c r="H68" s="17">
        <v>14991</v>
      </c>
      <c r="I68" s="17">
        <v>19960</v>
      </c>
      <c r="J68" s="17">
        <v>21792</v>
      </c>
      <c r="K68" s="17">
        <v>18461</v>
      </c>
      <c r="L68" s="17">
        <v>16190</v>
      </c>
      <c r="M68" s="17">
        <v>15086</v>
      </c>
      <c r="N68" s="17">
        <v>14451</v>
      </c>
      <c r="O68" s="17">
        <v>11349</v>
      </c>
      <c r="P68" s="17">
        <v>6999</v>
      </c>
      <c r="Q68" s="17">
        <v>3999</v>
      </c>
      <c r="R68" s="17">
        <v>2491</v>
      </c>
      <c r="S68" s="17">
        <v>1888</v>
      </c>
      <c r="T68" s="17">
        <v>1087</v>
      </c>
      <c r="U68" s="17">
        <v>688</v>
      </c>
      <c r="V68" s="17">
        <v>469</v>
      </c>
    </row>
    <row r="69" spans="1:22" x14ac:dyDescent="0.2">
      <c r="A69" s="18" t="s">
        <v>144</v>
      </c>
      <c r="B69" s="18" t="s">
        <v>105</v>
      </c>
      <c r="C69" s="17">
        <v>316977</v>
      </c>
      <c r="D69" s="17">
        <v>47860.6</v>
      </c>
      <c r="E69" s="17">
        <f t="shared" si="1"/>
        <v>364837.6</v>
      </c>
      <c r="F69" s="17">
        <v>239303</v>
      </c>
      <c r="G69" s="17">
        <v>216183</v>
      </c>
      <c r="H69" s="17">
        <v>238705</v>
      </c>
      <c r="I69" s="17">
        <v>346727</v>
      </c>
      <c r="J69" s="17">
        <v>387047</v>
      </c>
      <c r="K69" s="17">
        <v>321232</v>
      </c>
      <c r="L69" s="17">
        <v>264302</v>
      </c>
      <c r="M69" s="17">
        <v>211951</v>
      </c>
      <c r="N69" s="17">
        <v>176239</v>
      </c>
      <c r="O69" s="17">
        <v>143422</v>
      </c>
      <c r="P69" s="17">
        <v>111814</v>
      </c>
      <c r="Q69" s="17">
        <v>78014</v>
      </c>
      <c r="R69" s="17">
        <v>50080</v>
      </c>
      <c r="S69" s="17">
        <v>34423</v>
      </c>
      <c r="T69" s="17">
        <v>20715</v>
      </c>
      <c r="U69" s="17">
        <v>12352</v>
      </c>
      <c r="V69" s="17">
        <v>8985</v>
      </c>
    </row>
    <row r="70" spans="1:22" x14ac:dyDescent="0.2">
      <c r="A70" s="18" t="s">
        <v>144</v>
      </c>
      <c r="B70" s="18" t="s">
        <v>104</v>
      </c>
      <c r="C70" s="17">
        <v>432722</v>
      </c>
      <c r="D70" s="17">
        <v>63693</v>
      </c>
      <c r="E70" s="17">
        <f t="shared" si="1"/>
        <v>496415</v>
      </c>
      <c r="F70" s="17">
        <v>318465</v>
      </c>
      <c r="G70" s="17">
        <v>277624</v>
      </c>
      <c r="H70" s="17">
        <v>315116</v>
      </c>
      <c r="I70" s="17">
        <v>502412</v>
      </c>
      <c r="J70" s="17">
        <v>572807</v>
      </c>
      <c r="K70" s="17">
        <v>472034</v>
      </c>
      <c r="L70" s="17">
        <v>377866</v>
      </c>
      <c r="M70" s="17">
        <v>293746</v>
      </c>
      <c r="N70" s="17">
        <v>236477</v>
      </c>
      <c r="O70" s="17">
        <v>192933</v>
      </c>
      <c r="P70" s="17">
        <v>151531</v>
      </c>
      <c r="Q70" s="17">
        <v>107684</v>
      </c>
      <c r="R70" s="17">
        <v>67906</v>
      </c>
      <c r="S70" s="17">
        <v>48797</v>
      </c>
      <c r="T70" s="17">
        <v>31049</v>
      </c>
      <c r="U70" s="17">
        <v>19589</v>
      </c>
      <c r="V70" s="17">
        <v>16068</v>
      </c>
    </row>
    <row r="71" spans="1:22" x14ac:dyDescent="0.2">
      <c r="A71" s="18" t="s">
        <v>144</v>
      </c>
      <c r="B71" s="18" t="s">
        <v>102</v>
      </c>
      <c r="C71" s="17">
        <v>273866</v>
      </c>
      <c r="D71" s="17">
        <v>42378.2</v>
      </c>
      <c r="E71" s="17">
        <f t="shared" si="1"/>
        <v>316244.2</v>
      </c>
      <c r="F71" s="17">
        <v>211891</v>
      </c>
      <c r="G71" s="17">
        <v>191352</v>
      </c>
      <c r="H71" s="17">
        <v>228577</v>
      </c>
      <c r="I71" s="17">
        <v>340844</v>
      </c>
      <c r="J71" s="17">
        <v>338813</v>
      </c>
      <c r="K71" s="17">
        <v>277369</v>
      </c>
      <c r="L71" s="17">
        <v>235789</v>
      </c>
      <c r="M71" s="17">
        <v>197126</v>
      </c>
      <c r="N71" s="17">
        <v>164191</v>
      </c>
      <c r="O71" s="17">
        <v>136340</v>
      </c>
      <c r="P71" s="17">
        <v>106239</v>
      </c>
      <c r="Q71" s="17">
        <v>76187</v>
      </c>
      <c r="R71" s="17">
        <v>52501</v>
      </c>
      <c r="S71" s="17">
        <v>37686</v>
      </c>
      <c r="T71" s="17">
        <v>24315</v>
      </c>
      <c r="U71" s="17">
        <v>15912</v>
      </c>
      <c r="V71" s="17">
        <v>12490</v>
      </c>
    </row>
    <row r="72" spans="1:22" x14ac:dyDescent="0.2">
      <c r="A72" s="18" t="s">
        <v>91</v>
      </c>
      <c r="B72" s="18" t="s">
        <v>307</v>
      </c>
      <c r="C72" s="17">
        <v>21435</v>
      </c>
      <c r="D72" s="17">
        <v>3875.8</v>
      </c>
      <c r="E72" s="17">
        <f t="shared" si="1"/>
        <v>25310.799999999999</v>
      </c>
      <c r="F72" s="17">
        <v>19379</v>
      </c>
      <c r="G72" s="17">
        <v>18919</v>
      </c>
      <c r="H72" s="17">
        <v>20245</v>
      </c>
      <c r="I72" s="17">
        <v>14771</v>
      </c>
      <c r="J72" s="17">
        <v>11219</v>
      </c>
      <c r="K72" s="17">
        <v>7976</v>
      </c>
      <c r="L72" s="17">
        <v>6968</v>
      </c>
      <c r="M72" s="17">
        <v>6407</v>
      </c>
      <c r="N72" s="17">
        <v>6814</v>
      </c>
      <c r="O72" s="17">
        <v>5916</v>
      </c>
      <c r="P72" s="17">
        <v>5141</v>
      </c>
      <c r="Q72" s="17">
        <v>5141</v>
      </c>
      <c r="R72" s="17">
        <v>3375</v>
      </c>
      <c r="S72" s="17">
        <v>2841</v>
      </c>
      <c r="T72" s="17">
        <v>1842</v>
      </c>
      <c r="U72" s="17">
        <v>1588</v>
      </c>
      <c r="V72" s="17">
        <v>996</v>
      </c>
    </row>
    <row r="73" spans="1:22" x14ac:dyDescent="0.2">
      <c r="A73" s="18" t="s">
        <v>91</v>
      </c>
      <c r="B73" s="18" t="s">
        <v>306</v>
      </c>
      <c r="C73" s="17">
        <v>14139</v>
      </c>
      <c r="D73" s="17">
        <v>2512.6</v>
      </c>
      <c r="E73" s="17">
        <f t="shared" si="1"/>
        <v>16651.599999999999</v>
      </c>
      <c r="F73" s="17">
        <v>12563</v>
      </c>
      <c r="G73" s="17">
        <v>12362</v>
      </c>
      <c r="H73" s="17">
        <v>12593</v>
      </c>
      <c r="I73" s="17">
        <v>8632</v>
      </c>
      <c r="J73" s="17">
        <v>6882</v>
      </c>
      <c r="K73" s="17">
        <v>4885</v>
      </c>
      <c r="L73" s="17">
        <v>4368</v>
      </c>
      <c r="M73" s="17">
        <v>3779</v>
      </c>
      <c r="N73" s="17">
        <v>3784</v>
      </c>
      <c r="O73" s="17">
        <v>2971</v>
      </c>
      <c r="P73" s="17">
        <v>2413</v>
      </c>
      <c r="Q73" s="17">
        <v>2325</v>
      </c>
      <c r="R73" s="17">
        <v>1499</v>
      </c>
      <c r="S73" s="17">
        <v>1410</v>
      </c>
      <c r="T73" s="17">
        <v>915</v>
      </c>
      <c r="U73" s="17">
        <v>651</v>
      </c>
      <c r="V73" s="17">
        <v>382</v>
      </c>
    </row>
    <row r="74" spans="1:22" x14ac:dyDescent="0.2">
      <c r="A74" s="18" t="s">
        <v>91</v>
      </c>
      <c r="B74" s="18" t="s">
        <v>305</v>
      </c>
      <c r="C74" s="17">
        <v>7331</v>
      </c>
      <c r="D74" s="17">
        <v>1273.4000000000001</v>
      </c>
      <c r="E74" s="17">
        <f t="shared" si="1"/>
        <v>8604.4</v>
      </c>
      <c r="F74" s="17">
        <v>6367</v>
      </c>
      <c r="G74" s="17">
        <v>6081</v>
      </c>
      <c r="H74" s="17">
        <v>6626</v>
      </c>
      <c r="I74" s="17">
        <v>4795</v>
      </c>
      <c r="J74" s="17">
        <v>3842</v>
      </c>
      <c r="K74" s="17">
        <v>2979</v>
      </c>
      <c r="L74" s="17">
        <v>2538</v>
      </c>
      <c r="M74" s="17">
        <v>1969</v>
      </c>
      <c r="N74" s="17">
        <v>2123</v>
      </c>
      <c r="O74" s="17">
        <v>1875</v>
      </c>
      <c r="P74" s="17">
        <v>1590</v>
      </c>
      <c r="Q74" s="17">
        <v>1448</v>
      </c>
      <c r="R74" s="17">
        <v>975</v>
      </c>
      <c r="S74" s="17">
        <v>898</v>
      </c>
      <c r="T74" s="17">
        <v>490</v>
      </c>
      <c r="U74" s="17">
        <v>364</v>
      </c>
      <c r="V74" s="17">
        <v>247</v>
      </c>
    </row>
    <row r="75" spans="1:22" x14ac:dyDescent="0.2">
      <c r="A75" s="18" t="s">
        <v>91</v>
      </c>
      <c r="B75" s="18" t="s">
        <v>304</v>
      </c>
      <c r="C75" s="17">
        <v>27014</v>
      </c>
      <c r="D75" s="17">
        <v>4499.3999999999996</v>
      </c>
      <c r="E75" s="17">
        <f t="shared" si="1"/>
        <v>31513.4</v>
      </c>
      <c r="F75" s="17">
        <v>22497</v>
      </c>
      <c r="G75" s="17">
        <v>22748</v>
      </c>
      <c r="H75" s="17">
        <v>26352</v>
      </c>
      <c r="I75" s="17">
        <v>25923</v>
      </c>
      <c r="J75" s="17">
        <v>25975</v>
      </c>
      <c r="K75" s="17">
        <v>18715</v>
      </c>
      <c r="L75" s="17">
        <v>16047</v>
      </c>
      <c r="M75" s="17">
        <v>12870</v>
      </c>
      <c r="N75" s="17">
        <v>12022</v>
      </c>
      <c r="O75" s="17">
        <v>10353</v>
      </c>
      <c r="P75" s="17">
        <v>8959</v>
      </c>
      <c r="Q75" s="17">
        <v>8127</v>
      </c>
      <c r="R75" s="17">
        <v>6118</v>
      </c>
      <c r="S75" s="17">
        <v>5285</v>
      </c>
      <c r="T75" s="17">
        <v>3421</v>
      </c>
      <c r="U75" s="17">
        <v>2204</v>
      </c>
      <c r="V75" s="17">
        <v>1505</v>
      </c>
    </row>
    <row r="76" spans="1:22" x14ac:dyDescent="0.2">
      <c r="A76" s="18" t="s">
        <v>91</v>
      </c>
      <c r="B76" s="18" t="s">
        <v>303</v>
      </c>
      <c r="C76" s="17">
        <v>10333</v>
      </c>
      <c r="D76" s="17">
        <v>1817.4</v>
      </c>
      <c r="E76" s="17">
        <f t="shared" si="1"/>
        <v>12150.4</v>
      </c>
      <c r="F76" s="17">
        <v>9087</v>
      </c>
      <c r="G76" s="17">
        <v>9112</v>
      </c>
      <c r="H76" s="17">
        <v>9504</v>
      </c>
      <c r="I76" s="17">
        <v>7263</v>
      </c>
      <c r="J76" s="17">
        <v>5411</v>
      </c>
      <c r="K76" s="17">
        <v>3941</v>
      </c>
      <c r="L76" s="17">
        <v>3593</v>
      </c>
      <c r="M76" s="17">
        <v>3070</v>
      </c>
      <c r="N76" s="17">
        <v>3326</v>
      </c>
      <c r="O76" s="17">
        <v>3133</v>
      </c>
      <c r="P76" s="17">
        <v>2436</v>
      </c>
      <c r="Q76" s="17">
        <v>2380</v>
      </c>
      <c r="R76" s="17">
        <v>1619</v>
      </c>
      <c r="S76" s="17">
        <v>1258</v>
      </c>
      <c r="T76" s="17">
        <v>811</v>
      </c>
      <c r="U76" s="17">
        <v>677</v>
      </c>
      <c r="V76" s="17">
        <v>450</v>
      </c>
    </row>
    <row r="77" spans="1:22" x14ac:dyDescent="0.2">
      <c r="A77" s="18" t="s">
        <v>91</v>
      </c>
      <c r="B77" s="18" t="s">
        <v>302</v>
      </c>
      <c r="C77" s="17">
        <v>7825</v>
      </c>
      <c r="D77" s="17">
        <v>1331.8</v>
      </c>
      <c r="E77" s="17">
        <f t="shared" si="1"/>
        <v>9156.7999999999993</v>
      </c>
      <c r="F77" s="17">
        <v>6659</v>
      </c>
      <c r="G77" s="17">
        <v>6653</v>
      </c>
      <c r="H77" s="17">
        <v>7566</v>
      </c>
      <c r="I77" s="17">
        <v>8217</v>
      </c>
      <c r="J77" s="17">
        <v>7732</v>
      </c>
      <c r="K77" s="17">
        <v>5849</v>
      </c>
      <c r="L77" s="17">
        <v>5131</v>
      </c>
      <c r="M77" s="17">
        <v>4157</v>
      </c>
      <c r="N77" s="17">
        <v>4151</v>
      </c>
      <c r="O77" s="17">
        <v>3325</v>
      </c>
      <c r="P77" s="17">
        <v>2896</v>
      </c>
      <c r="Q77" s="17">
        <v>2633</v>
      </c>
      <c r="R77" s="17">
        <v>2235</v>
      </c>
      <c r="S77" s="17">
        <v>1694</v>
      </c>
      <c r="T77" s="17">
        <v>1031</v>
      </c>
      <c r="U77" s="17">
        <v>702</v>
      </c>
      <c r="V77" s="17">
        <v>417</v>
      </c>
    </row>
    <row r="78" spans="1:22" x14ac:dyDescent="0.2">
      <c r="A78" s="18" t="s">
        <v>91</v>
      </c>
      <c r="B78" s="18" t="s">
        <v>301</v>
      </c>
      <c r="C78" s="17">
        <v>12584</v>
      </c>
      <c r="D78" s="17">
        <v>2209.4</v>
      </c>
      <c r="E78" s="17">
        <f t="shared" si="1"/>
        <v>14793.4</v>
      </c>
      <c r="F78" s="17">
        <v>11047</v>
      </c>
      <c r="G78" s="17">
        <v>11251</v>
      </c>
      <c r="H78" s="17">
        <v>12251</v>
      </c>
      <c r="I78" s="17">
        <v>10838</v>
      </c>
      <c r="J78" s="17">
        <v>9149</v>
      </c>
      <c r="K78" s="17">
        <v>7026</v>
      </c>
      <c r="L78" s="17">
        <v>6189</v>
      </c>
      <c r="M78" s="17">
        <v>4817</v>
      </c>
      <c r="N78" s="17">
        <v>4789</v>
      </c>
      <c r="O78" s="17">
        <v>4192</v>
      </c>
      <c r="P78" s="17">
        <v>3520</v>
      </c>
      <c r="Q78" s="17">
        <v>3198</v>
      </c>
      <c r="R78" s="17">
        <v>1880</v>
      </c>
      <c r="S78" s="17">
        <v>1458</v>
      </c>
      <c r="T78" s="17">
        <v>926</v>
      </c>
      <c r="U78" s="17">
        <v>681</v>
      </c>
      <c r="V78" s="17">
        <v>577</v>
      </c>
    </row>
    <row r="79" spans="1:22" x14ac:dyDescent="0.2">
      <c r="A79" s="18" t="s">
        <v>91</v>
      </c>
      <c r="B79" s="18" t="s">
        <v>300</v>
      </c>
      <c r="C79" s="17">
        <v>8038</v>
      </c>
      <c r="D79" s="17">
        <v>1451.2</v>
      </c>
      <c r="E79" s="17">
        <f t="shared" si="1"/>
        <v>9489.2000000000007</v>
      </c>
      <c r="F79" s="17">
        <v>7256</v>
      </c>
      <c r="G79" s="17">
        <v>7273</v>
      </c>
      <c r="H79" s="17">
        <v>8785</v>
      </c>
      <c r="I79" s="17">
        <v>9208</v>
      </c>
      <c r="J79" s="17">
        <v>9345</v>
      </c>
      <c r="K79" s="17">
        <v>7578</v>
      </c>
      <c r="L79" s="17">
        <v>7061</v>
      </c>
      <c r="M79" s="17">
        <v>5665</v>
      </c>
      <c r="N79" s="17">
        <v>4606</v>
      </c>
      <c r="O79" s="17">
        <v>3747</v>
      </c>
      <c r="P79" s="17">
        <v>3409</v>
      </c>
      <c r="Q79" s="17">
        <v>3065</v>
      </c>
      <c r="R79" s="17">
        <v>2230</v>
      </c>
      <c r="S79" s="17">
        <v>2018</v>
      </c>
      <c r="T79" s="17">
        <v>1484</v>
      </c>
      <c r="U79" s="17">
        <v>1088</v>
      </c>
      <c r="V79" s="17">
        <v>856</v>
      </c>
    </row>
    <row r="80" spans="1:22" x14ac:dyDescent="0.2">
      <c r="A80" s="18" t="s">
        <v>91</v>
      </c>
      <c r="B80" s="18" t="s">
        <v>299</v>
      </c>
      <c r="C80" s="17">
        <v>4172</v>
      </c>
      <c r="D80" s="17">
        <v>735</v>
      </c>
      <c r="E80" s="17">
        <f t="shared" si="1"/>
        <v>4907</v>
      </c>
      <c r="F80" s="17">
        <v>3675</v>
      </c>
      <c r="G80" s="17">
        <v>3646</v>
      </c>
      <c r="H80" s="17">
        <v>3717</v>
      </c>
      <c r="I80" s="17">
        <v>4069</v>
      </c>
      <c r="J80" s="17">
        <v>4020</v>
      </c>
      <c r="K80" s="17">
        <v>3075</v>
      </c>
      <c r="L80" s="17">
        <v>2535</v>
      </c>
      <c r="M80" s="17">
        <v>2094</v>
      </c>
      <c r="N80" s="17">
        <v>1738</v>
      </c>
      <c r="O80" s="17">
        <v>1418</v>
      </c>
      <c r="P80" s="17">
        <v>1249</v>
      </c>
      <c r="Q80" s="17">
        <v>1107</v>
      </c>
      <c r="R80" s="17">
        <v>562</v>
      </c>
      <c r="S80" s="17">
        <v>393</v>
      </c>
      <c r="T80" s="17">
        <v>249</v>
      </c>
      <c r="U80" s="17">
        <v>206</v>
      </c>
      <c r="V80" s="17">
        <v>176</v>
      </c>
    </row>
    <row r="81" spans="1:22" x14ac:dyDescent="0.2">
      <c r="A81" s="18" t="s">
        <v>91</v>
      </c>
      <c r="B81" s="18" t="s">
        <v>298</v>
      </c>
      <c r="C81" s="17">
        <v>4406</v>
      </c>
      <c r="D81" s="17">
        <v>826.4</v>
      </c>
      <c r="E81" s="17">
        <f t="shared" si="1"/>
        <v>5232.3999999999996</v>
      </c>
      <c r="F81" s="17">
        <v>4132</v>
      </c>
      <c r="G81" s="17">
        <v>3940</v>
      </c>
      <c r="H81" s="17">
        <v>4050</v>
      </c>
      <c r="I81" s="17">
        <v>3025</v>
      </c>
      <c r="J81" s="17">
        <v>2241</v>
      </c>
      <c r="K81" s="17">
        <v>1581</v>
      </c>
      <c r="L81" s="17">
        <v>1352</v>
      </c>
      <c r="M81" s="17">
        <v>1242</v>
      </c>
      <c r="N81" s="17">
        <v>1276</v>
      </c>
      <c r="O81" s="17">
        <v>1259</v>
      </c>
      <c r="P81" s="17">
        <v>1328</v>
      </c>
      <c r="Q81" s="17">
        <v>1128</v>
      </c>
      <c r="R81" s="17">
        <v>695</v>
      </c>
      <c r="S81" s="17">
        <v>547</v>
      </c>
      <c r="T81" s="17">
        <v>396</v>
      </c>
      <c r="U81" s="17">
        <v>302</v>
      </c>
      <c r="V81" s="17">
        <v>204</v>
      </c>
    </row>
    <row r="82" spans="1:22" x14ac:dyDescent="0.2">
      <c r="A82" s="18" t="s">
        <v>91</v>
      </c>
      <c r="B82" s="18" t="s">
        <v>297</v>
      </c>
      <c r="C82" s="17">
        <v>59178</v>
      </c>
      <c r="D82" s="17">
        <v>10430.4</v>
      </c>
      <c r="E82" s="17">
        <f t="shared" si="1"/>
        <v>69608.399999999994</v>
      </c>
      <c r="F82" s="17">
        <v>52152</v>
      </c>
      <c r="G82" s="17">
        <v>53283</v>
      </c>
      <c r="H82" s="17">
        <v>62036</v>
      </c>
      <c r="I82" s="17">
        <v>71678</v>
      </c>
      <c r="J82" s="17">
        <v>64496</v>
      </c>
      <c r="K82" s="17">
        <v>49655</v>
      </c>
      <c r="L82" s="17">
        <v>45046</v>
      </c>
      <c r="M82" s="17">
        <v>35476</v>
      </c>
      <c r="N82" s="17">
        <v>30218</v>
      </c>
      <c r="O82" s="17">
        <v>24796</v>
      </c>
      <c r="P82" s="17">
        <v>21838</v>
      </c>
      <c r="Q82" s="17">
        <v>17698</v>
      </c>
      <c r="R82" s="17">
        <v>11264</v>
      </c>
      <c r="S82" s="17">
        <v>8209</v>
      </c>
      <c r="T82" s="17">
        <v>5308</v>
      </c>
      <c r="U82" s="17">
        <v>3594</v>
      </c>
      <c r="V82" s="17">
        <v>2611</v>
      </c>
    </row>
    <row r="83" spans="1:22" x14ac:dyDescent="0.2">
      <c r="A83" s="18" t="s">
        <v>91</v>
      </c>
      <c r="B83" s="18" t="s">
        <v>296</v>
      </c>
      <c r="C83" s="17">
        <v>7397</v>
      </c>
      <c r="D83" s="17">
        <v>1270.2</v>
      </c>
      <c r="E83" s="17">
        <f t="shared" si="1"/>
        <v>8667.2000000000007</v>
      </c>
      <c r="F83" s="17">
        <v>6351</v>
      </c>
      <c r="G83" s="17">
        <v>6259</v>
      </c>
      <c r="H83" s="17">
        <v>6747</v>
      </c>
      <c r="I83" s="17">
        <v>6818</v>
      </c>
      <c r="J83" s="17">
        <v>6119</v>
      </c>
      <c r="K83" s="17">
        <v>4492</v>
      </c>
      <c r="L83" s="17">
        <v>3774</v>
      </c>
      <c r="M83" s="17">
        <v>3022</v>
      </c>
      <c r="N83" s="17">
        <v>2846</v>
      </c>
      <c r="O83" s="17">
        <v>2286</v>
      </c>
      <c r="P83" s="17">
        <v>2155</v>
      </c>
      <c r="Q83" s="17">
        <v>1815</v>
      </c>
      <c r="R83" s="17">
        <v>1084</v>
      </c>
      <c r="S83" s="17">
        <v>783</v>
      </c>
      <c r="T83" s="17">
        <v>486</v>
      </c>
      <c r="U83" s="17">
        <v>424</v>
      </c>
      <c r="V83" s="17">
        <v>284</v>
      </c>
    </row>
    <row r="84" spans="1:22" x14ac:dyDescent="0.2">
      <c r="A84" s="18" t="s">
        <v>91</v>
      </c>
      <c r="B84" s="18" t="s">
        <v>295</v>
      </c>
      <c r="C84" s="17">
        <v>8026</v>
      </c>
      <c r="D84" s="17">
        <v>1457.6</v>
      </c>
      <c r="E84" s="17">
        <f t="shared" si="1"/>
        <v>9483.6</v>
      </c>
      <c r="F84" s="17">
        <v>7288</v>
      </c>
      <c r="G84" s="17">
        <v>6748</v>
      </c>
      <c r="H84" s="17">
        <v>6756</v>
      </c>
      <c r="I84" s="17">
        <v>6760</v>
      </c>
      <c r="J84" s="17">
        <v>6047</v>
      </c>
      <c r="K84" s="17">
        <v>4730</v>
      </c>
      <c r="L84" s="17">
        <v>4157</v>
      </c>
      <c r="M84" s="17">
        <v>3300</v>
      </c>
      <c r="N84" s="17">
        <v>2869</v>
      </c>
      <c r="O84" s="17">
        <v>2206</v>
      </c>
      <c r="P84" s="17">
        <v>2125</v>
      </c>
      <c r="Q84" s="17">
        <v>1658</v>
      </c>
      <c r="R84" s="17">
        <v>989</v>
      </c>
      <c r="S84" s="17">
        <v>804</v>
      </c>
      <c r="T84" s="17">
        <v>517</v>
      </c>
      <c r="U84" s="17">
        <v>464</v>
      </c>
      <c r="V84" s="17">
        <v>349</v>
      </c>
    </row>
    <row r="85" spans="1:22" x14ac:dyDescent="0.2">
      <c r="A85" s="18" t="s">
        <v>91</v>
      </c>
      <c r="B85" s="18" t="s">
        <v>294</v>
      </c>
      <c r="C85" s="17">
        <v>28910</v>
      </c>
      <c r="D85" s="17">
        <v>5068.3999999999996</v>
      </c>
      <c r="E85" s="17">
        <f t="shared" si="1"/>
        <v>33978.400000000001</v>
      </c>
      <c r="F85" s="17">
        <v>25342</v>
      </c>
      <c r="G85" s="17">
        <v>24791</v>
      </c>
      <c r="H85" s="17">
        <v>24757</v>
      </c>
      <c r="I85" s="17">
        <v>23557</v>
      </c>
      <c r="J85" s="17">
        <v>22602</v>
      </c>
      <c r="K85" s="17">
        <v>17364</v>
      </c>
      <c r="L85" s="17">
        <v>14398</v>
      </c>
      <c r="M85" s="17">
        <v>11590</v>
      </c>
      <c r="N85" s="17">
        <v>10502</v>
      </c>
      <c r="O85" s="17">
        <v>9210</v>
      </c>
      <c r="P85" s="17">
        <v>7801</v>
      </c>
      <c r="Q85" s="17">
        <v>6008</v>
      </c>
      <c r="R85" s="17">
        <v>3688</v>
      </c>
      <c r="S85" s="17">
        <v>2964</v>
      </c>
      <c r="T85" s="17">
        <v>1766</v>
      </c>
      <c r="U85" s="17">
        <v>1210</v>
      </c>
      <c r="V85" s="17">
        <v>978</v>
      </c>
    </row>
    <row r="86" spans="1:22" x14ac:dyDescent="0.2">
      <c r="A86" s="18" t="s">
        <v>91</v>
      </c>
      <c r="B86" s="18" t="s">
        <v>293</v>
      </c>
      <c r="C86" s="17">
        <v>16308</v>
      </c>
      <c r="D86" s="17">
        <v>2892.8</v>
      </c>
      <c r="E86" s="17">
        <f t="shared" si="1"/>
        <v>19200.8</v>
      </c>
      <c r="F86" s="17">
        <v>14464</v>
      </c>
      <c r="G86" s="17">
        <v>13623</v>
      </c>
      <c r="H86" s="17">
        <v>13631</v>
      </c>
      <c r="I86" s="17">
        <v>9049</v>
      </c>
      <c r="J86" s="17">
        <v>6602</v>
      </c>
      <c r="K86" s="17">
        <v>4712</v>
      </c>
      <c r="L86" s="17">
        <v>3909</v>
      </c>
      <c r="M86" s="17">
        <v>3216</v>
      </c>
      <c r="N86" s="17">
        <v>3553</v>
      </c>
      <c r="O86" s="17">
        <v>3044</v>
      </c>
      <c r="P86" s="17">
        <v>2747</v>
      </c>
      <c r="Q86" s="17">
        <v>2750</v>
      </c>
      <c r="R86" s="17">
        <v>1707</v>
      </c>
      <c r="S86" s="17">
        <v>1505</v>
      </c>
      <c r="T86" s="17">
        <v>996</v>
      </c>
      <c r="U86" s="17">
        <v>700</v>
      </c>
      <c r="V86" s="17">
        <v>602</v>
      </c>
    </row>
    <row r="87" spans="1:22" x14ac:dyDescent="0.2">
      <c r="A87" s="18" t="s">
        <v>91</v>
      </c>
      <c r="B87" s="18" t="s">
        <v>292</v>
      </c>
      <c r="C87" s="17">
        <v>10122</v>
      </c>
      <c r="D87" s="17">
        <v>1849.8</v>
      </c>
      <c r="E87" s="17">
        <f t="shared" si="1"/>
        <v>11971.8</v>
      </c>
      <c r="F87" s="17">
        <v>9249</v>
      </c>
      <c r="G87" s="17">
        <v>9197</v>
      </c>
      <c r="H87" s="17">
        <v>8684</v>
      </c>
      <c r="I87" s="17">
        <v>8194</v>
      </c>
      <c r="J87" s="17">
        <v>7635</v>
      </c>
      <c r="K87" s="17">
        <v>5661</v>
      </c>
      <c r="L87" s="17">
        <v>5050</v>
      </c>
      <c r="M87" s="17">
        <v>4240</v>
      </c>
      <c r="N87" s="17">
        <v>3925</v>
      </c>
      <c r="O87" s="17">
        <v>2872</v>
      </c>
      <c r="P87" s="17">
        <v>2561</v>
      </c>
      <c r="Q87" s="17">
        <v>2282</v>
      </c>
      <c r="R87" s="17">
        <v>1267</v>
      </c>
      <c r="S87" s="17">
        <v>950</v>
      </c>
      <c r="T87" s="17">
        <v>510</v>
      </c>
      <c r="U87" s="17">
        <v>415</v>
      </c>
      <c r="V87" s="17">
        <v>338</v>
      </c>
    </row>
    <row r="88" spans="1:22" x14ac:dyDescent="0.2">
      <c r="A88" s="18" t="s">
        <v>91</v>
      </c>
      <c r="B88" s="18" t="s">
        <v>291</v>
      </c>
      <c r="C88" s="17">
        <v>18769</v>
      </c>
      <c r="D88" s="17">
        <v>3346.8</v>
      </c>
      <c r="E88" s="17">
        <f t="shared" si="1"/>
        <v>22115.8</v>
      </c>
      <c r="F88" s="17">
        <v>16734</v>
      </c>
      <c r="G88" s="17">
        <v>16323</v>
      </c>
      <c r="H88" s="17">
        <v>15904</v>
      </c>
      <c r="I88" s="17">
        <v>11729</v>
      </c>
      <c r="J88" s="17">
        <v>10141</v>
      </c>
      <c r="K88" s="17">
        <v>7596</v>
      </c>
      <c r="L88" s="17">
        <v>6229</v>
      </c>
      <c r="M88" s="17">
        <v>5474</v>
      </c>
      <c r="N88" s="17">
        <v>4941</v>
      </c>
      <c r="O88" s="17">
        <v>4195</v>
      </c>
      <c r="P88" s="17">
        <v>4071</v>
      </c>
      <c r="Q88" s="17">
        <v>3502</v>
      </c>
      <c r="R88" s="17">
        <v>2138</v>
      </c>
      <c r="S88" s="17">
        <v>1791</v>
      </c>
      <c r="T88" s="17">
        <v>1153</v>
      </c>
      <c r="U88" s="17">
        <v>799</v>
      </c>
      <c r="V88" s="17">
        <v>581</v>
      </c>
    </row>
    <row r="89" spans="1:22" x14ac:dyDescent="0.2">
      <c r="A89" s="18" t="s">
        <v>91</v>
      </c>
      <c r="B89" s="18" t="s">
        <v>290</v>
      </c>
      <c r="C89" s="17">
        <v>15500</v>
      </c>
      <c r="D89" s="17">
        <v>2720</v>
      </c>
      <c r="E89" s="17">
        <f t="shared" si="1"/>
        <v>18220</v>
      </c>
      <c r="F89" s="17">
        <v>13600</v>
      </c>
      <c r="G89" s="17">
        <v>13276</v>
      </c>
      <c r="H89" s="17">
        <v>13825</v>
      </c>
      <c r="I89" s="17">
        <v>10961</v>
      </c>
      <c r="J89" s="17">
        <v>9305</v>
      </c>
      <c r="K89" s="17">
        <v>6535</v>
      </c>
      <c r="L89" s="17">
        <v>5408</v>
      </c>
      <c r="M89" s="17">
        <v>4417</v>
      </c>
      <c r="N89" s="17">
        <v>4395</v>
      </c>
      <c r="O89" s="17">
        <v>3883</v>
      </c>
      <c r="P89" s="17">
        <v>3512</v>
      </c>
      <c r="Q89" s="17">
        <v>3243</v>
      </c>
      <c r="R89" s="17">
        <v>1759</v>
      </c>
      <c r="S89" s="17">
        <v>1420</v>
      </c>
      <c r="T89" s="17">
        <v>818</v>
      </c>
      <c r="U89" s="17">
        <v>672</v>
      </c>
      <c r="V89" s="17">
        <v>545</v>
      </c>
    </row>
    <row r="90" spans="1:22" x14ac:dyDescent="0.2">
      <c r="A90" s="18" t="s">
        <v>91</v>
      </c>
      <c r="B90" s="18" t="s">
        <v>289</v>
      </c>
      <c r="C90" s="17">
        <v>22281</v>
      </c>
      <c r="D90" s="17">
        <v>3994.8</v>
      </c>
      <c r="E90" s="17">
        <f t="shared" si="1"/>
        <v>26275.8</v>
      </c>
      <c r="F90" s="17">
        <v>19974</v>
      </c>
      <c r="G90" s="17">
        <v>20679</v>
      </c>
      <c r="H90" s="17">
        <v>20044</v>
      </c>
      <c r="I90" s="17">
        <v>14912</v>
      </c>
      <c r="J90" s="17">
        <v>11313</v>
      </c>
      <c r="K90" s="17">
        <v>8608</v>
      </c>
      <c r="L90" s="17">
        <v>7525</v>
      </c>
      <c r="M90" s="17">
        <v>6756</v>
      </c>
      <c r="N90" s="17">
        <v>6030</v>
      </c>
      <c r="O90" s="17">
        <v>4515</v>
      </c>
      <c r="P90" s="17">
        <v>3250</v>
      </c>
      <c r="Q90" s="17">
        <v>2920</v>
      </c>
      <c r="R90" s="17">
        <v>1949</v>
      </c>
      <c r="S90" s="17">
        <v>2168</v>
      </c>
      <c r="T90" s="17">
        <v>1408</v>
      </c>
      <c r="U90" s="17">
        <v>1460</v>
      </c>
      <c r="V90" s="17">
        <v>945</v>
      </c>
    </row>
    <row r="91" spans="1:22" x14ac:dyDescent="0.2">
      <c r="A91" s="18" t="s">
        <v>91</v>
      </c>
      <c r="B91" s="18" t="s">
        <v>288</v>
      </c>
      <c r="C91" s="17">
        <v>27345</v>
      </c>
      <c r="D91" s="17">
        <v>4915.8</v>
      </c>
      <c r="E91" s="17">
        <f t="shared" si="1"/>
        <v>32260.799999999999</v>
      </c>
      <c r="F91" s="17">
        <v>24579</v>
      </c>
      <c r="G91" s="17">
        <v>25025</v>
      </c>
      <c r="H91" s="17">
        <v>24869</v>
      </c>
      <c r="I91" s="17">
        <v>19029</v>
      </c>
      <c r="J91" s="17">
        <v>14215</v>
      </c>
      <c r="K91" s="17">
        <v>10077</v>
      </c>
      <c r="L91" s="17">
        <v>8133</v>
      </c>
      <c r="M91" s="17">
        <v>7109</v>
      </c>
      <c r="N91" s="17">
        <v>6353</v>
      </c>
      <c r="O91" s="17">
        <v>5396</v>
      </c>
      <c r="P91" s="17">
        <v>4007</v>
      </c>
      <c r="Q91" s="17">
        <v>3037</v>
      </c>
      <c r="R91" s="17">
        <v>2032</v>
      </c>
      <c r="S91" s="17">
        <v>1966</v>
      </c>
      <c r="T91" s="17">
        <v>1311</v>
      </c>
      <c r="U91" s="17">
        <v>1197</v>
      </c>
      <c r="V91" s="17">
        <v>823</v>
      </c>
    </row>
    <row r="92" spans="1:22" x14ac:dyDescent="0.2">
      <c r="A92" s="18" t="s">
        <v>91</v>
      </c>
      <c r="B92" s="18" t="s">
        <v>287</v>
      </c>
      <c r="C92" s="17">
        <v>4666</v>
      </c>
      <c r="D92" s="17">
        <v>833.6</v>
      </c>
      <c r="E92" s="17">
        <f t="shared" si="1"/>
        <v>5499.6</v>
      </c>
      <c r="F92" s="17">
        <v>4168</v>
      </c>
      <c r="G92" s="17">
        <v>4392</v>
      </c>
      <c r="H92" s="17">
        <v>4324</v>
      </c>
      <c r="I92" s="17">
        <v>3567</v>
      </c>
      <c r="J92" s="17">
        <v>3129</v>
      </c>
      <c r="K92" s="17">
        <v>2247</v>
      </c>
      <c r="L92" s="17">
        <v>1798</v>
      </c>
      <c r="M92" s="17">
        <v>1465</v>
      </c>
      <c r="N92" s="17">
        <v>1335</v>
      </c>
      <c r="O92" s="17">
        <v>1056</v>
      </c>
      <c r="P92" s="17">
        <v>858</v>
      </c>
      <c r="Q92" s="17">
        <v>717</v>
      </c>
      <c r="R92" s="17">
        <v>453</v>
      </c>
      <c r="S92" s="17">
        <v>434</v>
      </c>
      <c r="T92" s="17">
        <v>274</v>
      </c>
      <c r="U92" s="17">
        <v>226</v>
      </c>
      <c r="V92" s="17">
        <v>147</v>
      </c>
    </row>
    <row r="93" spans="1:22" x14ac:dyDescent="0.2">
      <c r="A93" s="18" t="s">
        <v>91</v>
      </c>
      <c r="B93" s="18" t="s">
        <v>286</v>
      </c>
      <c r="C93" s="17">
        <v>10790</v>
      </c>
      <c r="D93" s="17">
        <v>1870.6</v>
      </c>
      <c r="E93" s="17">
        <f t="shared" si="1"/>
        <v>12660.6</v>
      </c>
      <c r="F93" s="17">
        <v>9353</v>
      </c>
      <c r="G93" s="17">
        <v>9608</v>
      </c>
      <c r="H93" s="17">
        <v>9856</v>
      </c>
      <c r="I93" s="17">
        <v>7062</v>
      </c>
      <c r="J93" s="17">
        <v>5093</v>
      </c>
      <c r="K93" s="17">
        <v>3354</v>
      </c>
      <c r="L93" s="17">
        <v>2808</v>
      </c>
      <c r="M93" s="17">
        <v>2430</v>
      </c>
      <c r="N93" s="17">
        <v>2445</v>
      </c>
      <c r="O93" s="17">
        <v>2215</v>
      </c>
      <c r="P93" s="17">
        <v>1909</v>
      </c>
      <c r="Q93" s="17">
        <v>1539</v>
      </c>
      <c r="R93" s="17">
        <v>1045</v>
      </c>
      <c r="S93" s="17">
        <v>926</v>
      </c>
      <c r="T93" s="17">
        <v>603</v>
      </c>
      <c r="U93" s="17">
        <v>487</v>
      </c>
      <c r="V93" s="17">
        <v>402</v>
      </c>
    </row>
    <row r="94" spans="1:22" x14ac:dyDescent="0.2">
      <c r="A94" s="18" t="s">
        <v>91</v>
      </c>
      <c r="B94" s="18" t="s">
        <v>285</v>
      </c>
      <c r="C94" s="17">
        <v>25104</v>
      </c>
      <c r="D94" s="17">
        <v>4439.3999999999996</v>
      </c>
      <c r="E94" s="17">
        <f t="shared" si="1"/>
        <v>29543.4</v>
      </c>
      <c r="F94" s="17">
        <v>22197</v>
      </c>
      <c r="G94" s="17">
        <v>21767</v>
      </c>
      <c r="H94" s="17">
        <v>22034</v>
      </c>
      <c r="I94" s="17">
        <v>17892</v>
      </c>
      <c r="J94" s="17">
        <v>14563</v>
      </c>
      <c r="K94" s="17">
        <v>10222</v>
      </c>
      <c r="L94" s="17">
        <v>8184</v>
      </c>
      <c r="M94" s="17">
        <v>6511</v>
      </c>
      <c r="N94" s="17">
        <v>6057</v>
      </c>
      <c r="O94" s="17">
        <v>5661</v>
      </c>
      <c r="P94" s="17">
        <v>4176</v>
      </c>
      <c r="Q94" s="17">
        <v>3265</v>
      </c>
      <c r="R94" s="17">
        <v>2162</v>
      </c>
      <c r="S94" s="17">
        <v>2247</v>
      </c>
      <c r="T94" s="17">
        <v>1423</v>
      </c>
      <c r="U94" s="17">
        <v>1166</v>
      </c>
      <c r="V94" s="17">
        <v>795</v>
      </c>
    </row>
    <row r="95" spans="1:22" x14ac:dyDescent="0.2">
      <c r="A95" s="18" t="s">
        <v>91</v>
      </c>
      <c r="B95" s="18" t="s">
        <v>284</v>
      </c>
      <c r="C95" s="17">
        <v>36322</v>
      </c>
      <c r="D95" s="17">
        <v>6151.2</v>
      </c>
      <c r="E95" s="17">
        <f t="shared" si="1"/>
        <v>42473.2</v>
      </c>
      <c r="F95" s="17">
        <v>30756</v>
      </c>
      <c r="G95" s="17">
        <v>31031</v>
      </c>
      <c r="H95" s="17">
        <v>35309</v>
      </c>
      <c r="I95" s="17">
        <v>40984</v>
      </c>
      <c r="J95" s="17">
        <v>38899</v>
      </c>
      <c r="K95" s="17">
        <v>28253</v>
      </c>
      <c r="L95" s="17">
        <v>22900</v>
      </c>
      <c r="M95" s="17">
        <v>17236</v>
      </c>
      <c r="N95" s="17">
        <v>14428</v>
      </c>
      <c r="O95" s="17">
        <v>12109</v>
      </c>
      <c r="P95" s="17">
        <v>9056</v>
      </c>
      <c r="Q95" s="17">
        <v>6496</v>
      </c>
      <c r="R95" s="17">
        <v>3803</v>
      </c>
      <c r="S95" s="17">
        <v>2879</v>
      </c>
      <c r="T95" s="17">
        <v>1672</v>
      </c>
      <c r="U95" s="17">
        <v>1339</v>
      </c>
      <c r="V95" s="17">
        <v>987</v>
      </c>
    </row>
    <row r="96" spans="1:22" x14ac:dyDescent="0.2">
      <c r="A96" s="18" t="s">
        <v>91</v>
      </c>
      <c r="B96" s="18" t="s">
        <v>283</v>
      </c>
      <c r="C96" s="17">
        <v>16138</v>
      </c>
      <c r="D96" s="17">
        <v>2947</v>
      </c>
      <c r="E96" s="17">
        <f t="shared" si="1"/>
        <v>19085</v>
      </c>
      <c r="F96" s="17">
        <v>14735</v>
      </c>
      <c r="G96" s="17">
        <v>15228</v>
      </c>
      <c r="H96" s="17">
        <v>15654</v>
      </c>
      <c r="I96" s="17">
        <v>10203</v>
      </c>
      <c r="J96" s="17">
        <v>7440</v>
      </c>
      <c r="K96" s="17">
        <v>5233</v>
      </c>
      <c r="L96" s="17">
        <v>4328</v>
      </c>
      <c r="M96" s="17">
        <v>3931</v>
      </c>
      <c r="N96" s="17">
        <v>4105</v>
      </c>
      <c r="O96" s="17">
        <v>3603</v>
      </c>
      <c r="P96" s="17">
        <v>3702</v>
      </c>
      <c r="Q96" s="17">
        <v>3128</v>
      </c>
      <c r="R96" s="17">
        <v>2071</v>
      </c>
      <c r="S96" s="17">
        <v>1858</v>
      </c>
      <c r="T96" s="17">
        <v>1240</v>
      </c>
      <c r="U96" s="17">
        <v>982</v>
      </c>
      <c r="V96" s="17">
        <v>837</v>
      </c>
    </row>
    <row r="97" spans="1:22" x14ac:dyDescent="0.2">
      <c r="A97" s="18" t="s">
        <v>91</v>
      </c>
      <c r="B97" s="18" t="s">
        <v>282</v>
      </c>
      <c r="C97" s="17">
        <v>16215</v>
      </c>
      <c r="D97" s="17">
        <v>2846.8</v>
      </c>
      <c r="E97" s="17">
        <f t="shared" si="1"/>
        <v>19061.8</v>
      </c>
      <c r="F97" s="17">
        <v>14234</v>
      </c>
      <c r="G97" s="17">
        <v>13900</v>
      </c>
      <c r="H97" s="17">
        <v>14342</v>
      </c>
      <c r="I97" s="17">
        <v>13239</v>
      </c>
      <c r="J97" s="17">
        <v>11626</v>
      </c>
      <c r="K97" s="17">
        <v>8292</v>
      </c>
      <c r="L97" s="17">
        <v>6298</v>
      </c>
      <c r="M97" s="17">
        <v>4641</v>
      </c>
      <c r="N97" s="17">
        <v>4626</v>
      </c>
      <c r="O97" s="17">
        <v>4382</v>
      </c>
      <c r="P97" s="17">
        <v>3192</v>
      </c>
      <c r="Q97" s="17">
        <v>2438</v>
      </c>
      <c r="R97" s="17">
        <v>1601</v>
      </c>
      <c r="S97" s="17">
        <v>1451</v>
      </c>
      <c r="T97" s="17">
        <v>900</v>
      </c>
      <c r="U97" s="17">
        <v>856</v>
      </c>
      <c r="V97" s="17">
        <v>654</v>
      </c>
    </row>
    <row r="98" spans="1:22" x14ac:dyDescent="0.2">
      <c r="A98" s="18" t="s">
        <v>91</v>
      </c>
      <c r="B98" s="18" t="s">
        <v>281</v>
      </c>
      <c r="C98" s="17">
        <v>10361</v>
      </c>
      <c r="D98" s="17">
        <v>1863.4</v>
      </c>
      <c r="E98" s="17">
        <f t="shared" si="1"/>
        <v>12224.4</v>
      </c>
      <c r="F98" s="17">
        <v>9317</v>
      </c>
      <c r="G98" s="17">
        <v>9497</v>
      </c>
      <c r="H98" s="17">
        <v>9925</v>
      </c>
      <c r="I98" s="17">
        <v>7460</v>
      </c>
      <c r="J98" s="17">
        <v>5648</v>
      </c>
      <c r="K98" s="17">
        <v>3831</v>
      </c>
      <c r="L98" s="17">
        <v>3108</v>
      </c>
      <c r="M98" s="17">
        <v>2500</v>
      </c>
      <c r="N98" s="17">
        <v>2761</v>
      </c>
      <c r="O98" s="17">
        <v>2655</v>
      </c>
      <c r="P98" s="17">
        <v>1918</v>
      </c>
      <c r="Q98" s="17">
        <v>1662</v>
      </c>
      <c r="R98" s="17">
        <v>1055</v>
      </c>
      <c r="S98" s="17">
        <v>1023</v>
      </c>
      <c r="T98" s="17">
        <v>658</v>
      </c>
      <c r="U98" s="17">
        <v>571</v>
      </c>
      <c r="V98" s="17">
        <v>388</v>
      </c>
    </row>
    <row r="99" spans="1:22" x14ac:dyDescent="0.2">
      <c r="A99" s="18" t="s">
        <v>91</v>
      </c>
      <c r="B99" s="18" t="s">
        <v>280</v>
      </c>
      <c r="C99" s="17">
        <v>28515</v>
      </c>
      <c r="D99" s="17">
        <v>5066.2</v>
      </c>
      <c r="E99" s="17">
        <f t="shared" si="1"/>
        <v>33581.199999999997</v>
      </c>
      <c r="F99" s="17">
        <v>25331</v>
      </c>
      <c r="G99" s="17">
        <v>25688</v>
      </c>
      <c r="H99" s="17">
        <v>26586</v>
      </c>
      <c r="I99" s="17">
        <v>20910</v>
      </c>
      <c r="J99" s="17">
        <v>16074</v>
      </c>
      <c r="K99" s="17">
        <v>11537</v>
      </c>
      <c r="L99" s="17">
        <v>10012</v>
      </c>
      <c r="M99" s="17">
        <v>8554</v>
      </c>
      <c r="N99" s="17">
        <v>8586</v>
      </c>
      <c r="O99" s="17">
        <v>7142</v>
      </c>
      <c r="P99" s="17">
        <v>6241</v>
      </c>
      <c r="Q99" s="17">
        <v>6461</v>
      </c>
      <c r="R99" s="17">
        <v>3596</v>
      </c>
      <c r="S99" s="17">
        <v>3402</v>
      </c>
      <c r="T99" s="17">
        <v>2119</v>
      </c>
      <c r="U99" s="17">
        <v>1631</v>
      </c>
      <c r="V99" s="17">
        <v>1218</v>
      </c>
    </row>
    <row r="100" spans="1:22" x14ac:dyDescent="0.2">
      <c r="A100" s="18" t="s">
        <v>91</v>
      </c>
      <c r="B100" s="18" t="s">
        <v>279</v>
      </c>
      <c r="C100" s="17">
        <v>6683</v>
      </c>
      <c r="D100" s="17">
        <v>1161.5999999999999</v>
      </c>
      <c r="E100" s="17">
        <f t="shared" si="1"/>
        <v>7844.6</v>
      </c>
      <c r="F100" s="17">
        <v>5808</v>
      </c>
      <c r="G100" s="17">
        <v>5843</v>
      </c>
      <c r="H100" s="17">
        <v>5538</v>
      </c>
      <c r="I100" s="17">
        <v>4710</v>
      </c>
      <c r="J100" s="17">
        <v>3936</v>
      </c>
      <c r="K100" s="17">
        <v>2838</v>
      </c>
      <c r="L100" s="17">
        <v>2244</v>
      </c>
      <c r="M100" s="17">
        <v>1990</v>
      </c>
      <c r="N100" s="17">
        <v>1977</v>
      </c>
      <c r="O100" s="17">
        <v>1611</v>
      </c>
      <c r="P100" s="17">
        <v>1316</v>
      </c>
      <c r="Q100" s="17">
        <v>1068</v>
      </c>
      <c r="R100" s="17">
        <v>611</v>
      </c>
      <c r="S100" s="17">
        <v>623</v>
      </c>
      <c r="T100" s="17">
        <v>406</v>
      </c>
      <c r="U100" s="17">
        <v>331</v>
      </c>
      <c r="V100" s="17">
        <v>285</v>
      </c>
    </row>
    <row r="101" spans="1:22" x14ac:dyDescent="0.2">
      <c r="A101" s="18" t="s">
        <v>91</v>
      </c>
      <c r="B101" s="18" t="s">
        <v>278</v>
      </c>
      <c r="C101" s="17">
        <v>14554</v>
      </c>
      <c r="D101" s="17">
        <v>2615</v>
      </c>
      <c r="E101" s="17">
        <f t="shared" si="1"/>
        <v>17169</v>
      </c>
      <c r="F101" s="17">
        <v>13075</v>
      </c>
      <c r="G101" s="17">
        <v>12349</v>
      </c>
      <c r="H101" s="17">
        <v>12295</v>
      </c>
      <c r="I101" s="17">
        <v>9238</v>
      </c>
      <c r="J101" s="17">
        <v>7142</v>
      </c>
      <c r="K101" s="17">
        <v>5205</v>
      </c>
      <c r="L101" s="17">
        <v>4525</v>
      </c>
      <c r="M101" s="17">
        <v>4010</v>
      </c>
      <c r="N101" s="17">
        <v>3876</v>
      </c>
      <c r="O101" s="17">
        <v>3342</v>
      </c>
      <c r="P101" s="17">
        <v>3089</v>
      </c>
      <c r="Q101" s="17">
        <v>2778</v>
      </c>
      <c r="R101" s="17">
        <v>1780</v>
      </c>
      <c r="S101" s="17">
        <v>1289</v>
      </c>
      <c r="T101" s="17">
        <v>867</v>
      </c>
      <c r="U101" s="17">
        <v>669</v>
      </c>
      <c r="V101" s="17">
        <v>466</v>
      </c>
    </row>
    <row r="102" spans="1:22" x14ac:dyDescent="0.2">
      <c r="A102" s="18" t="s">
        <v>91</v>
      </c>
      <c r="B102" s="18" t="s">
        <v>277</v>
      </c>
      <c r="C102" s="17">
        <v>1238</v>
      </c>
      <c r="D102" s="17">
        <v>200.8</v>
      </c>
      <c r="E102" s="17">
        <f t="shared" si="1"/>
        <v>1438.8</v>
      </c>
      <c r="F102" s="17">
        <v>1004</v>
      </c>
      <c r="G102" s="17">
        <v>880</v>
      </c>
      <c r="H102" s="17">
        <v>980</v>
      </c>
      <c r="I102" s="17">
        <v>1396</v>
      </c>
      <c r="J102" s="17">
        <v>1619</v>
      </c>
      <c r="K102" s="17">
        <v>1135</v>
      </c>
      <c r="L102" s="17">
        <v>1078</v>
      </c>
      <c r="M102" s="17">
        <v>820</v>
      </c>
      <c r="N102" s="17">
        <v>654</v>
      </c>
      <c r="O102" s="17">
        <v>540</v>
      </c>
      <c r="P102" s="17">
        <v>469</v>
      </c>
      <c r="Q102" s="17">
        <v>377</v>
      </c>
      <c r="R102" s="17">
        <v>324</v>
      </c>
      <c r="S102" s="17">
        <v>169</v>
      </c>
      <c r="T102" s="17">
        <v>104</v>
      </c>
      <c r="U102" s="17">
        <v>66</v>
      </c>
      <c r="V102" s="17">
        <v>45</v>
      </c>
    </row>
    <row r="103" spans="1:22" x14ac:dyDescent="0.2">
      <c r="A103" s="18" t="s">
        <v>91</v>
      </c>
      <c r="B103" s="18" t="s">
        <v>276</v>
      </c>
      <c r="C103" s="17">
        <v>7471</v>
      </c>
      <c r="D103" s="17">
        <v>1267.8</v>
      </c>
      <c r="E103" s="17">
        <f t="shared" si="1"/>
        <v>8738.7999999999993</v>
      </c>
      <c r="F103" s="17">
        <v>6339</v>
      </c>
      <c r="G103" s="17">
        <v>6365</v>
      </c>
      <c r="H103" s="17">
        <v>6695</v>
      </c>
      <c r="I103" s="17">
        <v>7467</v>
      </c>
      <c r="J103" s="17">
        <v>7262</v>
      </c>
      <c r="K103" s="17">
        <v>5752</v>
      </c>
      <c r="L103" s="17">
        <v>4865</v>
      </c>
      <c r="M103" s="17">
        <v>3806</v>
      </c>
      <c r="N103" s="17">
        <v>2998</v>
      </c>
      <c r="O103" s="17">
        <v>2442</v>
      </c>
      <c r="P103" s="17">
        <v>1682</v>
      </c>
      <c r="Q103" s="17">
        <v>1061</v>
      </c>
      <c r="R103" s="17">
        <v>676</v>
      </c>
      <c r="S103" s="17">
        <v>503</v>
      </c>
      <c r="T103" s="17">
        <v>292</v>
      </c>
      <c r="U103" s="17">
        <v>176</v>
      </c>
      <c r="V103" s="17">
        <v>128</v>
      </c>
    </row>
    <row r="104" spans="1:22" x14ac:dyDescent="0.2">
      <c r="A104" s="18" t="s">
        <v>91</v>
      </c>
      <c r="B104" s="18" t="s">
        <v>275</v>
      </c>
      <c r="C104" s="17">
        <v>13731</v>
      </c>
      <c r="D104" s="17">
        <v>2452.8000000000002</v>
      </c>
      <c r="E104" s="17">
        <f t="shared" si="1"/>
        <v>16183.8</v>
      </c>
      <c r="F104" s="17">
        <v>12264</v>
      </c>
      <c r="G104" s="17">
        <v>11993</v>
      </c>
      <c r="H104" s="17">
        <v>12403</v>
      </c>
      <c r="I104" s="17">
        <v>9474</v>
      </c>
      <c r="J104" s="17">
        <v>7633</v>
      </c>
      <c r="K104" s="17">
        <v>5396</v>
      </c>
      <c r="L104" s="17">
        <v>4792</v>
      </c>
      <c r="M104" s="17">
        <v>4322</v>
      </c>
      <c r="N104" s="17">
        <v>4363</v>
      </c>
      <c r="O104" s="17">
        <v>3644</v>
      </c>
      <c r="P104" s="17">
        <v>3428</v>
      </c>
      <c r="Q104" s="17">
        <v>2896</v>
      </c>
      <c r="R104" s="17">
        <v>1795</v>
      </c>
      <c r="S104" s="17">
        <v>1323</v>
      </c>
      <c r="T104" s="17">
        <v>832</v>
      </c>
      <c r="U104" s="17">
        <v>766</v>
      </c>
      <c r="V104" s="17">
        <v>636</v>
      </c>
    </row>
    <row r="105" spans="1:22" x14ac:dyDescent="0.2">
      <c r="A105" s="18" t="s">
        <v>91</v>
      </c>
      <c r="B105" s="18" t="s">
        <v>274</v>
      </c>
      <c r="C105" s="17">
        <v>26496</v>
      </c>
      <c r="D105" s="17">
        <v>4776</v>
      </c>
      <c r="E105" s="17">
        <f t="shared" si="1"/>
        <v>31272</v>
      </c>
      <c r="F105" s="17">
        <v>23880</v>
      </c>
      <c r="G105" s="17">
        <v>23239</v>
      </c>
      <c r="H105" s="17">
        <v>24222</v>
      </c>
      <c r="I105" s="17">
        <v>16445</v>
      </c>
      <c r="J105" s="17">
        <v>11618</v>
      </c>
      <c r="K105" s="17">
        <v>8865</v>
      </c>
      <c r="L105" s="17">
        <v>7398</v>
      </c>
      <c r="M105" s="17">
        <v>6548</v>
      </c>
      <c r="N105" s="17">
        <v>6314</v>
      </c>
      <c r="O105" s="17">
        <v>5873</v>
      </c>
      <c r="P105" s="17">
        <v>5057</v>
      </c>
      <c r="Q105" s="17">
        <v>4494</v>
      </c>
      <c r="R105" s="17">
        <v>3329</v>
      </c>
      <c r="S105" s="17">
        <v>2450</v>
      </c>
      <c r="T105" s="17">
        <v>1973</v>
      </c>
      <c r="U105" s="17">
        <v>1326</v>
      </c>
      <c r="V105" s="17">
        <v>775</v>
      </c>
    </row>
    <row r="106" spans="1:22" x14ac:dyDescent="0.2">
      <c r="A106" s="18" t="s">
        <v>91</v>
      </c>
      <c r="B106" s="18" t="s">
        <v>273</v>
      </c>
      <c r="C106" s="17">
        <v>6867</v>
      </c>
      <c r="D106" s="17">
        <v>1349.2</v>
      </c>
      <c r="E106" s="17">
        <f t="shared" si="1"/>
        <v>8216.2000000000007</v>
      </c>
      <c r="F106" s="17">
        <v>6746</v>
      </c>
      <c r="G106" s="17">
        <v>6747</v>
      </c>
      <c r="H106" s="17">
        <v>7049</v>
      </c>
      <c r="I106" s="17">
        <v>6582</v>
      </c>
      <c r="J106" s="17">
        <v>6215</v>
      </c>
      <c r="K106" s="17">
        <v>4548</v>
      </c>
      <c r="L106" s="17">
        <v>4061</v>
      </c>
      <c r="M106" s="17">
        <v>3399</v>
      </c>
      <c r="N106" s="17">
        <v>3206</v>
      </c>
      <c r="O106" s="17">
        <v>2492</v>
      </c>
      <c r="P106" s="17">
        <v>2139</v>
      </c>
      <c r="Q106" s="17">
        <v>1668</v>
      </c>
      <c r="R106" s="17">
        <v>1240</v>
      </c>
      <c r="S106" s="17">
        <v>843</v>
      </c>
      <c r="T106" s="17">
        <v>514</v>
      </c>
      <c r="U106" s="17">
        <v>294</v>
      </c>
      <c r="V106" s="17">
        <v>252</v>
      </c>
    </row>
    <row r="107" spans="1:22" x14ac:dyDescent="0.2">
      <c r="A107" s="18" t="s">
        <v>91</v>
      </c>
      <c r="B107" s="18" t="s">
        <v>272</v>
      </c>
      <c r="C107" s="17">
        <v>24791</v>
      </c>
      <c r="D107" s="17">
        <v>4578.8</v>
      </c>
      <c r="E107" s="17">
        <f t="shared" si="1"/>
        <v>29369.8</v>
      </c>
      <c r="F107" s="17">
        <v>22894</v>
      </c>
      <c r="G107" s="17">
        <v>22467</v>
      </c>
      <c r="H107" s="17">
        <v>21886</v>
      </c>
      <c r="I107" s="17">
        <v>14954</v>
      </c>
      <c r="J107" s="17">
        <v>11000</v>
      </c>
      <c r="K107" s="17">
        <v>7917</v>
      </c>
      <c r="L107" s="17">
        <v>6459</v>
      </c>
      <c r="M107" s="17">
        <v>5553</v>
      </c>
      <c r="N107" s="17">
        <v>5635</v>
      </c>
      <c r="O107" s="17">
        <v>4770</v>
      </c>
      <c r="P107" s="17">
        <v>4716</v>
      </c>
      <c r="Q107" s="17">
        <v>3852</v>
      </c>
      <c r="R107" s="17">
        <v>2709</v>
      </c>
      <c r="S107" s="17">
        <v>2235</v>
      </c>
      <c r="T107" s="17">
        <v>1432</v>
      </c>
      <c r="U107" s="17">
        <v>1144</v>
      </c>
      <c r="V107" s="17">
        <v>892</v>
      </c>
    </row>
    <row r="108" spans="1:22" x14ac:dyDescent="0.2">
      <c r="A108" s="18" t="s">
        <v>91</v>
      </c>
      <c r="B108" s="18" t="s">
        <v>271</v>
      </c>
      <c r="C108" s="17">
        <v>27918</v>
      </c>
      <c r="D108" s="17">
        <v>5044.6000000000004</v>
      </c>
      <c r="E108" s="17">
        <f t="shared" si="1"/>
        <v>32962.6</v>
      </c>
      <c r="F108" s="17">
        <v>25223</v>
      </c>
      <c r="G108" s="17">
        <v>24528</v>
      </c>
      <c r="H108" s="17">
        <v>23730</v>
      </c>
      <c r="I108" s="17">
        <v>13934</v>
      </c>
      <c r="J108" s="17">
        <v>10684</v>
      </c>
      <c r="K108" s="17">
        <v>8114</v>
      </c>
      <c r="L108" s="17">
        <v>7154</v>
      </c>
      <c r="M108" s="17">
        <v>6077</v>
      </c>
      <c r="N108" s="17">
        <v>6149</v>
      </c>
      <c r="O108" s="17">
        <v>4837</v>
      </c>
      <c r="P108" s="17">
        <v>4896</v>
      </c>
      <c r="Q108" s="17">
        <v>4656</v>
      </c>
      <c r="R108" s="17">
        <v>2980</v>
      </c>
      <c r="S108" s="17">
        <v>2514</v>
      </c>
      <c r="T108" s="17">
        <v>1420</v>
      </c>
      <c r="U108" s="17">
        <v>1519</v>
      </c>
      <c r="V108" s="17">
        <v>1245</v>
      </c>
    </row>
    <row r="109" spans="1:22" x14ac:dyDescent="0.2">
      <c r="A109" s="18" t="s">
        <v>91</v>
      </c>
      <c r="B109" s="18" t="s">
        <v>270</v>
      </c>
      <c r="C109" s="17">
        <v>13225</v>
      </c>
      <c r="D109" s="17">
        <v>2318.6</v>
      </c>
      <c r="E109" s="17">
        <f t="shared" si="1"/>
        <v>15543.6</v>
      </c>
      <c r="F109" s="17">
        <v>11593</v>
      </c>
      <c r="G109" s="17">
        <v>12109</v>
      </c>
      <c r="H109" s="17">
        <v>12271</v>
      </c>
      <c r="I109" s="17">
        <v>9796</v>
      </c>
      <c r="J109" s="17">
        <v>8091</v>
      </c>
      <c r="K109" s="17">
        <v>6231</v>
      </c>
      <c r="L109" s="17">
        <v>5340</v>
      </c>
      <c r="M109" s="17">
        <v>4669</v>
      </c>
      <c r="N109" s="17">
        <v>4602</v>
      </c>
      <c r="O109" s="17">
        <v>3695</v>
      </c>
      <c r="P109" s="17">
        <v>3299</v>
      </c>
      <c r="Q109" s="17">
        <v>2738</v>
      </c>
      <c r="R109" s="17">
        <v>1952</v>
      </c>
      <c r="S109" s="17">
        <v>1366</v>
      </c>
      <c r="T109" s="17">
        <v>738</v>
      </c>
      <c r="U109" s="17">
        <v>652</v>
      </c>
      <c r="V109" s="17">
        <v>724</v>
      </c>
    </row>
    <row r="110" spans="1:22" x14ac:dyDescent="0.2">
      <c r="A110" s="18" t="s">
        <v>91</v>
      </c>
      <c r="B110" s="18" t="s">
        <v>269</v>
      </c>
      <c r="C110" s="17">
        <v>40738</v>
      </c>
      <c r="D110" s="17">
        <v>7763.2</v>
      </c>
      <c r="E110" s="17">
        <f t="shared" si="1"/>
        <v>48501.2</v>
      </c>
      <c r="F110" s="17">
        <v>38816</v>
      </c>
      <c r="G110" s="17">
        <v>37406</v>
      </c>
      <c r="H110" s="17">
        <v>40527</v>
      </c>
      <c r="I110" s="17">
        <v>39160</v>
      </c>
      <c r="J110" s="17">
        <v>33550</v>
      </c>
      <c r="K110" s="17">
        <v>25165</v>
      </c>
      <c r="L110" s="17">
        <v>21430</v>
      </c>
      <c r="M110" s="17">
        <v>17601</v>
      </c>
      <c r="N110" s="17">
        <v>15671</v>
      </c>
      <c r="O110" s="17">
        <v>14466</v>
      </c>
      <c r="P110" s="17">
        <v>12627</v>
      </c>
      <c r="Q110" s="17">
        <v>9705</v>
      </c>
      <c r="R110" s="17">
        <v>6100</v>
      </c>
      <c r="S110" s="17">
        <v>4587</v>
      </c>
      <c r="T110" s="17">
        <v>2737</v>
      </c>
      <c r="U110" s="17">
        <v>1692</v>
      </c>
      <c r="V110" s="17">
        <v>1259</v>
      </c>
    </row>
    <row r="111" spans="1:22" x14ac:dyDescent="0.2">
      <c r="A111" s="18" t="s">
        <v>91</v>
      </c>
      <c r="B111" s="18" t="s">
        <v>268</v>
      </c>
      <c r="C111" s="17">
        <v>4148</v>
      </c>
      <c r="D111" s="17">
        <v>834.6</v>
      </c>
      <c r="E111" s="17">
        <f t="shared" si="1"/>
        <v>4982.6000000000004</v>
      </c>
      <c r="F111" s="17">
        <v>4173</v>
      </c>
      <c r="G111" s="17">
        <v>4027</v>
      </c>
      <c r="H111" s="17">
        <v>3717</v>
      </c>
      <c r="I111" s="17">
        <v>3197</v>
      </c>
      <c r="J111" s="17">
        <v>2843</v>
      </c>
      <c r="K111" s="17">
        <v>2317</v>
      </c>
      <c r="L111" s="17">
        <v>2034</v>
      </c>
      <c r="M111" s="17">
        <v>1551</v>
      </c>
      <c r="N111" s="17">
        <v>1398</v>
      </c>
      <c r="O111" s="17">
        <v>1260</v>
      </c>
      <c r="P111" s="17">
        <v>1194</v>
      </c>
      <c r="Q111" s="17">
        <v>835</v>
      </c>
      <c r="R111" s="17">
        <v>608</v>
      </c>
      <c r="S111" s="17">
        <v>482</v>
      </c>
      <c r="T111" s="17">
        <v>266</v>
      </c>
      <c r="U111" s="17">
        <v>228</v>
      </c>
      <c r="V111" s="17">
        <v>163</v>
      </c>
    </row>
    <row r="112" spans="1:22" x14ac:dyDescent="0.2">
      <c r="A112" s="18" t="s">
        <v>91</v>
      </c>
      <c r="B112" s="18" t="s">
        <v>267</v>
      </c>
      <c r="C112" s="17">
        <v>13735</v>
      </c>
      <c r="D112" s="17">
        <v>2555.8000000000002</v>
      </c>
      <c r="E112" s="17">
        <f t="shared" si="1"/>
        <v>16290.8</v>
      </c>
      <c r="F112" s="17">
        <v>12779</v>
      </c>
      <c r="G112" s="17">
        <v>12552</v>
      </c>
      <c r="H112" s="17">
        <v>12868</v>
      </c>
      <c r="I112" s="17">
        <v>10037</v>
      </c>
      <c r="J112" s="17">
        <v>7663</v>
      </c>
      <c r="K112" s="17">
        <v>5663</v>
      </c>
      <c r="L112" s="17">
        <v>4493</v>
      </c>
      <c r="M112" s="17">
        <v>3707</v>
      </c>
      <c r="N112" s="17">
        <v>3827</v>
      </c>
      <c r="O112" s="17">
        <v>3538</v>
      </c>
      <c r="P112" s="17">
        <v>3350</v>
      </c>
      <c r="Q112" s="17">
        <v>2801</v>
      </c>
      <c r="R112" s="17">
        <v>1851</v>
      </c>
      <c r="S112" s="17">
        <v>1444</v>
      </c>
      <c r="T112" s="17">
        <v>881</v>
      </c>
      <c r="U112" s="17">
        <v>525</v>
      </c>
      <c r="V112" s="17">
        <v>446</v>
      </c>
    </row>
    <row r="113" spans="1:22" x14ac:dyDescent="0.2">
      <c r="A113" s="18" t="s">
        <v>91</v>
      </c>
      <c r="B113" s="18" t="s">
        <v>266</v>
      </c>
      <c r="C113" s="17">
        <v>26848</v>
      </c>
      <c r="D113" s="17">
        <v>5073.2</v>
      </c>
      <c r="E113" s="17">
        <f t="shared" si="1"/>
        <v>31921.200000000001</v>
      </c>
      <c r="F113" s="17">
        <v>25366</v>
      </c>
      <c r="G113" s="17">
        <v>25187</v>
      </c>
      <c r="H113" s="17">
        <v>25278</v>
      </c>
      <c r="I113" s="17">
        <v>20783</v>
      </c>
      <c r="J113" s="17">
        <v>17915</v>
      </c>
      <c r="K113" s="17">
        <v>12956</v>
      </c>
      <c r="L113" s="17">
        <v>10659</v>
      </c>
      <c r="M113" s="17">
        <v>8872</v>
      </c>
      <c r="N113" s="17">
        <v>8411</v>
      </c>
      <c r="O113" s="17">
        <v>7386</v>
      </c>
      <c r="P113" s="17">
        <v>6568</v>
      </c>
      <c r="Q113" s="17">
        <v>4945</v>
      </c>
      <c r="R113" s="17">
        <v>3085</v>
      </c>
      <c r="S113" s="17">
        <v>2825</v>
      </c>
      <c r="T113" s="17">
        <v>1741</v>
      </c>
      <c r="U113" s="17">
        <v>1248</v>
      </c>
      <c r="V113" s="17">
        <v>986</v>
      </c>
    </row>
    <row r="114" spans="1:22" x14ac:dyDescent="0.2">
      <c r="A114" s="18" t="s">
        <v>91</v>
      </c>
      <c r="B114" s="18" t="s">
        <v>265</v>
      </c>
      <c r="C114" s="17">
        <v>11500</v>
      </c>
      <c r="D114" s="17">
        <v>2166</v>
      </c>
      <c r="E114" s="17">
        <f t="shared" si="1"/>
        <v>13666</v>
      </c>
      <c r="F114" s="17">
        <v>10830</v>
      </c>
      <c r="G114" s="17">
        <v>10478</v>
      </c>
      <c r="H114" s="17">
        <v>9753</v>
      </c>
      <c r="I114" s="17">
        <v>8066</v>
      </c>
      <c r="J114" s="17">
        <v>6276</v>
      </c>
      <c r="K114" s="17">
        <v>4472</v>
      </c>
      <c r="L114" s="17">
        <v>3553</v>
      </c>
      <c r="M114" s="17">
        <v>3221</v>
      </c>
      <c r="N114" s="17">
        <v>2996</v>
      </c>
      <c r="O114" s="17">
        <v>2790</v>
      </c>
      <c r="P114" s="17">
        <v>2362</v>
      </c>
      <c r="Q114" s="17">
        <v>1663</v>
      </c>
      <c r="R114" s="17">
        <v>1212</v>
      </c>
      <c r="S114" s="17">
        <v>1152</v>
      </c>
      <c r="T114" s="17">
        <v>655</v>
      </c>
      <c r="U114" s="17">
        <v>621</v>
      </c>
      <c r="V114" s="17">
        <v>452</v>
      </c>
    </row>
    <row r="115" spans="1:22" x14ac:dyDescent="0.2">
      <c r="A115" s="18" t="s">
        <v>91</v>
      </c>
      <c r="B115" s="18" t="s">
        <v>264</v>
      </c>
      <c r="C115" s="17">
        <v>17800</v>
      </c>
      <c r="D115" s="17">
        <v>3232.4</v>
      </c>
      <c r="E115" s="17">
        <f t="shared" si="1"/>
        <v>21032.400000000001</v>
      </c>
      <c r="F115" s="17">
        <v>16162</v>
      </c>
      <c r="G115" s="17">
        <v>16065</v>
      </c>
      <c r="H115" s="17">
        <v>15858</v>
      </c>
      <c r="I115" s="17">
        <v>13467</v>
      </c>
      <c r="J115" s="17">
        <v>10762</v>
      </c>
      <c r="K115" s="17">
        <v>7247</v>
      </c>
      <c r="L115" s="17">
        <v>5806</v>
      </c>
      <c r="M115" s="17">
        <v>4814</v>
      </c>
      <c r="N115" s="17">
        <v>4188</v>
      </c>
      <c r="O115" s="17">
        <v>3983</v>
      </c>
      <c r="P115" s="17">
        <v>3188</v>
      </c>
      <c r="Q115" s="17">
        <v>2438</v>
      </c>
      <c r="R115" s="17">
        <v>1605</v>
      </c>
      <c r="S115" s="17">
        <v>1560</v>
      </c>
      <c r="T115" s="17">
        <v>948</v>
      </c>
      <c r="U115" s="17">
        <v>757</v>
      </c>
      <c r="V115" s="17">
        <v>588</v>
      </c>
    </row>
    <row r="116" spans="1:22" x14ac:dyDescent="0.2">
      <c r="A116" s="18" t="s">
        <v>91</v>
      </c>
      <c r="B116" s="18" t="s">
        <v>263</v>
      </c>
      <c r="C116" s="17">
        <v>29508</v>
      </c>
      <c r="D116" s="17">
        <v>5150.6000000000004</v>
      </c>
      <c r="E116" s="17">
        <f t="shared" si="1"/>
        <v>34658.6</v>
      </c>
      <c r="F116" s="17">
        <v>25753</v>
      </c>
      <c r="G116" s="17">
        <v>26600</v>
      </c>
      <c r="H116" s="17">
        <v>27069</v>
      </c>
      <c r="I116" s="17">
        <v>19181</v>
      </c>
      <c r="J116" s="17">
        <v>13496</v>
      </c>
      <c r="K116" s="17">
        <v>8900</v>
      </c>
      <c r="L116" s="17">
        <v>7238</v>
      </c>
      <c r="M116" s="17">
        <v>6307</v>
      </c>
      <c r="N116" s="17">
        <v>6532</v>
      </c>
      <c r="O116" s="17">
        <v>5485</v>
      </c>
      <c r="P116" s="17">
        <v>5117</v>
      </c>
      <c r="Q116" s="17">
        <v>4348</v>
      </c>
      <c r="R116" s="17">
        <v>2772</v>
      </c>
      <c r="S116" s="17">
        <v>2569</v>
      </c>
      <c r="T116" s="17">
        <v>1690</v>
      </c>
      <c r="U116" s="17">
        <v>1368</v>
      </c>
      <c r="V116" s="17">
        <v>975</v>
      </c>
    </row>
    <row r="117" spans="1:22" x14ac:dyDescent="0.2">
      <c r="A117" s="18" t="s">
        <v>91</v>
      </c>
      <c r="B117" s="18" t="s">
        <v>262</v>
      </c>
      <c r="C117" s="17">
        <v>26668</v>
      </c>
      <c r="D117" s="17">
        <v>4900.8</v>
      </c>
      <c r="E117" s="17">
        <f t="shared" si="1"/>
        <v>31568.799999999999</v>
      </c>
      <c r="F117" s="17">
        <v>24504</v>
      </c>
      <c r="G117" s="17">
        <v>24439</v>
      </c>
      <c r="H117" s="17">
        <v>24293</v>
      </c>
      <c r="I117" s="17">
        <v>18321</v>
      </c>
      <c r="J117" s="17">
        <v>14426</v>
      </c>
      <c r="K117" s="17">
        <v>9694</v>
      </c>
      <c r="L117" s="17">
        <v>8047</v>
      </c>
      <c r="M117" s="17">
        <v>6735</v>
      </c>
      <c r="N117" s="17">
        <v>6956</v>
      </c>
      <c r="O117" s="17">
        <v>6192</v>
      </c>
      <c r="P117" s="17">
        <v>5258</v>
      </c>
      <c r="Q117" s="17">
        <v>4057</v>
      </c>
      <c r="R117" s="17">
        <v>2334</v>
      </c>
      <c r="S117" s="17">
        <v>2315</v>
      </c>
      <c r="T117" s="17">
        <v>1595</v>
      </c>
      <c r="U117" s="17">
        <v>1295</v>
      </c>
      <c r="V117" s="17">
        <v>1189</v>
      </c>
    </row>
    <row r="118" spans="1:22" x14ac:dyDescent="0.2">
      <c r="A118" s="18" t="s">
        <v>91</v>
      </c>
      <c r="B118" s="18" t="s">
        <v>261</v>
      </c>
      <c r="C118" s="17">
        <v>13933</v>
      </c>
      <c r="D118" s="17">
        <v>2462.4</v>
      </c>
      <c r="E118" s="17">
        <f t="shared" si="1"/>
        <v>16395.400000000001</v>
      </c>
      <c r="F118" s="17">
        <v>12312</v>
      </c>
      <c r="G118" s="17">
        <v>13057</v>
      </c>
      <c r="H118" s="17">
        <v>13304</v>
      </c>
      <c r="I118" s="17">
        <v>8246</v>
      </c>
      <c r="J118" s="17">
        <v>5762</v>
      </c>
      <c r="K118" s="17">
        <v>4103</v>
      </c>
      <c r="L118" s="17">
        <v>3657</v>
      </c>
      <c r="M118" s="17">
        <v>3289</v>
      </c>
      <c r="N118" s="17">
        <v>3477</v>
      </c>
      <c r="O118" s="17">
        <v>3114</v>
      </c>
      <c r="P118" s="17">
        <v>3030</v>
      </c>
      <c r="Q118" s="17">
        <v>3147</v>
      </c>
      <c r="R118" s="17">
        <v>1890</v>
      </c>
      <c r="S118" s="17">
        <v>1668</v>
      </c>
      <c r="T118" s="17">
        <v>1086</v>
      </c>
      <c r="U118" s="17">
        <v>942</v>
      </c>
      <c r="V118" s="17">
        <v>707</v>
      </c>
    </row>
    <row r="119" spans="1:22" x14ac:dyDescent="0.2">
      <c r="A119" s="18" t="s">
        <v>91</v>
      </c>
      <c r="B119" s="18" t="s">
        <v>260</v>
      </c>
      <c r="C119" s="17">
        <v>17650</v>
      </c>
      <c r="D119" s="17">
        <v>2898.4</v>
      </c>
      <c r="E119" s="17">
        <f t="shared" si="1"/>
        <v>20548.400000000001</v>
      </c>
      <c r="F119" s="17">
        <v>14492</v>
      </c>
      <c r="G119" s="17">
        <v>14100</v>
      </c>
      <c r="H119" s="17">
        <v>15429</v>
      </c>
      <c r="I119" s="17">
        <v>15199</v>
      </c>
      <c r="J119" s="17">
        <v>13734</v>
      </c>
      <c r="K119" s="17">
        <v>10169</v>
      </c>
      <c r="L119" s="17">
        <v>8297</v>
      </c>
      <c r="M119" s="17">
        <v>6448</v>
      </c>
      <c r="N119" s="17">
        <v>5921</v>
      </c>
      <c r="O119" s="17">
        <v>4510</v>
      </c>
      <c r="P119" s="17">
        <v>3601</v>
      </c>
      <c r="Q119" s="17">
        <v>3167</v>
      </c>
      <c r="R119" s="17">
        <v>1852</v>
      </c>
      <c r="S119" s="17">
        <v>1449</v>
      </c>
      <c r="T119" s="17">
        <v>957</v>
      </c>
      <c r="U119" s="17">
        <v>647</v>
      </c>
      <c r="V119" s="17">
        <v>456</v>
      </c>
    </row>
    <row r="120" spans="1:22" x14ac:dyDescent="0.2">
      <c r="A120" s="18" t="s">
        <v>91</v>
      </c>
      <c r="B120" s="18" t="s">
        <v>259</v>
      </c>
      <c r="C120" s="17">
        <v>26531</v>
      </c>
      <c r="D120" s="17">
        <v>4181.6000000000004</v>
      </c>
      <c r="E120" s="17">
        <f t="shared" si="1"/>
        <v>30712.6</v>
      </c>
      <c r="F120" s="17">
        <v>20908</v>
      </c>
      <c r="G120" s="17">
        <v>19592</v>
      </c>
      <c r="H120" s="17">
        <v>21059</v>
      </c>
      <c r="I120" s="17">
        <v>25969</v>
      </c>
      <c r="J120" s="17">
        <v>26710</v>
      </c>
      <c r="K120" s="17">
        <v>19970</v>
      </c>
      <c r="L120" s="17">
        <v>16888</v>
      </c>
      <c r="M120" s="17">
        <v>12967</v>
      </c>
      <c r="N120" s="17">
        <v>10302</v>
      </c>
      <c r="O120" s="17">
        <v>8138</v>
      </c>
      <c r="P120" s="17">
        <v>6513</v>
      </c>
      <c r="Q120" s="17">
        <v>5640</v>
      </c>
      <c r="R120" s="17">
        <v>3803</v>
      </c>
      <c r="S120" s="17">
        <v>2837</v>
      </c>
      <c r="T120" s="17">
        <v>1588</v>
      </c>
      <c r="U120" s="17">
        <v>1010</v>
      </c>
      <c r="V120" s="17">
        <v>761</v>
      </c>
    </row>
    <row r="121" spans="1:22" x14ac:dyDescent="0.2">
      <c r="A121" s="18" t="s">
        <v>91</v>
      </c>
      <c r="B121" s="18" t="s">
        <v>258</v>
      </c>
      <c r="C121" s="17">
        <v>18903</v>
      </c>
      <c r="D121" s="17">
        <v>3315</v>
      </c>
      <c r="E121" s="17">
        <f t="shared" si="1"/>
        <v>22218</v>
      </c>
      <c r="F121" s="17">
        <v>16575</v>
      </c>
      <c r="G121" s="17">
        <v>16770</v>
      </c>
      <c r="H121" s="17">
        <v>17799</v>
      </c>
      <c r="I121" s="17">
        <v>13296</v>
      </c>
      <c r="J121" s="17">
        <v>10247</v>
      </c>
      <c r="K121" s="17">
        <v>7401</v>
      </c>
      <c r="L121" s="17">
        <v>6368</v>
      </c>
      <c r="M121" s="17">
        <v>5290</v>
      </c>
      <c r="N121" s="17">
        <v>5652</v>
      </c>
      <c r="O121" s="17">
        <v>5153</v>
      </c>
      <c r="P121" s="17">
        <v>4642</v>
      </c>
      <c r="Q121" s="17">
        <v>4319</v>
      </c>
      <c r="R121" s="17">
        <v>2822</v>
      </c>
      <c r="S121" s="17">
        <v>2203</v>
      </c>
      <c r="T121" s="17">
        <v>1359</v>
      </c>
      <c r="U121" s="17">
        <v>1166</v>
      </c>
      <c r="V121" s="17">
        <v>857</v>
      </c>
    </row>
    <row r="122" spans="1:22" x14ac:dyDescent="0.2">
      <c r="A122" s="18" t="s">
        <v>144</v>
      </c>
      <c r="B122" s="18" t="s">
        <v>90</v>
      </c>
      <c r="C122" s="17">
        <v>327972</v>
      </c>
      <c r="D122" s="17">
        <v>53709</v>
      </c>
      <c r="E122" s="17">
        <f t="shared" si="1"/>
        <v>381681</v>
      </c>
      <c r="F122" s="17">
        <v>268545</v>
      </c>
      <c r="G122" s="17">
        <v>269763</v>
      </c>
      <c r="H122" s="17">
        <v>318539</v>
      </c>
      <c r="I122" s="17">
        <v>412726</v>
      </c>
      <c r="J122" s="17">
        <v>395581</v>
      </c>
      <c r="K122" s="17">
        <v>299167</v>
      </c>
      <c r="L122" s="17">
        <v>247382</v>
      </c>
      <c r="M122" s="17">
        <v>199167</v>
      </c>
      <c r="N122" s="17">
        <v>174931</v>
      </c>
      <c r="O122" s="17">
        <v>145722</v>
      </c>
      <c r="P122" s="17">
        <v>119972</v>
      </c>
      <c r="Q122" s="17">
        <v>97501</v>
      </c>
      <c r="R122" s="17">
        <v>63492</v>
      </c>
      <c r="S122" s="17">
        <v>44833</v>
      </c>
      <c r="T122" s="17">
        <v>27566</v>
      </c>
      <c r="U122" s="17">
        <v>17029</v>
      </c>
      <c r="V122" s="17">
        <v>12473</v>
      </c>
    </row>
    <row r="123" spans="1:22" x14ac:dyDescent="0.2">
      <c r="A123" s="18" t="s">
        <v>85</v>
      </c>
      <c r="B123" s="18" t="s">
        <v>257</v>
      </c>
      <c r="C123" s="17">
        <v>32143</v>
      </c>
      <c r="D123" s="17">
        <v>5837.2</v>
      </c>
      <c r="E123" s="17">
        <f t="shared" si="1"/>
        <v>37980.199999999997</v>
      </c>
      <c r="F123" s="17">
        <v>29186</v>
      </c>
      <c r="G123" s="17">
        <v>28441</v>
      </c>
      <c r="H123" s="17">
        <v>32053</v>
      </c>
      <c r="I123" s="17">
        <v>25418</v>
      </c>
      <c r="J123" s="17">
        <v>18079</v>
      </c>
      <c r="K123" s="17">
        <v>13715</v>
      </c>
      <c r="L123" s="17">
        <v>12191</v>
      </c>
      <c r="M123" s="17">
        <v>10137</v>
      </c>
      <c r="N123" s="17">
        <v>9562</v>
      </c>
      <c r="O123" s="17">
        <v>8162</v>
      </c>
      <c r="P123" s="17">
        <v>6208</v>
      </c>
      <c r="Q123" s="17">
        <v>4701</v>
      </c>
      <c r="R123" s="17">
        <v>4069</v>
      </c>
      <c r="S123" s="17">
        <v>4212</v>
      </c>
      <c r="T123" s="17">
        <v>2590</v>
      </c>
      <c r="U123" s="17">
        <v>1907</v>
      </c>
      <c r="V123" s="17">
        <v>1445</v>
      </c>
    </row>
    <row r="124" spans="1:22" x14ac:dyDescent="0.2">
      <c r="A124" s="18" t="s">
        <v>85</v>
      </c>
      <c r="B124" s="18" t="s">
        <v>256</v>
      </c>
      <c r="C124" s="17">
        <v>27135</v>
      </c>
      <c r="D124" s="17">
        <v>4591.6000000000004</v>
      </c>
      <c r="E124" s="17">
        <f t="shared" si="1"/>
        <v>31726.6</v>
      </c>
      <c r="F124" s="17">
        <v>22958</v>
      </c>
      <c r="G124" s="17">
        <v>23294</v>
      </c>
      <c r="H124" s="17">
        <v>28276</v>
      </c>
      <c r="I124" s="17">
        <v>22132</v>
      </c>
      <c r="J124" s="17">
        <v>15535</v>
      </c>
      <c r="K124" s="17">
        <v>11919</v>
      </c>
      <c r="L124" s="17">
        <v>10767</v>
      </c>
      <c r="M124" s="17">
        <v>9329</v>
      </c>
      <c r="N124" s="17">
        <v>8587</v>
      </c>
      <c r="O124" s="17">
        <v>7007</v>
      </c>
      <c r="P124" s="17">
        <v>5934</v>
      </c>
      <c r="Q124" s="17">
        <v>5112</v>
      </c>
      <c r="R124" s="17">
        <v>4460</v>
      </c>
      <c r="S124" s="17">
        <v>4261</v>
      </c>
      <c r="T124" s="17">
        <v>2428</v>
      </c>
      <c r="U124" s="17">
        <v>1924</v>
      </c>
      <c r="V124" s="17">
        <v>1642</v>
      </c>
    </row>
    <row r="125" spans="1:22" x14ac:dyDescent="0.2">
      <c r="A125" s="18" t="s">
        <v>85</v>
      </c>
      <c r="B125" s="18" t="s">
        <v>255</v>
      </c>
      <c r="C125" s="17">
        <v>48009</v>
      </c>
      <c r="D125" s="17">
        <v>7573.2</v>
      </c>
      <c r="E125" s="17">
        <f t="shared" si="1"/>
        <v>55582.2</v>
      </c>
      <c r="F125" s="17">
        <v>37866</v>
      </c>
      <c r="G125" s="17">
        <v>38320</v>
      </c>
      <c r="H125" s="17">
        <v>43282</v>
      </c>
      <c r="I125" s="17">
        <v>40514</v>
      </c>
      <c r="J125" s="17">
        <v>33802</v>
      </c>
      <c r="K125" s="17">
        <v>26433</v>
      </c>
      <c r="L125" s="17">
        <v>23630</v>
      </c>
      <c r="M125" s="17">
        <v>20738</v>
      </c>
      <c r="N125" s="17">
        <v>19015</v>
      </c>
      <c r="O125" s="17">
        <v>14656</v>
      </c>
      <c r="P125" s="17">
        <v>12038</v>
      </c>
      <c r="Q125" s="17">
        <v>9487</v>
      </c>
      <c r="R125" s="17">
        <v>6835</v>
      </c>
      <c r="S125" s="17">
        <v>6036</v>
      </c>
      <c r="T125" s="17">
        <v>3777</v>
      </c>
      <c r="U125" s="17">
        <v>3135</v>
      </c>
      <c r="V125" s="17">
        <v>2519</v>
      </c>
    </row>
    <row r="126" spans="1:22" x14ac:dyDescent="0.2">
      <c r="A126" s="18" t="s">
        <v>85</v>
      </c>
      <c r="B126" s="18" t="s">
        <v>254</v>
      </c>
      <c r="C126" s="17">
        <v>19437</v>
      </c>
      <c r="D126" s="17">
        <v>3077.2</v>
      </c>
      <c r="E126" s="17">
        <f t="shared" si="1"/>
        <v>22514.2</v>
      </c>
      <c r="F126" s="17">
        <v>15386</v>
      </c>
      <c r="G126" s="17">
        <v>14752</v>
      </c>
      <c r="H126" s="17">
        <v>14683</v>
      </c>
      <c r="I126" s="17">
        <v>16140</v>
      </c>
      <c r="J126" s="17">
        <v>14219</v>
      </c>
      <c r="K126" s="17">
        <v>11428</v>
      </c>
      <c r="L126" s="17">
        <v>10057</v>
      </c>
      <c r="M126" s="17">
        <v>8293</v>
      </c>
      <c r="N126" s="17">
        <v>6895</v>
      </c>
      <c r="O126" s="17">
        <v>5550</v>
      </c>
      <c r="P126" s="17">
        <v>4673</v>
      </c>
      <c r="Q126" s="17">
        <v>3286</v>
      </c>
      <c r="R126" s="17">
        <v>2167</v>
      </c>
      <c r="S126" s="17">
        <v>1613</v>
      </c>
      <c r="T126" s="17">
        <v>972</v>
      </c>
      <c r="U126" s="17">
        <v>647</v>
      </c>
      <c r="V126" s="17">
        <v>439</v>
      </c>
    </row>
    <row r="127" spans="1:22" x14ac:dyDescent="0.2">
      <c r="A127" s="18" t="s">
        <v>85</v>
      </c>
      <c r="B127" s="18" t="s">
        <v>253</v>
      </c>
      <c r="C127" s="17">
        <v>12036</v>
      </c>
      <c r="D127" s="17">
        <v>2070.6</v>
      </c>
      <c r="E127" s="17">
        <f t="shared" si="1"/>
        <v>14106.6</v>
      </c>
      <c r="F127" s="17">
        <v>10353</v>
      </c>
      <c r="G127" s="17">
        <v>10198</v>
      </c>
      <c r="H127" s="17">
        <v>11293</v>
      </c>
      <c r="I127" s="17">
        <v>9711</v>
      </c>
      <c r="J127" s="17">
        <v>7964</v>
      </c>
      <c r="K127" s="17">
        <v>6114</v>
      </c>
      <c r="L127" s="17">
        <v>5148</v>
      </c>
      <c r="M127" s="17">
        <v>4726</v>
      </c>
      <c r="N127" s="17">
        <v>4114</v>
      </c>
      <c r="O127" s="17">
        <v>3347</v>
      </c>
      <c r="P127" s="17">
        <v>2601</v>
      </c>
      <c r="Q127" s="17">
        <v>2202</v>
      </c>
      <c r="R127" s="17">
        <v>1528</v>
      </c>
      <c r="S127" s="17">
        <v>1284</v>
      </c>
      <c r="T127" s="17">
        <v>933</v>
      </c>
      <c r="U127" s="17">
        <v>756</v>
      </c>
      <c r="V127" s="17">
        <v>548</v>
      </c>
    </row>
    <row r="128" spans="1:22" x14ac:dyDescent="0.2">
      <c r="A128" s="18" t="s">
        <v>85</v>
      </c>
      <c r="B128" s="18" t="s">
        <v>252</v>
      </c>
      <c r="C128" s="17">
        <v>12017</v>
      </c>
      <c r="D128" s="17">
        <v>2294.8000000000002</v>
      </c>
      <c r="E128" s="17">
        <f t="shared" si="1"/>
        <v>14311.8</v>
      </c>
      <c r="F128" s="17">
        <v>11474</v>
      </c>
      <c r="G128" s="17">
        <v>11596</v>
      </c>
      <c r="H128" s="17">
        <v>11936</v>
      </c>
      <c r="I128" s="17">
        <v>8687</v>
      </c>
      <c r="J128" s="17">
        <v>6367</v>
      </c>
      <c r="K128" s="17">
        <v>5045</v>
      </c>
      <c r="L128" s="17">
        <v>4584</v>
      </c>
      <c r="M128" s="17">
        <v>3939</v>
      </c>
      <c r="N128" s="17">
        <v>3614</v>
      </c>
      <c r="O128" s="17">
        <v>2944</v>
      </c>
      <c r="P128" s="17">
        <v>2143</v>
      </c>
      <c r="Q128" s="17">
        <v>1820</v>
      </c>
      <c r="R128" s="17">
        <v>1284</v>
      </c>
      <c r="S128" s="17">
        <v>1205</v>
      </c>
      <c r="T128" s="17">
        <v>1054</v>
      </c>
      <c r="U128" s="17">
        <v>975</v>
      </c>
      <c r="V128" s="17">
        <v>1188</v>
      </c>
    </row>
    <row r="129" spans="1:22" x14ac:dyDescent="0.2">
      <c r="A129" s="18" t="s">
        <v>85</v>
      </c>
      <c r="B129" s="18" t="s">
        <v>251</v>
      </c>
      <c r="C129" s="17">
        <v>78346</v>
      </c>
      <c r="D129" s="17">
        <v>14011</v>
      </c>
      <c r="E129" s="17">
        <f t="shared" si="1"/>
        <v>92357</v>
      </c>
      <c r="F129" s="17">
        <v>70055</v>
      </c>
      <c r="G129" s="17">
        <v>69475</v>
      </c>
      <c r="H129" s="17">
        <v>80009</v>
      </c>
      <c r="I129" s="17">
        <v>64708</v>
      </c>
      <c r="J129" s="17">
        <v>46286</v>
      </c>
      <c r="K129" s="17">
        <v>36516</v>
      </c>
      <c r="L129" s="17">
        <v>32096</v>
      </c>
      <c r="M129" s="17">
        <v>27381</v>
      </c>
      <c r="N129" s="17">
        <v>26020</v>
      </c>
      <c r="O129" s="17">
        <v>21045</v>
      </c>
      <c r="P129" s="17">
        <v>16192</v>
      </c>
      <c r="Q129" s="17">
        <v>13280</v>
      </c>
      <c r="R129" s="17">
        <v>9477</v>
      </c>
      <c r="S129" s="17">
        <v>8037</v>
      </c>
      <c r="T129" s="17">
        <v>7409</v>
      </c>
      <c r="U129" s="17">
        <v>6717</v>
      </c>
      <c r="V129" s="17">
        <v>5413</v>
      </c>
    </row>
    <row r="130" spans="1:22" x14ac:dyDescent="0.2">
      <c r="A130" s="18" t="s">
        <v>85</v>
      </c>
      <c r="B130" s="18" t="s">
        <v>250</v>
      </c>
      <c r="C130" s="17">
        <v>8739</v>
      </c>
      <c r="D130" s="17">
        <v>1091</v>
      </c>
      <c r="E130" s="17">
        <f t="shared" si="1"/>
        <v>9830</v>
      </c>
      <c r="F130" s="17">
        <v>5455</v>
      </c>
      <c r="G130" s="17">
        <v>5064</v>
      </c>
      <c r="H130" s="17">
        <v>5847</v>
      </c>
      <c r="I130" s="17">
        <v>8542</v>
      </c>
      <c r="J130" s="17">
        <v>9307</v>
      </c>
      <c r="K130" s="17">
        <v>7100</v>
      </c>
      <c r="L130" s="17">
        <v>5625</v>
      </c>
      <c r="M130" s="17">
        <v>3864</v>
      </c>
      <c r="N130" s="17">
        <v>2611</v>
      </c>
      <c r="O130" s="17">
        <v>1995</v>
      </c>
      <c r="P130" s="17">
        <v>1439</v>
      </c>
      <c r="Q130" s="17">
        <v>987</v>
      </c>
      <c r="R130" s="17">
        <v>648</v>
      </c>
      <c r="S130" s="17">
        <v>443</v>
      </c>
      <c r="T130" s="17">
        <v>274</v>
      </c>
      <c r="U130" s="17">
        <v>212</v>
      </c>
      <c r="V130" s="17">
        <v>207</v>
      </c>
    </row>
    <row r="131" spans="1:22" x14ac:dyDescent="0.2">
      <c r="A131" s="18" t="s">
        <v>85</v>
      </c>
      <c r="B131" s="18" t="s">
        <v>249</v>
      </c>
      <c r="C131" s="17">
        <v>64799</v>
      </c>
      <c r="D131" s="17">
        <v>11379.2</v>
      </c>
      <c r="E131" s="17">
        <f t="shared" si="1"/>
        <v>76178.2</v>
      </c>
      <c r="F131" s="17">
        <v>56896</v>
      </c>
      <c r="G131" s="17">
        <v>57676</v>
      </c>
      <c r="H131" s="17">
        <v>61697</v>
      </c>
      <c r="I131" s="17">
        <v>48822</v>
      </c>
      <c r="J131" s="17">
        <v>37868</v>
      </c>
      <c r="K131" s="17">
        <v>31270</v>
      </c>
      <c r="L131" s="17">
        <v>28093</v>
      </c>
      <c r="M131" s="17">
        <v>24511</v>
      </c>
      <c r="N131" s="17">
        <v>22249</v>
      </c>
      <c r="O131" s="17">
        <v>18768</v>
      </c>
      <c r="P131" s="17">
        <v>15327</v>
      </c>
      <c r="Q131" s="17">
        <v>11435</v>
      </c>
      <c r="R131" s="17">
        <v>9672</v>
      </c>
      <c r="S131" s="17">
        <v>8531</v>
      </c>
      <c r="T131" s="17">
        <v>7385</v>
      </c>
      <c r="U131" s="17">
        <v>5895</v>
      </c>
      <c r="V131" s="17">
        <v>5135</v>
      </c>
    </row>
    <row r="132" spans="1:22" x14ac:dyDescent="0.2">
      <c r="A132" s="18" t="s">
        <v>85</v>
      </c>
      <c r="B132" s="18" t="s">
        <v>248</v>
      </c>
      <c r="C132" s="17">
        <v>21829</v>
      </c>
      <c r="D132" s="17">
        <v>4131.8</v>
      </c>
      <c r="E132" s="17">
        <f t="shared" ref="E132:E195" si="2">D132+C132</f>
        <v>25960.799999999999</v>
      </c>
      <c r="F132" s="17">
        <v>20659</v>
      </c>
      <c r="G132" s="17">
        <v>20946</v>
      </c>
      <c r="H132" s="17">
        <v>21724</v>
      </c>
      <c r="I132" s="17">
        <v>15118</v>
      </c>
      <c r="J132" s="17">
        <v>9616</v>
      </c>
      <c r="K132" s="17">
        <v>7557</v>
      </c>
      <c r="L132" s="17">
        <v>6965</v>
      </c>
      <c r="M132" s="17">
        <v>6317</v>
      </c>
      <c r="N132" s="17">
        <v>6285</v>
      </c>
      <c r="O132" s="17">
        <v>4963</v>
      </c>
      <c r="P132" s="17">
        <v>4366</v>
      </c>
      <c r="Q132" s="17">
        <v>4447</v>
      </c>
      <c r="R132" s="17">
        <v>3370</v>
      </c>
      <c r="S132" s="17">
        <v>3240</v>
      </c>
      <c r="T132" s="17">
        <v>2156</v>
      </c>
      <c r="U132" s="17">
        <v>1610</v>
      </c>
      <c r="V132" s="17">
        <v>1462</v>
      </c>
    </row>
    <row r="133" spans="1:22" x14ac:dyDescent="0.2">
      <c r="A133" s="18" t="s">
        <v>85</v>
      </c>
      <c r="B133" s="18" t="s">
        <v>247</v>
      </c>
      <c r="C133" s="17">
        <v>16958</v>
      </c>
      <c r="D133" s="17">
        <v>3169</v>
      </c>
      <c r="E133" s="17">
        <f t="shared" si="2"/>
        <v>20127</v>
      </c>
      <c r="F133" s="17">
        <v>15845</v>
      </c>
      <c r="G133" s="17">
        <v>16203</v>
      </c>
      <c r="H133" s="17">
        <v>17314</v>
      </c>
      <c r="I133" s="17">
        <v>10681</v>
      </c>
      <c r="J133" s="17">
        <v>7098</v>
      </c>
      <c r="K133" s="17">
        <v>5186</v>
      </c>
      <c r="L133" s="17">
        <v>4977</v>
      </c>
      <c r="M133" s="17">
        <v>4785</v>
      </c>
      <c r="N133" s="17">
        <v>5172</v>
      </c>
      <c r="O133" s="17">
        <v>4673</v>
      </c>
      <c r="P133" s="17">
        <v>4522</v>
      </c>
      <c r="Q133" s="17">
        <v>4654</v>
      </c>
      <c r="R133" s="17">
        <v>3660</v>
      </c>
      <c r="S133" s="17">
        <v>3547</v>
      </c>
      <c r="T133" s="17">
        <v>2315</v>
      </c>
      <c r="U133" s="17">
        <v>1796</v>
      </c>
      <c r="V133" s="17">
        <v>1778</v>
      </c>
    </row>
    <row r="134" spans="1:22" x14ac:dyDescent="0.2">
      <c r="A134" s="18" t="s">
        <v>85</v>
      </c>
      <c r="B134" s="18" t="s">
        <v>246</v>
      </c>
      <c r="C134" s="17">
        <v>14133</v>
      </c>
      <c r="D134" s="17">
        <v>2416.1999999999998</v>
      </c>
      <c r="E134" s="17">
        <f t="shared" si="2"/>
        <v>16549.2</v>
      </c>
      <c r="F134" s="17">
        <v>12081</v>
      </c>
      <c r="G134" s="17">
        <v>12321</v>
      </c>
      <c r="H134" s="17">
        <v>13716</v>
      </c>
      <c r="I134" s="17">
        <v>9951</v>
      </c>
      <c r="J134" s="17">
        <v>7573</v>
      </c>
      <c r="K134" s="17">
        <v>5637</v>
      </c>
      <c r="L134" s="17">
        <v>5322</v>
      </c>
      <c r="M134" s="17">
        <v>4726</v>
      </c>
      <c r="N134" s="17">
        <v>4625</v>
      </c>
      <c r="O134" s="17">
        <v>3641</v>
      </c>
      <c r="P134" s="17">
        <v>3374</v>
      </c>
      <c r="Q134" s="17">
        <v>3032</v>
      </c>
      <c r="R134" s="17">
        <v>2357</v>
      </c>
      <c r="S134" s="17">
        <v>2148</v>
      </c>
      <c r="T134" s="17">
        <v>1423</v>
      </c>
      <c r="U134" s="17">
        <v>1222</v>
      </c>
      <c r="V134" s="17">
        <v>1038</v>
      </c>
    </row>
    <row r="135" spans="1:22" x14ac:dyDescent="0.2">
      <c r="A135" s="18" t="s">
        <v>85</v>
      </c>
      <c r="B135" s="18" t="s">
        <v>245</v>
      </c>
      <c r="C135" s="17">
        <v>71317</v>
      </c>
      <c r="D135" s="17">
        <v>11878</v>
      </c>
      <c r="E135" s="17">
        <f t="shared" si="2"/>
        <v>83195</v>
      </c>
      <c r="F135" s="17">
        <v>59390</v>
      </c>
      <c r="G135" s="17">
        <v>58703</v>
      </c>
      <c r="H135" s="17">
        <v>67369</v>
      </c>
      <c r="I135" s="17">
        <v>71195</v>
      </c>
      <c r="J135" s="17">
        <v>60942</v>
      </c>
      <c r="K135" s="17">
        <v>46741</v>
      </c>
      <c r="L135" s="17">
        <v>39932</v>
      </c>
      <c r="M135" s="17">
        <v>34280</v>
      </c>
      <c r="N135" s="17">
        <v>30133</v>
      </c>
      <c r="O135" s="17">
        <v>23257</v>
      </c>
      <c r="P135" s="17">
        <v>19287</v>
      </c>
      <c r="Q135" s="17">
        <v>14581</v>
      </c>
      <c r="R135" s="17">
        <v>10522</v>
      </c>
      <c r="S135" s="17">
        <v>8542</v>
      </c>
      <c r="T135" s="17">
        <v>5449</v>
      </c>
      <c r="U135" s="17">
        <v>3793</v>
      </c>
      <c r="V135" s="17">
        <v>3569</v>
      </c>
    </row>
    <row r="136" spans="1:22" x14ac:dyDescent="0.2">
      <c r="A136" s="18" t="s">
        <v>85</v>
      </c>
      <c r="B136" s="18" t="s">
        <v>244</v>
      </c>
      <c r="C136" s="17">
        <v>30639</v>
      </c>
      <c r="D136" s="17">
        <v>5409.8</v>
      </c>
      <c r="E136" s="17">
        <f t="shared" si="2"/>
        <v>36048.800000000003</v>
      </c>
      <c r="F136" s="17">
        <v>27049</v>
      </c>
      <c r="G136" s="17">
        <v>25229</v>
      </c>
      <c r="H136" s="17">
        <v>27823</v>
      </c>
      <c r="I136" s="17">
        <v>20409</v>
      </c>
      <c r="J136" s="17">
        <v>15565</v>
      </c>
      <c r="K136" s="17">
        <v>11974</v>
      </c>
      <c r="L136" s="17">
        <v>11163</v>
      </c>
      <c r="M136" s="17">
        <v>10363</v>
      </c>
      <c r="N136" s="17">
        <v>9815</v>
      </c>
      <c r="O136" s="17">
        <v>8638</v>
      </c>
      <c r="P136" s="17">
        <v>7462</v>
      </c>
      <c r="Q136" s="17">
        <v>6274</v>
      </c>
      <c r="R136" s="17">
        <v>5200</v>
      </c>
      <c r="S136" s="17">
        <v>4579</v>
      </c>
      <c r="T136" s="17">
        <v>3089</v>
      </c>
      <c r="U136" s="17">
        <v>2655</v>
      </c>
      <c r="V136" s="17">
        <v>2423</v>
      </c>
    </row>
    <row r="137" spans="1:22" x14ac:dyDescent="0.2">
      <c r="A137" s="18" t="s">
        <v>85</v>
      </c>
      <c r="B137" s="18" t="s">
        <v>243</v>
      </c>
      <c r="C137" s="17">
        <v>8089</v>
      </c>
      <c r="D137" s="17">
        <v>1061</v>
      </c>
      <c r="E137" s="17">
        <f t="shared" si="2"/>
        <v>9150</v>
      </c>
      <c r="F137" s="17">
        <v>5305</v>
      </c>
      <c r="G137" s="17">
        <v>4620</v>
      </c>
      <c r="H137" s="17">
        <v>5024</v>
      </c>
      <c r="I137" s="17">
        <v>9230</v>
      </c>
      <c r="J137" s="17">
        <v>11805</v>
      </c>
      <c r="K137" s="17">
        <v>9897</v>
      </c>
      <c r="L137" s="17">
        <v>7979</v>
      </c>
      <c r="M137" s="17">
        <v>6220</v>
      </c>
      <c r="N137" s="17">
        <v>5877</v>
      </c>
      <c r="O137" s="17">
        <v>4672</v>
      </c>
      <c r="P137" s="17">
        <v>2989</v>
      </c>
      <c r="Q137" s="17">
        <v>1461</v>
      </c>
      <c r="R137" s="17">
        <v>846</v>
      </c>
      <c r="S137" s="17">
        <v>536</v>
      </c>
      <c r="T137" s="17">
        <v>302</v>
      </c>
      <c r="U137" s="17">
        <v>216</v>
      </c>
      <c r="V137" s="17">
        <v>167</v>
      </c>
    </row>
    <row r="138" spans="1:22" x14ac:dyDescent="0.2">
      <c r="A138" s="18" t="s">
        <v>85</v>
      </c>
      <c r="B138" s="18" t="s">
        <v>242</v>
      </c>
      <c r="C138" s="17">
        <v>11891</v>
      </c>
      <c r="D138" s="17">
        <v>1892.8</v>
      </c>
      <c r="E138" s="17">
        <f t="shared" si="2"/>
        <v>13783.8</v>
      </c>
      <c r="F138" s="17">
        <v>9464</v>
      </c>
      <c r="G138" s="17">
        <v>8985</v>
      </c>
      <c r="H138" s="17">
        <v>10059</v>
      </c>
      <c r="I138" s="17">
        <v>14990</v>
      </c>
      <c r="J138" s="17">
        <v>14677</v>
      </c>
      <c r="K138" s="17">
        <v>10533</v>
      </c>
      <c r="L138" s="17">
        <v>8082</v>
      </c>
      <c r="M138" s="17">
        <v>6157</v>
      </c>
      <c r="N138" s="17">
        <v>5678</v>
      </c>
      <c r="O138" s="17">
        <v>4564</v>
      </c>
      <c r="P138" s="17">
        <v>3472</v>
      </c>
      <c r="Q138" s="17">
        <v>2479</v>
      </c>
      <c r="R138" s="17">
        <v>1472</v>
      </c>
      <c r="S138" s="17">
        <v>1293</v>
      </c>
      <c r="T138" s="17">
        <v>888</v>
      </c>
      <c r="U138" s="17">
        <v>576</v>
      </c>
      <c r="V138" s="17">
        <v>507</v>
      </c>
    </row>
    <row r="139" spans="1:22" x14ac:dyDescent="0.2">
      <c r="A139" s="18" t="s">
        <v>85</v>
      </c>
      <c r="B139" s="18" t="s">
        <v>241</v>
      </c>
      <c r="C139" s="17">
        <v>3964</v>
      </c>
      <c r="D139" s="17">
        <v>523</v>
      </c>
      <c r="E139" s="17">
        <f t="shared" si="2"/>
        <v>4487</v>
      </c>
      <c r="F139" s="17">
        <v>2615</v>
      </c>
      <c r="G139" s="17">
        <v>2574</v>
      </c>
      <c r="H139" s="17">
        <v>2615</v>
      </c>
      <c r="I139" s="17">
        <v>3998</v>
      </c>
      <c r="J139" s="17">
        <v>4093</v>
      </c>
      <c r="K139" s="17">
        <v>3013</v>
      </c>
      <c r="L139" s="17">
        <v>2623</v>
      </c>
      <c r="M139" s="17">
        <v>2190</v>
      </c>
      <c r="N139" s="17">
        <v>1874</v>
      </c>
      <c r="O139" s="17">
        <v>1427</v>
      </c>
      <c r="P139" s="17">
        <v>1179</v>
      </c>
      <c r="Q139" s="17">
        <v>1083</v>
      </c>
      <c r="R139" s="17">
        <v>824</v>
      </c>
      <c r="S139" s="17">
        <v>663</v>
      </c>
      <c r="T139" s="17">
        <v>449</v>
      </c>
      <c r="U139" s="17">
        <v>276</v>
      </c>
      <c r="V139" s="17">
        <v>180</v>
      </c>
    </row>
    <row r="140" spans="1:22" x14ac:dyDescent="0.2">
      <c r="A140" s="18" t="s">
        <v>85</v>
      </c>
      <c r="B140" s="18" t="s">
        <v>240</v>
      </c>
      <c r="C140" s="17">
        <v>8130</v>
      </c>
      <c r="D140" s="17">
        <v>1355.2</v>
      </c>
      <c r="E140" s="17">
        <f t="shared" si="2"/>
        <v>9485.2000000000007</v>
      </c>
      <c r="F140" s="17">
        <v>6776</v>
      </c>
      <c r="G140" s="17">
        <v>6218</v>
      </c>
      <c r="H140" s="17">
        <v>6202</v>
      </c>
      <c r="I140" s="17">
        <v>7029</v>
      </c>
      <c r="J140" s="17">
        <v>6784</v>
      </c>
      <c r="K140" s="17">
        <v>5458</v>
      </c>
      <c r="L140" s="17">
        <v>4821</v>
      </c>
      <c r="M140" s="17">
        <v>3816</v>
      </c>
      <c r="N140" s="17">
        <v>3344</v>
      </c>
      <c r="O140" s="17">
        <v>2576</v>
      </c>
      <c r="P140" s="17">
        <v>2124</v>
      </c>
      <c r="Q140" s="17">
        <v>1527</v>
      </c>
      <c r="R140" s="17">
        <v>1284</v>
      </c>
      <c r="S140" s="17">
        <v>1080</v>
      </c>
      <c r="T140" s="17">
        <v>640</v>
      </c>
      <c r="U140" s="17">
        <v>406</v>
      </c>
      <c r="V140" s="17">
        <v>297</v>
      </c>
    </row>
    <row r="141" spans="1:22" x14ac:dyDescent="0.2">
      <c r="A141" s="18" t="s">
        <v>85</v>
      </c>
      <c r="B141" s="18" t="s">
        <v>239</v>
      </c>
      <c r="C141" s="17">
        <v>6956</v>
      </c>
      <c r="D141" s="17">
        <v>1211.8</v>
      </c>
      <c r="E141" s="17">
        <f t="shared" si="2"/>
        <v>8167.8</v>
      </c>
      <c r="F141" s="17">
        <v>6059</v>
      </c>
      <c r="G141" s="17">
        <v>5651</v>
      </c>
      <c r="H141" s="17">
        <v>5734</v>
      </c>
      <c r="I141" s="17">
        <v>6821</v>
      </c>
      <c r="J141" s="17">
        <v>6707</v>
      </c>
      <c r="K141" s="17">
        <v>5305</v>
      </c>
      <c r="L141" s="17">
        <v>4613</v>
      </c>
      <c r="M141" s="17">
        <v>3980</v>
      </c>
      <c r="N141" s="17">
        <v>3493</v>
      </c>
      <c r="O141" s="17">
        <v>2931</v>
      </c>
      <c r="P141" s="17">
        <v>2356</v>
      </c>
      <c r="Q141" s="17">
        <v>1938</v>
      </c>
      <c r="R141" s="17">
        <v>1439</v>
      </c>
      <c r="S141" s="17">
        <v>1045</v>
      </c>
      <c r="T141" s="17">
        <v>725</v>
      </c>
      <c r="U141" s="17">
        <v>440</v>
      </c>
      <c r="V141" s="17">
        <v>307</v>
      </c>
    </row>
    <row r="142" spans="1:22" x14ac:dyDescent="0.2">
      <c r="A142" s="18" t="s">
        <v>85</v>
      </c>
      <c r="B142" s="18" t="s">
        <v>238</v>
      </c>
      <c r="C142" s="17">
        <v>39189</v>
      </c>
      <c r="D142" s="17">
        <v>6750.2</v>
      </c>
      <c r="E142" s="17">
        <f t="shared" si="2"/>
        <v>45939.199999999997</v>
      </c>
      <c r="F142" s="17">
        <v>33751</v>
      </c>
      <c r="G142" s="17">
        <v>32704</v>
      </c>
      <c r="H142" s="17">
        <v>36240</v>
      </c>
      <c r="I142" s="17">
        <v>29078</v>
      </c>
      <c r="J142" s="17">
        <v>23236</v>
      </c>
      <c r="K142" s="17">
        <v>17990</v>
      </c>
      <c r="L142" s="17">
        <v>16459</v>
      </c>
      <c r="M142" s="17">
        <v>13598</v>
      </c>
      <c r="N142" s="17">
        <v>13388</v>
      </c>
      <c r="O142" s="17">
        <v>11222</v>
      </c>
      <c r="P142" s="17">
        <v>9796</v>
      </c>
      <c r="Q142" s="17">
        <v>8356</v>
      </c>
      <c r="R142" s="17">
        <v>6645</v>
      </c>
      <c r="S142" s="17">
        <v>6587</v>
      </c>
      <c r="T142" s="17">
        <v>3964</v>
      </c>
      <c r="U142" s="17">
        <v>2999</v>
      </c>
      <c r="V142" s="17">
        <v>2480</v>
      </c>
    </row>
    <row r="143" spans="1:22" x14ac:dyDescent="0.2">
      <c r="A143" s="18" t="s">
        <v>85</v>
      </c>
      <c r="B143" s="18" t="s">
        <v>237</v>
      </c>
      <c r="C143" s="17">
        <v>16562</v>
      </c>
      <c r="D143" s="17">
        <v>2849.2</v>
      </c>
      <c r="E143" s="17">
        <f t="shared" si="2"/>
        <v>19411.2</v>
      </c>
      <c r="F143" s="17">
        <v>14246</v>
      </c>
      <c r="G143" s="17">
        <v>13107</v>
      </c>
      <c r="H143" s="17">
        <v>14127</v>
      </c>
      <c r="I143" s="17">
        <v>12021</v>
      </c>
      <c r="J143" s="17">
        <v>9612</v>
      </c>
      <c r="K143" s="17">
        <v>7204</v>
      </c>
      <c r="L143" s="17">
        <v>6388</v>
      </c>
      <c r="M143" s="17">
        <v>5486</v>
      </c>
      <c r="N143" s="17">
        <v>5128</v>
      </c>
      <c r="O143" s="17">
        <v>4305</v>
      </c>
      <c r="P143" s="17">
        <v>3694</v>
      </c>
      <c r="Q143" s="17">
        <v>3206</v>
      </c>
      <c r="R143" s="17">
        <v>2685</v>
      </c>
      <c r="S143" s="17">
        <v>2209</v>
      </c>
      <c r="T143" s="17">
        <v>1347</v>
      </c>
      <c r="U143" s="17">
        <v>1238</v>
      </c>
      <c r="V143" s="17">
        <v>1082</v>
      </c>
    </row>
    <row r="144" spans="1:22" x14ac:dyDescent="0.2">
      <c r="A144" s="18" t="s">
        <v>85</v>
      </c>
      <c r="B144" s="18" t="s">
        <v>236</v>
      </c>
      <c r="C144" s="17">
        <v>33204</v>
      </c>
      <c r="D144" s="17">
        <v>5820.2</v>
      </c>
      <c r="E144" s="17">
        <f t="shared" si="2"/>
        <v>39024.199999999997</v>
      </c>
      <c r="F144" s="17">
        <v>29101</v>
      </c>
      <c r="G144" s="17">
        <v>27790</v>
      </c>
      <c r="H144" s="17">
        <v>29503</v>
      </c>
      <c r="I144" s="17">
        <v>24533</v>
      </c>
      <c r="J144" s="17">
        <v>18275</v>
      </c>
      <c r="K144" s="17">
        <v>13854</v>
      </c>
      <c r="L144" s="17">
        <v>12244</v>
      </c>
      <c r="M144" s="17">
        <v>10335</v>
      </c>
      <c r="N144" s="17">
        <v>10210</v>
      </c>
      <c r="O144" s="17">
        <v>8422</v>
      </c>
      <c r="P144" s="17">
        <v>7467</v>
      </c>
      <c r="Q144" s="17">
        <v>6851</v>
      </c>
      <c r="R144" s="17">
        <v>5885</v>
      </c>
      <c r="S144" s="17">
        <v>4485</v>
      </c>
      <c r="T144" s="17">
        <v>2687</v>
      </c>
      <c r="U144" s="17">
        <v>2329</v>
      </c>
      <c r="V144" s="17">
        <v>2188</v>
      </c>
    </row>
    <row r="145" spans="1:22" x14ac:dyDescent="0.2">
      <c r="A145" s="18" t="s">
        <v>85</v>
      </c>
      <c r="B145" s="18" t="s">
        <v>235</v>
      </c>
      <c r="C145" s="17">
        <v>38243</v>
      </c>
      <c r="D145" s="17">
        <v>6807.2</v>
      </c>
      <c r="E145" s="17">
        <f t="shared" si="2"/>
        <v>45050.2</v>
      </c>
      <c r="F145" s="17">
        <v>34036</v>
      </c>
      <c r="G145" s="17">
        <v>32187</v>
      </c>
      <c r="H145" s="17">
        <v>33306</v>
      </c>
      <c r="I145" s="17">
        <v>23604</v>
      </c>
      <c r="J145" s="17">
        <v>17720</v>
      </c>
      <c r="K145" s="17">
        <v>14032</v>
      </c>
      <c r="L145" s="17">
        <v>12523</v>
      </c>
      <c r="M145" s="17">
        <v>11164</v>
      </c>
      <c r="N145" s="17">
        <v>10407</v>
      </c>
      <c r="O145" s="17">
        <v>8972</v>
      </c>
      <c r="P145" s="17">
        <v>8452</v>
      </c>
      <c r="Q145" s="17">
        <v>7782</v>
      </c>
      <c r="R145" s="17">
        <v>6950</v>
      </c>
      <c r="S145" s="17">
        <v>5675</v>
      </c>
      <c r="T145" s="17">
        <v>3615</v>
      </c>
      <c r="U145" s="17">
        <v>2966</v>
      </c>
      <c r="V145" s="17">
        <v>2721</v>
      </c>
    </row>
    <row r="146" spans="1:22" x14ac:dyDescent="0.2">
      <c r="A146" s="18" t="s">
        <v>85</v>
      </c>
      <c r="B146" s="18" t="s">
        <v>234</v>
      </c>
      <c r="C146" s="17">
        <v>12227</v>
      </c>
      <c r="D146" s="17">
        <v>2173.8000000000002</v>
      </c>
      <c r="E146" s="17">
        <f t="shared" si="2"/>
        <v>14400.8</v>
      </c>
      <c r="F146" s="17">
        <v>10869</v>
      </c>
      <c r="G146" s="17">
        <v>10114</v>
      </c>
      <c r="H146" s="17">
        <v>10882</v>
      </c>
      <c r="I146" s="17">
        <v>8355</v>
      </c>
      <c r="J146" s="17">
        <v>7006</v>
      </c>
      <c r="K146" s="17">
        <v>5351</v>
      </c>
      <c r="L146" s="17">
        <v>4657</v>
      </c>
      <c r="M146" s="17">
        <v>4024</v>
      </c>
      <c r="N146" s="17">
        <v>4016</v>
      </c>
      <c r="O146" s="17">
        <v>3243</v>
      </c>
      <c r="P146" s="17">
        <v>2965</v>
      </c>
      <c r="Q146" s="17">
        <v>2472</v>
      </c>
      <c r="R146" s="17">
        <v>2294</v>
      </c>
      <c r="S146" s="17">
        <v>2013</v>
      </c>
      <c r="T146" s="17">
        <v>1306</v>
      </c>
      <c r="U146" s="17">
        <v>1009</v>
      </c>
      <c r="V146" s="17">
        <v>991</v>
      </c>
    </row>
    <row r="147" spans="1:22" x14ac:dyDescent="0.2">
      <c r="A147" s="18" t="s">
        <v>85</v>
      </c>
      <c r="B147" s="18" t="s">
        <v>233</v>
      </c>
      <c r="C147" s="17">
        <v>44168</v>
      </c>
      <c r="D147" s="17">
        <v>7417.8</v>
      </c>
      <c r="E147" s="17">
        <f t="shared" si="2"/>
        <v>51585.8</v>
      </c>
      <c r="F147" s="17">
        <v>37089</v>
      </c>
      <c r="G147" s="17">
        <v>34718</v>
      </c>
      <c r="H147" s="17">
        <v>36620</v>
      </c>
      <c r="I147" s="17">
        <v>35877</v>
      </c>
      <c r="J147" s="17">
        <v>31754</v>
      </c>
      <c r="K147" s="17">
        <v>24568</v>
      </c>
      <c r="L147" s="17">
        <v>19300</v>
      </c>
      <c r="M147" s="17">
        <v>15363</v>
      </c>
      <c r="N147" s="17">
        <v>14201</v>
      </c>
      <c r="O147" s="17">
        <v>10013</v>
      </c>
      <c r="P147" s="17">
        <v>8534</v>
      </c>
      <c r="Q147" s="17">
        <v>6493</v>
      </c>
      <c r="R147" s="17">
        <v>5448</v>
      </c>
      <c r="S147" s="17">
        <v>4394</v>
      </c>
      <c r="T147" s="17">
        <v>2814</v>
      </c>
      <c r="U147" s="17">
        <v>2197</v>
      </c>
      <c r="V147" s="17">
        <v>2124</v>
      </c>
    </row>
    <row r="148" spans="1:22" x14ac:dyDescent="0.2">
      <c r="A148" s="18" t="s">
        <v>81</v>
      </c>
      <c r="B148" s="18" t="s">
        <v>232</v>
      </c>
      <c r="C148" s="17">
        <v>23414</v>
      </c>
      <c r="D148" s="17">
        <v>4467.2</v>
      </c>
      <c r="E148" s="17">
        <f t="shared" si="2"/>
        <v>27881.200000000001</v>
      </c>
      <c r="F148" s="17">
        <v>22336</v>
      </c>
      <c r="G148" s="17">
        <v>22052</v>
      </c>
      <c r="H148" s="17">
        <v>23563</v>
      </c>
      <c r="I148" s="17">
        <v>18719</v>
      </c>
      <c r="J148" s="17">
        <v>14702</v>
      </c>
      <c r="K148" s="17">
        <v>10143</v>
      </c>
      <c r="L148" s="17">
        <v>8816</v>
      </c>
      <c r="M148" s="17">
        <v>8198</v>
      </c>
      <c r="N148" s="17">
        <v>7452</v>
      </c>
      <c r="O148" s="17">
        <v>6561</v>
      </c>
      <c r="P148" s="17">
        <v>5743</v>
      </c>
      <c r="Q148" s="17">
        <v>4444</v>
      </c>
      <c r="R148" s="17">
        <v>3096</v>
      </c>
      <c r="S148" s="17">
        <v>2698</v>
      </c>
      <c r="T148" s="17">
        <v>1667</v>
      </c>
      <c r="U148" s="17">
        <v>1240</v>
      </c>
      <c r="V148" s="17">
        <v>1166</v>
      </c>
    </row>
    <row r="149" spans="1:22" x14ac:dyDescent="0.2">
      <c r="A149" s="18" t="s">
        <v>81</v>
      </c>
      <c r="B149" s="18" t="s">
        <v>231</v>
      </c>
      <c r="C149" s="17">
        <v>16575</v>
      </c>
      <c r="D149" s="17">
        <v>2972.2</v>
      </c>
      <c r="E149" s="17">
        <f t="shared" si="2"/>
        <v>19547.2</v>
      </c>
      <c r="F149" s="17">
        <v>14861</v>
      </c>
      <c r="G149" s="17">
        <v>13974</v>
      </c>
      <c r="H149" s="17">
        <v>15073</v>
      </c>
      <c r="I149" s="17">
        <v>15997</v>
      </c>
      <c r="J149" s="17">
        <v>15489</v>
      </c>
      <c r="K149" s="17">
        <v>11188</v>
      </c>
      <c r="L149" s="17">
        <v>9535</v>
      </c>
      <c r="M149" s="17">
        <v>8316</v>
      </c>
      <c r="N149" s="17">
        <v>7348</v>
      </c>
      <c r="O149" s="17">
        <v>6239</v>
      </c>
      <c r="P149" s="17">
        <v>5090</v>
      </c>
      <c r="Q149" s="17">
        <v>3625</v>
      </c>
      <c r="R149" s="17">
        <v>2160</v>
      </c>
      <c r="S149" s="17">
        <v>1731</v>
      </c>
      <c r="T149" s="17">
        <v>1004</v>
      </c>
      <c r="U149" s="17">
        <v>661</v>
      </c>
      <c r="V149" s="17">
        <v>511</v>
      </c>
    </row>
    <row r="150" spans="1:22" x14ac:dyDescent="0.2">
      <c r="A150" s="18" t="s">
        <v>81</v>
      </c>
      <c r="B150" s="18" t="s">
        <v>230</v>
      </c>
      <c r="C150" s="17">
        <v>21686</v>
      </c>
      <c r="D150" s="17">
        <v>4216.2</v>
      </c>
      <c r="E150" s="17">
        <f t="shared" si="2"/>
        <v>25902.2</v>
      </c>
      <c r="F150" s="17">
        <v>21081</v>
      </c>
      <c r="G150" s="17">
        <v>20156</v>
      </c>
      <c r="H150" s="17">
        <v>19926</v>
      </c>
      <c r="I150" s="17">
        <v>17458</v>
      </c>
      <c r="J150" s="17">
        <v>14564</v>
      </c>
      <c r="K150" s="17">
        <v>10551</v>
      </c>
      <c r="L150" s="17">
        <v>9641</v>
      </c>
      <c r="M150" s="17">
        <v>8172</v>
      </c>
      <c r="N150" s="17">
        <v>7273</v>
      </c>
      <c r="O150" s="17">
        <v>5792</v>
      </c>
      <c r="P150" s="17">
        <v>4828</v>
      </c>
      <c r="Q150" s="17">
        <v>3576</v>
      </c>
      <c r="R150" s="17">
        <v>2457</v>
      </c>
      <c r="S150" s="17">
        <v>2109</v>
      </c>
      <c r="T150" s="17">
        <v>1104</v>
      </c>
      <c r="U150" s="17">
        <v>939</v>
      </c>
      <c r="V150" s="17">
        <v>671</v>
      </c>
    </row>
    <row r="151" spans="1:22" x14ac:dyDescent="0.2">
      <c r="A151" s="18" t="s">
        <v>81</v>
      </c>
      <c r="B151" s="18" t="s">
        <v>229</v>
      </c>
      <c r="C151" s="17">
        <v>10203</v>
      </c>
      <c r="D151" s="17">
        <v>1896.6</v>
      </c>
      <c r="E151" s="17">
        <f t="shared" si="2"/>
        <v>12099.6</v>
      </c>
      <c r="F151" s="17">
        <v>9483</v>
      </c>
      <c r="G151" s="17">
        <v>9364</v>
      </c>
      <c r="H151" s="17">
        <v>9175</v>
      </c>
      <c r="I151" s="17">
        <v>7955</v>
      </c>
      <c r="J151" s="17">
        <v>6490</v>
      </c>
      <c r="K151" s="17">
        <v>5049</v>
      </c>
      <c r="L151" s="17">
        <v>4461</v>
      </c>
      <c r="M151" s="17">
        <v>4016</v>
      </c>
      <c r="N151" s="17">
        <v>3811</v>
      </c>
      <c r="O151" s="17">
        <v>3311</v>
      </c>
      <c r="P151" s="17">
        <v>2898</v>
      </c>
      <c r="Q151" s="17">
        <v>2285</v>
      </c>
      <c r="R151" s="17">
        <v>1638</v>
      </c>
      <c r="S151" s="17">
        <v>1307</v>
      </c>
      <c r="T151" s="17">
        <v>803</v>
      </c>
      <c r="U151" s="17">
        <v>537</v>
      </c>
      <c r="V151" s="17">
        <v>450</v>
      </c>
    </row>
    <row r="152" spans="1:22" x14ac:dyDescent="0.2">
      <c r="A152" s="18" t="s">
        <v>81</v>
      </c>
      <c r="B152" s="18" t="s">
        <v>228</v>
      </c>
      <c r="C152" s="17">
        <v>12021</v>
      </c>
      <c r="D152" s="17">
        <v>2111.1999999999998</v>
      </c>
      <c r="E152" s="17">
        <f t="shared" si="2"/>
        <v>14132.2</v>
      </c>
      <c r="F152" s="17">
        <v>10556</v>
      </c>
      <c r="G152" s="17">
        <v>10508</v>
      </c>
      <c r="H152" s="17">
        <v>11084</v>
      </c>
      <c r="I152" s="17">
        <v>11671</v>
      </c>
      <c r="J152" s="17">
        <v>10917</v>
      </c>
      <c r="K152" s="17">
        <v>8673</v>
      </c>
      <c r="L152" s="17">
        <v>7825</v>
      </c>
      <c r="M152" s="17">
        <v>6804</v>
      </c>
      <c r="N152" s="17">
        <v>6411</v>
      </c>
      <c r="O152" s="17">
        <v>5591</v>
      </c>
      <c r="P152" s="17">
        <v>4556</v>
      </c>
      <c r="Q152" s="17">
        <v>3253</v>
      </c>
      <c r="R152" s="17">
        <v>2237</v>
      </c>
      <c r="S152" s="17">
        <v>1606</v>
      </c>
      <c r="T152" s="17">
        <v>939</v>
      </c>
      <c r="U152" s="17">
        <v>602</v>
      </c>
      <c r="V152" s="17">
        <v>409</v>
      </c>
    </row>
    <row r="153" spans="1:22" x14ac:dyDescent="0.2">
      <c r="A153" s="18" t="s">
        <v>81</v>
      </c>
      <c r="B153" s="18" t="s">
        <v>227</v>
      </c>
      <c r="C153" s="17">
        <v>4592</v>
      </c>
      <c r="D153" s="17">
        <v>745.8</v>
      </c>
      <c r="E153" s="17">
        <f t="shared" si="2"/>
        <v>5337.8</v>
      </c>
      <c r="F153" s="17">
        <v>3729</v>
      </c>
      <c r="G153" s="17">
        <v>3632</v>
      </c>
      <c r="H153" s="17">
        <v>3963</v>
      </c>
      <c r="I153" s="17">
        <v>4217</v>
      </c>
      <c r="J153" s="17">
        <v>4214</v>
      </c>
      <c r="K153" s="17">
        <v>3420</v>
      </c>
      <c r="L153" s="17">
        <v>2917</v>
      </c>
      <c r="M153" s="17">
        <v>2393</v>
      </c>
      <c r="N153" s="17">
        <v>2179</v>
      </c>
      <c r="O153" s="17">
        <v>1822</v>
      </c>
      <c r="P153" s="17">
        <v>1571</v>
      </c>
      <c r="Q153" s="17">
        <v>1264</v>
      </c>
      <c r="R153" s="17">
        <v>925</v>
      </c>
      <c r="S153" s="17">
        <v>717</v>
      </c>
      <c r="T153" s="17">
        <v>399</v>
      </c>
      <c r="U153" s="17">
        <v>249</v>
      </c>
      <c r="V153" s="17">
        <v>186</v>
      </c>
    </row>
    <row r="154" spans="1:22" x14ac:dyDescent="0.2">
      <c r="A154" s="18" t="s">
        <v>81</v>
      </c>
      <c r="B154" s="18" t="s">
        <v>226</v>
      </c>
      <c r="C154" s="17">
        <v>30305</v>
      </c>
      <c r="D154" s="17">
        <v>5120.8</v>
      </c>
      <c r="E154" s="17">
        <f t="shared" si="2"/>
        <v>35425.800000000003</v>
      </c>
      <c r="F154" s="17">
        <v>25604</v>
      </c>
      <c r="G154" s="17">
        <v>23295</v>
      </c>
      <c r="H154" s="17">
        <v>25740</v>
      </c>
      <c r="I154" s="17">
        <v>31710</v>
      </c>
      <c r="J154" s="17">
        <v>33341</v>
      </c>
      <c r="K154" s="17">
        <v>25441</v>
      </c>
      <c r="L154" s="17">
        <v>20822</v>
      </c>
      <c r="M154" s="17">
        <v>18112</v>
      </c>
      <c r="N154" s="17">
        <v>17019</v>
      </c>
      <c r="O154" s="17">
        <v>15079</v>
      </c>
      <c r="P154" s="17">
        <v>10629</v>
      </c>
      <c r="Q154" s="17">
        <v>6580</v>
      </c>
      <c r="R154" s="17">
        <v>4283</v>
      </c>
      <c r="S154" s="17">
        <v>2854</v>
      </c>
      <c r="T154" s="17">
        <v>1826</v>
      </c>
      <c r="U154" s="17">
        <v>1045</v>
      </c>
      <c r="V154" s="17">
        <v>851</v>
      </c>
    </row>
    <row r="155" spans="1:22" x14ac:dyDescent="0.2">
      <c r="A155" s="18" t="s">
        <v>81</v>
      </c>
      <c r="B155" s="18" t="s">
        <v>225</v>
      </c>
      <c r="C155" s="17">
        <v>8053</v>
      </c>
      <c r="D155" s="17">
        <v>1334.4</v>
      </c>
      <c r="E155" s="17">
        <f t="shared" si="2"/>
        <v>9387.4</v>
      </c>
      <c r="F155" s="17">
        <v>6672</v>
      </c>
      <c r="G155" s="17">
        <v>6561</v>
      </c>
      <c r="H155" s="17">
        <v>6780</v>
      </c>
      <c r="I155" s="17">
        <v>7629</v>
      </c>
      <c r="J155" s="17">
        <v>7726</v>
      </c>
      <c r="K155" s="17">
        <v>6107</v>
      </c>
      <c r="L155" s="17">
        <v>5426</v>
      </c>
      <c r="M155" s="17">
        <v>4483</v>
      </c>
      <c r="N155" s="17">
        <v>4213</v>
      </c>
      <c r="O155" s="17">
        <v>3369</v>
      </c>
      <c r="P155" s="17">
        <v>2724</v>
      </c>
      <c r="Q155" s="17">
        <v>2146</v>
      </c>
      <c r="R155" s="17">
        <v>1361</v>
      </c>
      <c r="S155" s="17">
        <v>976</v>
      </c>
      <c r="T155" s="17">
        <v>598</v>
      </c>
      <c r="U155" s="17">
        <v>347</v>
      </c>
      <c r="V155" s="17">
        <v>279</v>
      </c>
    </row>
    <row r="156" spans="1:22" x14ac:dyDescent="0.2">
      <c r="A156" s="18" t="s">
        <v>81</v>
      </c>
      <c r="B156" s="18" t="s">
        <v>224</v>
      </c>
      <c r="C156" s="17">
        <v>39625</v>
      </c>
      <c r="D156" s="17">
        <v>6171</v>
      </c>
      <c r="E156" s="17">
        <f t="shared" si="2"/>
        <v>45796</v>
      </c>
      <c r="F156" s="17">
        <v>30855</v>
      </c>
      <c r="G156" s="17">
        <v>29073</v>
      </c>
      <c r="H156" s="17">
        <v>32214</v>
      </c>
      <c r="I156" s="17">
        <v>44405</v>
      </c>
      <c r="J156" s="17">
        <v>46920</v>
      </c>
      <c r="K156" s="17">
        <v>36199</v>
      </c>
      <c r="L156" s="17">
        <v>30231</v>
      </c>
      <c r="M156" s="17">
        <v>25240</v>
      </c>
      <c r="N156" s="17">
        <v>23026</v>
      </c>
      <c r="O156" s="17">
        <v>19395</v>
      </c>
      <c r="P156" s="17">
        <v>14668</v>
      </c>
      <c r="Q156" s="17">
        <v>9469</v>
      </c>
      <c r="R156" s="17">
        <v>5527</v>
      </c>
      <c r="S156" s="17">
        <v>3975</v>
      </c>
      <c r="T156" s="17">
        <v>2166</v>
      </c>
      <c r="U156" s="17">
        <v>1349</v>
      </c>
      <c r="V156" s="17">
        <v>1128</v>
      </c>
    </row>
    <row r="157" spans="1:22" x14ac:dyDescent="0.2">
      <c r="A157" s="18" t="s">
        <v>81</v>
      </c>
      <c r="B157" s="18" t="s">
        <v>223</v>
      </c>
      <c r="C157" s="17">
        <v>22245</v>
      </c>
      <c r="D157" s="17">
        <v>3621.4</v>
      </c>
      <c r="E157" s="17">
        <f t="shared" si="2"/>
        <v>25866.400000000001</v>
      </c>
      <c r="F157" s="17">
        <v>18107</v>
      </c>
      <c r="G157" s="17">
        <v>17218</v>
      </c>
      <c r="H157" s="17">
        <v>18909</v>
      </c>
      <c r="I157" s="17">
        <v>24141</v>
      </c>
      <c r="J157" s="17">
        <v>25609</v>
      </c>
      <c r="K157" s="17">
        <v>20161</v>
      </c>
      <c r="L157" s="17">
        <v>17957</v>
      </c>
      <c r="M157" s="17">
        <v>15696</v>
      </c>
      <c r="N157" s="17">
        <v>13604</v>
      </c>
      <c r="O157" s="17">
        <v>11539</v>
      </c>
      <c r="P157" s="17">
        <v>8855</v>
      </c>
      <c r="Q157" s="17">
        <v>5940</v>
      </c>
      <c r="R157" s="17">
        <v>3876</v>
      </c>
      <c r="S157" s="17">
        <v>2625</v>
      </c>
      <c r="T157" s="17">
        <v>1592</v>
      </c>
      <c r="U157" s="17">
        <v>1003</v>
      </c>
      <c r="V157" s="17">
        <v>753</v>
      </c>
    </row>
    <row r="158" spans="1:22" x14ac:dyDescent="0.2">
      <c r="A158" s="18" t="s">
        <v>81</v>
      </c>
      <c r="B158" s="18" t="s">
        <v>222</v>
      </c>
      <c r="C158" s="17">
        <v>4859</v>
      </c>
      <c r="D158" s="17">
        <v>842.4</v>
      </c>
      <c r="E158" s="17">
        <f t="shared" si="2"/>
        <v>5701.4</v>
      </c>
      <c r="F158" s="17">
        <v>4212</v>
      </c>
      <c r="G158" s="17">
        <v>4130</v>
      </c>
      <c r="H158" s="17">
        <v>4387</v>
      </c>
      <c r="I158" s="17">
        <v>4799</v>
      </c>
      <c r="J158" s="17">
        <v>4817</v>
      </c>
      <c r="K158" s="17">
        <v>3762</v>
      </c>
      <c r="L158" s="17">
        <v>3215</v>
      </c>
      <c r="M158" s="17">
        <v>2867</v>
      </c>
      <c r="N158" s="17">
        <v>2413</v>
      </c>
      <c r="O158" s="17">
        <v>1975</v>
      </c>
      <c r="P158" s="17">
        <v>1679</v>
      </c>
      <c r="Q158" s="17">
        <v>1355</v>
      </c>
      <c r="R158" s="17">
        <v>1042</v>
      </c>
      <c r="S158" s="17">
        <v>731</v>
      </c>
      <c r="T158" s="17">
        <v>403</v>
      </c>
      <c r="U158" s="17">
        <v>305</v>
      </c>
      <c r="V158" s="17">
        <v>264</v>
      </c>
    </row>
    <row r="159" spans="1:22" x14ac:dyDescent="0.2">
      <c r="A159" s="18" t="s">
        <v>81</v>
      </c>
      <c r="B159" s="18" t="s">
        <v>221</v>
      </c>
      <c r="C159" s="17">
        <v>36227</v>
      </c>
      <c r="D159" s="17">
        <v>6571.8</v>
      </c>
      <c r="E159" s="17">
        <f t="shared" si="2"/>
        <v>42798.8</v>
      </c>
      <c r="F159" s="17">
        <v>32859</v>
      </c>
      <c r="G159" s="17">
        <v>30646</v>
      </c>
      <c r="H159" s="17">
        <v>33783</v>
      </c>
      <c r="I159" s="17">
        <v>31341</v>
      </c>
      <c r="J159" s="17">
        <v>27081</v>
      </c>
      <c r="K159" s="17">
        <v>21346</v>
      </c>
      <c r="L159" s="17">
        <v>18919</v>
      </c>
      <c r="M159" s="17">
        <v>16140</v>
      </c>
      <c r="N159" s="17">
        <v>14986</v>
      </c>
      <c r="O159" s="17">
        <v>12590</v>
      </c>
      <c r="P159" s="17">
        <v>10845</v>
      </c>
      <c r="Q159" s="17">
        <v>8379</v>
      </c>
      <c r="R159" s="17">
        <v>5337</v>
      </c>
      <c r="S159" s="17">
        <v>4000</v>
      </c>
      <c r="T159" s="17">
        <v>2368</v>
      </c>
      <c r="U159" s="17">
        <v>1836</v>
      </c>
      <c r="V159" s="17">
        <v>1776</v>
      </c>
    </row>
    <row r="160" spans="1:22" x14ac:dyDescent="0.2">
      <c r="A160" s="18" t="s">
        <v>81</v>
      </c>
      <c r="B160" s="18" t="s">
        <v>220</v>
      </c>
      <c r="C160" s="17">
        <v>29497</v>
      </c>
      <c r="D160" s="17">
        <v>5289.2</v>
      </c>
      <c r="E160" s="17">
        <f t="shared" si="2"/>
        <v>34786.199999999997</v>
      </c>
      <c r="F160" s="17">
        <v>26446</v>
      </c>
      <c r="G160" s="17">
        <v>25505</v>
      </c>
      <c r="H160" s="17">
        <v>28024</v>
      </c>
      <c r="I160" s="17">
        <v>23799</v>
      </c>
      <c r="J160" s="17">
        <v>19252</v>
      </c>
      <c r="K160" s="17">
        <v>14599</v>
      </c>
      <c r="L160" s="17">
        <v>13016</v>
      </c>
      <c r="M160" s="17">
        <v>11747</v>
      </c>
      <c r="N160" s="17">
        <v>11154</v>
      </c>
      <c r="O160" s="17">
        <v>9652</v>
      </c>
      <c r="P160" s="17">
        <v>9056</v>
      </c>
      <c r="Q160" s="17">
        <v>8157</v>
      </c>
      <c r="R160" s="17">
        <v>6525</v>
      </c>
      <c r="S160" s="17">
        <v>5197</v>
      </c>
      <c r="T160" s="17">
        <v>3153</v>
      </c>
      <c r="U160" s="17">
        <v>2549</v>
      </c>
      <c r="V160" s="17">
        <v>2376</v>
      </c>
    </row>
    <row r="161" spans="1:22" x14ac:dyDescent="0.2">
      <c r="A161" s="18" t="s">
        <v>81</v>
      </c>
      <c r="B161" s="18" t="s">
        <v>219</v>
      </c>
      <c r="C161" s="17">
        <v>9600</v>
      </c>
      <c r="D161" s="17">
        <v>1517.2</v>
      </c>
      <c r="E161" s="17">
        <f t="shared" si="2"/>
        <v>11117.2</v>
      </c>
      <c r="F161" s="17">
        <v>7586</v>
      </c>
      <c r="G161" s="17">
        <v>7577</v>
      </c>
      <c r="H161" s="17">
        <v>8267</v>
      </c>
      <c r="I161" s="17">
        <v>10080</v>
      </c>
      <c r="J161" s="17">
        <v>10829</v>
      </c>
      <c r="K161" s="17">
        <v>8720</v>
      </c>
      <c r="L161" s="17">
        <v>7907</v>
      </c>
      <c r="M161" s="17">
        <v>6684</v>
      </c>
      <c r="N161" s="17">
        <v>5825</v>
      </c>
      <c r="O161" s="17">
        <v>4375</v>
      </c>
      <c r="P161" s="17">
        <v>3612</v>
      </c>
      <c r="Q161" s="17">
        <v>2483</v>
      </c>
      <c r="R161" s="17">
        <v>1736</v>
      </c>
      <c r="S161" s="17">
        <v>1336</v>
      </c>
      <c r="T161" s="17">
        <v>796</v>
      </c>
      <c r="U161" s="17">
        <v>555</v>
      </c>
      <c r="V161" s="17">
        <v>422</v>
      </c>
    </row>
    <row r="162" spans="1:22" x14ac:dyDescent="0.2">
      <c r="A162" s="18" t="s">
        <v>81</v>
      </c>
      <c r="B162" s="18" t="s">
        <v>218</v>
      </c>
      <c r="C162" s="17">
        <v>66275</v>
      </c>
      <c r="D162" s="17">
        <v>10783.8</v>
      </c>
      <c r="E162" s="17">
        <f t="shared" si="2"/>
        <v>77058.8</v>
      </c>
      <c r="F162" s="17">
        <v>53919</v>
      </c>
      <c r="G162" s="17">
        <v>55456</v>
      </c>
      <c r="H162" s="17">
        <v>60401</v>
      </c>
      <c r="I162" s="17">
        <v>66043</v>
      </c>
      <c r="J162" s="17">
        <v>62917</v>
      </c>
      <c r="K162" s="17">
        <v>46582</v>
      </c>
      <c r="L162" s="17">
        <v>40757</v>
      </c>
      <c r="M162" s="17">
        <v>32679</v>
      </c>
      <c r="N162" s="17">
        <v>28503</v>
      </c>
      <c r="O162" s="17">
        <v>20816</v>
      </c>
      <c r="P162" s="17">
        <v>17435</v>
      </c>
      <c r="Q162" s="17">
        <v>12189</v>
      </c>
      <c r="R162" s="17">
        <v>7982</v>
      </c>
      <c r="S162" s="17">
        <v>6875</v>
      </c>
      <c r="T162" s="17">
        <v>4065</v>
      </c>
      <c r="U162" s="17">
        <v>3157</v>
      </c>
      <c r="V162" s="17">
        <v>2745</v>
      </c>
    </row>
    <row r="163" spans="1:22" x14ac:dyDescent="0.2">
      <c r="A163" s="18" t="s">
        <v>81</v>
      </c>
      <c r="B163" s="18" t="s">
        <v>217</v>
      </c>
      <c r="C163" s="17">
        <v>6955</v>
      </c>
      <c r="D163" s="17">
        <v>1156.4000000000001</v>
      </c>
      <c r="E163" s="17">
        <f t="shared" si="2"/>
        <v>8111.4</v>
      </c>
      <c r="F163" s="17">
        <v>5782</v>
      </c>
      <c r="G163" s="17">
        <v>5683</v>
      </c>
      <c r="H163" s="17">
        <v>6201</v>
      </c>
      <c r="I163" s="17">
        <v>7140</v>
      </c>
      <c r="J163" s="17">
        <v>7661</v>
      </c>
      <c r="K163" s="17">
        <v>5800</v>
      </c>
      <c r="L163" s="17">
        <v>5076</v>
      </c>
      <c r="M163" s="17">
        <v>4159</v>
      </c>
      <c r="N163" s="17">
        <v>3466</v>
      </c>
      <c r="O163" s="17">
        <v>2761</v>
      </c>
      <c r="P163" s="17">
        <v>2144</v>
      </c>
      <c r="Q163" s="17">
        <v>1521</v>
      </c>
      <c r="R163" s="17">
        <v>1015</v>
      </c>
      <c r="S163" s="17">
        <v>812</v>
      </c>
      <c r="T163" s="17">
        <v>495</v>
      </c>
      <c r="U163" s="17">
        <v>285</v>
      </c>
      <c r="V163" s="17">
        <v>200</v>
      </c>
    </row>
    <row r="164" spans="1:22" x14ac:dyDescent="0.2">
      <c r="A164" s="18" t="s">
        <v>81</v>
      </c>
      <c r="B164" s="18" t="s">
        <v>216</v>
      </c>
      <c r="C164" s="17">
        <v>49067</v>
      </c>
      <c r="D164" s="17">
        <v>8753.4</v>
      </c>
      <c r="E164" s="17">
        <f t="shared" si="2"/>
        <v>57820.4</v>
      </c>
      <c r="F164" s="17">
        <v>43767</v>
      </c>
      <c r="G164" s="17">
        <v>46445</v>
      </c>
      <c r="H164" s="17">
        <v>48971</v>
      </c>
      <c r="I164" s="17">
        <v>44102</v>
      </c>
      <c r="J164" s="17">
        <v>37312</v>
      </c>
      <c r="K164" s="17">
        <v>27177</v>
      </c>
      <c r="L164" s="17">
        <v>21889</v>
      </c>
      <c r="M164" s="17">
        <v>17580</v>
      </c>
      <c r="N164" s="17">
        <v>14652</v>
      </c>
      <c r="O164" s="17">
        <v>10438</v>
      </c>
      <c r="P164" s="17">
        <v>8887</v>
      </c>
      <c r="Q164" s="17">
        <v>6669</v>
      </c>
      <c r="R164" s="17">
        <v>4528</v>
      </c>
      <c r="S164" s="17">
        <v>4591</v>
      </c>
      <c r="T164" s="17">
        <v>2839</v>
      </c>
      <c r="U164" s="17">
        <v>2474</v>
      </c>
      <c r="V164" s="17">
        <v>1643</v>
      </c>
    </row>
    <row r="165" spans="1:22" x14ac:dyDescent="0.2">
      <c r="A165" s="18" t="s">
        <v>81</v>
      </c>
      <c r="B165" s="18" t="s">
        <v>215</v>
      </c>
      <c r="C165" s="17">
        <v>70362</v>
      </c>
      <c r="D165" s="17">
        <v>12983.4</v>
      </c>
      <c r="E165" s="17">
        <f t="shared" si="2"/>
        <v>83345.399999999994</v>
      </c>
      <c r="F165" s="17">
        <v>64917</v>
      </c>
      <c r="G165" s="17">
        <v>65074</v>
      </c>
      <c r="H165" s="17">
        <v>67815</v>
      </c>
      <c r="I165" s="17">
        <v>56333</v>
      </c>
      <c r="J165" s="17">
        <v>43258</v>
      </c>
      <c r="K165" s="17">
        <v>32641</v>
      </c>
      <c r="L165" s="17">
        <v>27498</v>
      </c>
      <c r="M165" s="17">
        <v>23552</v>
      </c>
      <c r="N165" s="17">
        <v>20504</v>
      </c>
      <c r="O165" s="17">
        <v>15375</v>
      </c>
      <c r="P165" s="17">
        <v>14142</v>
      </c>
      <c r="Q165" s="17">
        <v>11107</v>
      </c>
      <c r="R165" s="17">
        <v>8492</v>
      </c>
      <c r="S165" s="17">
        <v>7623</v>
      </c>
      <c r="T165" s="17">
        <v>4999</v>
      </c>
      <c r="U165" s="17">
        <v>4417</v>
      </c>
      <c r="V165" s="17">
        <v>3140</v>
      </c>
    </row>
    <row r="166" spans="1:22" x14ac:dyDescent="0.2">
      <c r="A166" s="18" t="s">
        <v>76</v>
      </c>
      <c r="B166" s="18" t="s">
        <v>214</v>
      </c>
      <c r="C166" s="17">
        <v>22239</v>
      </c>
      <c r="D166" s="17">
        <v>3751.4</v>
      </c>
      <c r="E166" s="17">
        <f t="shared" si="2"/>
        <v>25990.400000000001</v>
      </c>
      <c r="F166" s="17">
        <v>18757</v>
      </c>
      <c r="G166" s="17">
        <v>16839</v>
      </c>
      <c r="H166" s="17">
        <v>18675</v>
      </c>
      <c r="I166" s="17">
        <v>18006</v>
      </c>
      <c r="J166" s="17">
        <v>16232</v>
      </c>
      <c r="K166" s="17">
        <v>12736</v>
      </c>
      <c r="L166" s="17">
        <v>10575</v>
      </c>
      <c r="M166" s="17">
        <v>8784</v>
      </c>
      <c r="N166" s="17">
        <v>7815</v>
      </c>
      <c r="O166" s="17">
        <v>7522</v>
      </c>
      <c r="P166" s="17">
        <v>7263</v>
      </c>
      <c r="Q166" s="17">
        <v>6227</v>
      </c>
      <c r="R166" s="17">
        <v>5070</v>
      </c>
      <c r="S166" s="17">
        <v>3905</v>
      </c>
      <c r="T166" s="17">
        <v>2720</v>
      </c>
      <c r="U166" s="17">
        <v>1881</v>
      </c>
      <c r="V166" s="17">
        <v>1699</v>
      </c>
    </row>
    <row r="167" spans="1:22" x14ac:dyDescent="0.2">
      <c r="A167" s="18" t="s">
        <v>76</v>
      </c>
      <c r="B167" s="18" t="s">
        <v>213</v>
      </c>
      <c r="C167" s="17">
        <v>52940</v>
      </c>
      <c r="D167" s="17">
        <v>7494.8</v>
      </c>
      <c r="E167" s="17">
        <f t="shared" si="2"/>
        <v>60434.8</v>
      </c>
      <c r="F167" s="17">
        <v>37474</v>
      </c>
      <c r="G167" s="17">
        <v>32275</v>
      </c>
      <c r="H167" s="17">
        <v>37117</v>
      </c>
      <c r="I167" s="17">
        <v>52255</v>
      </c>
      <c r="J167" s="17">
        <v>53825</v>
      </c>
      <c r="K167" s="17">
        <v>43852</v>
      </c>
      <c r="L167" s="17">
        <v>36209</v>
      </c>
      <c r="M167" s="17">
        <v>28837</v>
      </c>
      <c r="N167" s="17">
        <v>26053</v>
      </c>
      <c r="O167" s="17">
        <v>21923</v>
      </c>
      <c r="P167" s="17">
        <v>17941</v>
      </c>
      <c r="Q167" s="17">
        <v>12492</v>
      </c>
      <c r="R167" s="17">
        <v>9200</v>
      </c>
      <c r="S167" s="17">
        <v>6286</v>
      </c>
      <c r="T167" s="17">
        <v>4085</v>
      </c>
      <c r="U167" s="17">
        <v>2517</v>
      </c>
      <c r="V167" s="17">
        <v>2100</v>
      </c>
    </row>
    <row r="168" spans="1:22" x14ac:dyDescent="0.2">
      <c r="A168" s="18" t="s">
        <v>76</v>
      </c>
      <c r="B168" s="18" t="s">
        <v>212</v>
      </c>
      <c r="C168" s="17">
        <v>56959</v>
      </c>
      <c r="D168" s="17">
        <v>8049.4</v>
      </c>
      <c r="E168" s="17">
        <f t="shared" si="2"/>
        <v>65008.4</v>
      </c>
      <c r="F168" s="17">
        <v>40247</v>
      </c>
      <c r="G168" s="17">
        <v>35256</v>
      </c>
      <c r="H168" s="17">
        <v>39777</v>
      </c>
      <c r="I168" s="17">
        <v>58803</v>
      </c>
      <c r="J168" s="17">
        <v>66745</v>
      </c>
      <c r="K168" s="17">
        <v>57455</v>
      </c>
      <c r="L168" s="17">
        <v>46284</v>
      </c>
      <c r="M168" s="17">
        <v>38923</v>
      </c>
      <c r="N168" s="17">
        <v>34999</v>
      </c>
      <c r="O168" s="17">
        <v>26953</v>
      </c>
      <c r="P168" s="17">
        <v>17946</v>
      </c>
      <c r="Q168" s="17">
        <v>10718</v>
      </c>
      <c r="R168" s="17">
        <v>6887</v>
      </c>
      <c r="S168" s="17">
        <v>4755</v>
      </c>
      <c r="T168" s="17">
        <v>3196</v>
      </c>
      <c r="U168" s="17">
        <v>1965</v>
      </c>
      <c r="V168" s="17">
        <v>1707</v>
      </c>
    </row>
    <row r="169" spans="1:22" x14ac:dyDescent="0.2">
      <c r="A169" s="18" t="s">
        <v>76</v>
      </c>
      <c r="B169" s="18" t="s">
        <v>211</v>
      </c>
      <c r="C169" s="17">
        <v>5533</v>
      </c>
      <c r="D169" s="17">
        <v>935.6</v>
      </c>
      <c r="E169" s="17">
        <f t="shared" si="2"/>
        <v>6468.6</v>
      </c>
      <c r="F169" s="17">
        <v>4678</v>
      </c>
      <c r="G169" s="17">
        <v>4360</v>
      </c>
      <c r="H169" s="17">
        <v>4523</v>
      </c>
      <c r="I169" s="17">
        <v>4658</v>
      </c>
      <c r="J169" s="17">
        <v>4579</v>
      </c>
      <c r="K169" s="17">
        <v>3911</v>
      </c>
      <c r="L169" s="17">
        <v>3663</v>
      </c>
      <c r="M169" s="17">
        <v>3203</v>
      </c>
      <c r="N169" s="17">
        <v>2793</v>
      </c>
      <c r="O169" s="17">
        <v>2425</v>
      </c>
      <c r="P169" s="17">
        <v>2013</v>
      </c>
      <c r="Q169" s="17">
        <v>1704</v>
      </c>
      <c r="R169" s="17">
        <v>1095</v>
      </c>
      <c r="S169" s="17">
        <v>760</v>
      </c>
      <c r="T169" s="17">
        <v>514</v>
      </c>
      <c r="U169" s="17">
        <v>377</v>
      </c>
      <c r="V169" s="17">
        <v>262</v>
      </c>
    </row>
    <row r="170" spans="1:22" x14ac:dyDescent="0.2">
      <c r="A170" s="18" t="s">
        <v>76</v>
      </c>
      <c r="B170" s="18" t="s">
        <v>210</v>
      </c>
      <c r="C170" s="17">
        <v>28405</v>
      </c>
      <c r="D170" s="17">
        <v>4500.6000000000004</v>
      </c>
      <c r="E170" s="17">
        <f t="shared" si="2"/>
        <v>32905.599999999999</v>
      </c>
      <c r="F170" s="17">
        <v>22503</v>
      </c>
      <c r="G170" s="17">
        <v>19887</v>
      </c>
      <c r="H170" s="17">
        <v>22056</v>
      </c>
      <c r="I170" s="17">
        <v>23160</v>
      </c>
      <c r="J170" s="17">
        <v>21613</v>
      </c>
      <c r="K170" s="17">
        <v>17282</v>
      </c>
      <c r="L170" s="17">
        <v>14753</v>
      </c>
      <c r="M170" s="17">
        <v>12945</v>
      </c>
      <c r="N170" s="17">
        <v>12326</v>
      </c>
      <c r="O170" s="17">
        <v>11572</v>
      </c>
      <c r="P170" s="17">
        <v>9611</v>
      </c>
      <c r="Q170" s="17">
        <v>7655</v>
      </c>
      <c r="R170" s="17">
        <v>6403</v>
      </c>
      <c r="S170" s="17">
        <v>4868</v>
      </c>
      <c r="T170" s="17">
        <v>3367</v>
      </c>
      <c r="U170" s="17">
        <v>2176</v>
      </c>
      <c r="V170" s="17">
        <v>1972</v>
      </c>
    </row>
    <row r="171" spans="1:22" x14ac:dyDescent="0.2">
      <c r="A171" s="18" t="s">
        <v>76</v>
      </c>
      <c r="B171" s="18" t="s">
        <v>209</v>
      </c>
      <c r="C171" s="17">
        <v>14938</v>
      </c>
      <c r="D171" s="17">
        <v>2685.6</v>
      </c>
      <c r="E171" s="17">
        <f t="shared" si="2"/>
        <v>17623.599999999999</v>
      </c>
      <c r="F171" s="17">
        <v>13428</v>
      </c>
      <c r="G171" s="17">
        <v>13208</v>
      </c>
      <c r="H171" s="17">
        <v>11845</v>
      </c>
      <c r="I171" s="17">
        <v>8663</v>
      </c>
      <c r="J171" s="17">
        <v>6827</v>
      </c>
      <c r="K171" s="17">
        <v>5492</v>
      </c>
      <c r="L171" s="17">
        <v>5086</v>
      </c>
      <c r="M171" s="17">
        <v>4565</v>
      </c>
      <c r="N171" s="17">
        <v>4395</v>
      </c>
      <c r="O171" s="17">
        <v>4198</v>
      </c>
      <c r="P171" s="17">
        <v>3600</v>
      </c>
      <c r="Q171" s="17">
        <v>3157</v>
      </c>
      <c r="R171" s="17">
        <v>2732</v>
      </c>
      <c r="S171" s="17">
        <v>1981</v>
      </c>
      <c r="T171" s="17">
        <v>1393</v>
      </c>
      <c r="U171" s="17">
        <v>929</v>
      </c>
      <c r="V171" s="17">
        <v>903</v>
      </c>
    </row>
    <row r="172" spans="1:22" x14ac:dyDescent="0.2">
      <c r="A172" s="18" t="s">
        <v>76</v>
      </c>
      <c r="B172" s="18" t="s">
        <v>208</v>
      </c>
      <c r="C172" s="17">
        <v>15751</v>
      </c>
      <c r="D172" s="17">
        <v>2894</v>
      </c>
      <c r="E172" s="17">
        <f t="shared" si="2"/>
        <v>18645</v>
      </c>
      <c r="F172" s="17">
        <v>14470</v>
      </c>
      <c r="G172" s="17">
        <v>14536</v>
      </c>
      <c r="H172" s="17">
        <v>12845</v>
      </c>
      <c r="I172" s="17">
        <v>10904</v>
      </c>
      <c r="J172" s="17">
        <v>9163</v>
      </c>
      <c r="K172" s="17">
        <v>7233</v>
      </c>
      <c r="L172" s="17">
        <v>6770</v>
      </c>
      <c r="M172" s="17">
        <v>6078</v>
      </c>
      <c r="N172" s="17">
        <v>5872</v>
      </c>
      <c r="O172" s="17">
        <v>5479</v>
      </c>
      <c r="P172" s="17">
        <v>4430</v>
      </c>
      <c r="Q172" s="17">
        <v>3292</v>
      </c>
      <c r="R172" s="17">
        <v>2614</v>
      </c>
      <c r="S172" s="17">
        <v>1950</v>
      </c>
      <c r="T172" s="17">
        <v>1300</v>
      </c>
      <c r="U172" s="17">
        <v>804</v>
      </c>
      <c r="V172" s="17">
        <v>727</v>
      </c>
    </row>
    <row r="173" spans="1:22" x14ac:dyDescent="0.2">
      <c r="A173" s="18" t="s">
        <v>76</v>
      </c>
      <c r="B173" s="18" t="s">
        <v>207</v>
      </c>
      <c r="C173" s="17">
        <v>33192</v>
      </c>
      <c r="D173" s="17">
        <v>5637.2</v>
      </c>
      <c r="E173" s="17">
        <f t="shared" si="2"/>
        <v>38829.199999999997</v>
      </c>
      <c r="F173" s="17">
        <v>28186</v>
      </c>
      <c r="G173" s="17">
        <v>28325</v>
      </c>
      <c r="H173" s="17">
        <v>31482</v>
      </c>
      <c r="I173" s="17">
        <v>29882</v>
      </c>
      <c r="J173" s="17">
        <v>25295</v>
      </c>
      <c r="K173" s="17">
        <v>20419</v>
      </c>
      <c r="L173" s="17">
        <v>18925</v>
      </c>
      <c r="M173" s="17">
        <v>17500</v>
      </c>
      <c r="N173" s="17">
        <v>15149</v>
      </c>
      <c r="O173" s="17">
        <v>12600</v>
      </c>
      <c r="P173" s="17">
        <v>9610</v>
      </c>
      <c r="Q173" s="17">
        <v>6882</v>
      </c>
      <c r="R173" s="17">
        <v>5147</v>
      </c>
      <c r="S173" s="17">
        <v>3726</v>
      </c>
      <c r="T173" s="17">
        <v>2358</v>
      </c>
      <c r="U173" s="17">
        <v>1453</v>
      </c>
      <c r="V173" s="17">
        <v>1397</v>
      </c>
    </row>
    <row r="174" spans="1:22" x14ac:dyDescent="0.2">
      <c r="A174" s="18" t="s">
        <v>76</v>
      </c>
      <c r="B174" s="18" t="s">
        <v>206</v>
      </c>
      <c r="C174" s="17">
        <v>20754</v>
      </c>
      <c r="D174" s="17">
        <v>3572.2</v>
      </c>
      <c r="E174" s="17">
        <f t="shared" si="2"/>
        <v>24326.2</v>
      </c>
      <c r="F174" s="17">
        <v>17861</v>
      </c>
      <c r="G174" s="17">
        <v>16397</v>
      </c>
      <c r="H174" s="17">
        <v>15371</v>
      </c>
      <c r="I174" s="17">
        <v>15196</v>
      </c>
      <c r="J174" s="17">
        <v>14342</v>
      </c>
      <c r="K174" s="17">
        <v>11972</v>
      </c>
      <c r="L174" s="17">
        <v>10969</v>
      </c>
      <c r="M174" s="17">
        <v>9611</v>
      </c>
      <c r="N174" s="17">
        <v>8654</v>
      </c>
      <c r="O174" s="17">
        <v>7587</v>
      </c>
      <c r="P174" s="17">
        <v>6356</v>
      </c>
      <c r="Q174" s="17">
        <v>4544</v>
      </c>
      <c r="R174" s="17">
        <v>3423</v>
      </c>
      <c r="S174" s="17">
        <v>2573</v>
      </c>
      <c r="T174" s="17">
        <v>1540</v>
      </c>
      <c r="U174" s="17">
        <v>981</v>
      </c>
      <c r="V174" s="17">
        <v>772</v>
      </c>
    </row>
    <row r="175" spans="1:22" x14ac:dyDescent="0.2">
      <c r="A175" s="18" t="s">
        <v>76</v>
      </c>
      <c r="B175" s="18" t="s">
        <v>205</v>
      </c>
      <c r="C175" s="17">
        <v>18454</v>
      </c>
      <c r="D175" s="17">
        <v>3184.8</v>
      </c>
      <c r="E175" s="17">
        <f t="shared" si="2"/>
        <v>21638.799999999999</v>
      </c>
      <c r="F175" s="17">
        <v>15924</v>
      </c>
      <c r="G175" s="17">
        <v>15150</v>
      </c>
      <c r="H175" s="17">
        <v>14366</v>
      </c>
      <c r="I175" s="17">
        <v>13425</v>
      </c>
      <c r="J175" s="17">
        <v>11017</v>
      </c>
      <c r="K175" s="17">
        <v>9626</v>
      </c>
      <c r="L175" s="17">
        <v>9058</v>
      </c>
      <c r="M175" s="17">
        <v>7881</v>
      </c>
      <c r="N175" s="17">
        <v>7176</v>
      </c>
      <c r="O175" s="17">
        <v>6596</v>
      </c>
      <c r="P175" s="17">
        <v>5948</v>
      </c>
      <c r="Q175" s="17">
        <v>4837</v>
      </c>
      <c r="R175" s="17">
        <v>3912</v>
      </c>
      <c r="S175" s="17">
        <v>2822</v>
      </c>
      <c r="T175" s="17">
        <v>1868</v>
      </c>
      <c r="U175" s="17">
        <v>1342</v>
      </c>
      <c r="V175" s="17">
        <v>1311</v>
      </c>
    </row>
    <row r="176" spans="1:22" x14ac:dyDescent="0.2">
      <c r="A176" s="18" t="s">
        <v>76</v>
      </c>
      <c r="B176" s="18" t="s">
        <v>204</v>
      </c>
      <c r="C176" s="17">
        <v>7904</v>
      </c>
      <c r="D176" s="17">
        <v>1345.4</v>
      </c>
      <c r="E176" s="17">
        <f t="shared" si="2"/>
        <v>9249.4</v>
      </c>
      <c r="F176" s="17">
        <v>6727</v>
      </c>
      <c r="G176" s="17">
        <v>6052</v>
      </c>
      <c r="H176" s="17">
        <v>6052</v>
      </c>
      <c r="I176" s="17">
        <v>5800</v>
      </c>
      <c r="J176" s="17">
        <v>5955</v>
      </c>
      <c r="K176" s="17">
        <v>4899</v>
      </c>
      <c r="L176" s="17">
        <v>4751</v>
      </c>
      <c r="M176" s="17">
        <v>3975</v>
      </c>
      <c r="N176" s="17">
        <v>3658</v>
      </c>
      <c r="O176" s="17">
        <v>3372</v>
      </c>
      <c r="P176" s="17">
        <v>2555</v>
      </c>
      <c r="Q176" s="17">
        <v>1724</v>
      </c>
      <c r="R176" s="17">
        <v>1253</v>
      </c>
      <c r="S176" s="17">
        <v>822</v>
      </c>
      <c r="T176" s="17">
        <v>632</v>
      </c>
      <c r="U176" s="17">
        <v>354</v>
      </c>
      <c r="V176" s="17">
        <v>296</v>
      </c>
    </row>
    <row r="177" spans="1:22" x14ac:dyDescent="0.2">
      <c r="A177" s="18" t="s">
        <v>76</v>
      </c>
      <c r="B177" s="18" t="s">
        <v>203</v>
      </c>
      <c r="C177" s="17">
        <v>8059</v>
      </c>
      <c r="D177" s="17">
        <v>1520.4</v>
      </c>
      <c r="E177" s="17">
        <f t="shared" si="2"/>
        <v>9579.4</v>
      </c>
      <c r="F177" s="17">
        <v>7602</v>
      </c>
      <c r="G177" s="17">
        <v>6381</v>
      </c>
      <c r="H177" s="17">
        <v>5794</v>
      </c>
      <c r="I177" s="17">
        <v>5511</v>
      </c>
      <c r="J177" s="17">
        <v>5071</v>
      </c>
      <c r="K177" s="17">
        <v>3890</v>
      </c>
      <c r="L177" s="17">
        <v>3449</v>
      </c>
      <c r="M177" s="17">
        <v>2804</v>
      </c>
      <c r="N177" s="17">
        <v>2756</v>
      </c>
      <c r="O177" s="17">
        <v>2386</v>
      </c>
      <c r="P177" s="17">
        <v>2140</v>
      </c>
      <c r="Q177" s="17">
        <v>1487</v>
      </c>
      <c r="R177" s="17">
        <v>1064</v>
      </c>
      <c r="S177" s="17">
        <v>801</v>
      </c>
      <c r="T177" s="17">
        <v>480</v>
      </c>
      <c r="U177" s="17">
        <v>362</v>
      </c>
      <c r="V177" s="17">
        <v>319</v>
      </c>
    </row>
    <row r="178" spans="1:22" x14ac:dyDescent="0.2">
      <c r="A178" s="18" t="s">
        <v>76</v>
      </c>
      <c r="B178" s="18" t="s">
        <v>202</v>
      </c>
      <c r="C178" s="17">
        <v>22767</v>
      </c>
      <c r="D178" s="17">
        <v>4283.2</v>
      </c>
      <c r="E178" s="17">
        <f t="shared" si="2"/>
        <v>27050.2</v>
      </c>
      <c r="F178" s="17">
        <v>21416</v>
      </c>
      <c r="G178" s="17">
        <v>19470</v>
      </c>
      <c r="H178" s="17">
        <v>19898</v>
      </c>
      <c r="I178" s="17">
        <v>14964</v>
      </c>
      <c r="J178" s="17">
        <v>11671</v>
      </c>
      <c r="K178" s="17">
        <v>9770</v>
      </c>
      <c r="L178" s="17">
        <v>8896</v>
      </c>
      <c r="M178" s="17">
        <v>7935</v>
      </c>
      <c r="N178" s="17">
        <v>7638</v>
      </c>
      <c r="O178" s="17">
        <v>7147</v>
      </c>
      <c r="P178" s="17">
        <v>6364</v>
      </c>
      <c r="Q178" s="17">
        <v>5714</v>
      </c>
      <c r="R178" s="17">
        <v>4886</v>
      </c>
      <c r="S178" s="17">
        <v>3617</v>
      </c>
      <c r="T178" s="17">
        <v>2569</v>
      </c>
      <c r="U178" s="17">
        <v>1512</v>
      </c>
      <c r="V178" s="17">
        <v>1407</v>
      </c>
    </row>
    <row r="179" spans="1:22" x14ac:dyDescent="0.2">
      <c r="A179" s="18" t="s">
        <v>76</v>
      </c>
      <c r="B179" s="18" t="s">
        <v>201</v>
      </c>
      <c r="C179" s="17">
        <v>6215</v>
      </c>
      <c r="D179" s="17">
        <v>1147.2</v>
      </c>
      <c r="E179" s="17">
        <f t="shared" si="2"/>
        <v>7362.2</v>
      </c>
      <c r="F179" s="17">
        <v>5736</v>
      </c>
      <c r="G179" s="17">
        <v>5002</v>
      </c>
      <c r="H179" s="17">
        <v>4942</v>
      </c>
      <c r="I179" s="17">
        <v>4942</v>
      </c>
      <c r="J179" s="17">
        <v>4381</v>
      </c>
      <c r="K179" s="17">
        <v>3941</v>
      </c>
      <c r="L179" s="17">
        <v>3340</v>
      </c>
      <c r="M179" s="17">
        <v>2909</v>
      </c>
      <c r="N179" s="17">
        <v>2771</v>
      </c>
      <c r="O179" s="17">
        <v>2222</v>
      </c>
      <c r="P179" s="17">
        <v>2043</v>
      </c>
      <c r="Q179" s="17">
        <v>1561</v>
      </c>
      <c r="R179" s="17">
        <v>1208</v>
      </c>
      <c r="S179" s="17">
        <v>862</v>
      </c>
      <c r="T179" s="17">
        <v>561</v>
      </c>
      <c r="U179" s="17">
        <v>308</v>
      </c>
      <c r="V179" s="17">
        <v>303</v>
      </c>
    </row>
    <row r="180" spans="1:22" x14ac:dyDescent="0.2">
      <c r="A180" s="18" t="s">
        <v>76</v>
      </c>
      <c r="B180" s="18" t="s">
        <v>200</v>
      </c>
      <c r="C180" s="17">
        <v>15249</v>
      </c>
      <c r="D180" s="17">
        <v>2632.6</v>
      </c>
      <c r="E180" s="17">
        <f t="shared" si="2"/>
        <v>17881.599999999999</v>
      </c>
      <c r="F180" s="17">
        <v>13163</v>
      </c>
      <c r="G180" s="17">
        <v>11387</v>
      </c>
      <c r="H180" s="17">
        <v>11169</v>
      </c>
      <c r="I180" s="17">
        <v>8033</v>
      </c>
      <c r="J180" s="17">
        <v>7205</v>
      </c>
      <c r="K180" s="17">
        <v>6136</v>
      </c>
      <c r="L180" s="17">
        <v>5864</v>
      </c>
      <c r="M180" s="17">
        <v>5212</v>
      </c>
      <c r="N180" s="17">
        <v>5083</v>
      </c>
      <c r="O180" s="17">
        <v>4454</v>
      </c>
      <c r="P180" s="17">
        <v>3749</v>
      </c>
      <c r="Q180" s="17">
        <v>2837</v>
      </c>
      <c r="R180" s="17">
        <v>2305</v>
      </c>
      <c r="S180" s="17">
        <v>1505</v>
      </c>
      <c r="T180" s="17">
        <v>1019</v>
      </c>
      <c r="U180" s="17">
        <v>706</v>
      </c>
      <c r="V180" s="17">
        <v>712</v>
      </c>
    </row>
    <row r="181" spans="1:22" x14ac:dyDescent="0.2">
      <c r="A181" s="18" t="s">
        <v>76</v>
      </c>
      <c r="B181" s="18" t="s">
        <v>199</v>
      </c>
      <c r="C181" s="17">
        <v>7183</v>
      </c>
      <c r="D181" s="17">
        <v>1266.5999999999999</v>
      </c>
      <c r="E181" s="17">
        <f t="shared" si="2"/>
        <v>8449.6</v>
      </c>
      <c r="F181" s="17">
        <v>6333</v>
      </c>
      <c r="G181" s="17">
        <v>5554</v>
      </c>
      <c r="H181" s="17">
        <v>5081</v>
      </c>
      <c r="I181" s="17">
        <v>5032</v>
      </c>
      <c r="J181" s="17">
        <v>4687</v>
      </c>
      <c r="K181" s="17">
        <v>3871</v>
      </c>
      <c r="L181" s="17">
        <v>3743</v>
      </c>
      <c r="M181" s="17">
        <v>2981</v>
      </c>
      <c r="N181" s="17">
        <v>2768</v>
      </c>
      <c r="O181" s="17">
        <v>2187</v>
      </c>
      <c r="P181" s="17">
        <v>2154</v>
      </c>
      <c r="Q181" s="17">
        <v>1645</v>
      </c>
      <c r="R181" s="17">
        <v>1231</v>
      </c>
      <c r="S181" s="17">
        <v>948</v>
      </c>
      <c r="T181" s="17">
        <v>602</v>
      </c>
      <c r="U181" s="17">
        <v>370</v>
      </c>
      <c r="V181" s="17">
        <v>331</v>
      </c>
    </row>
    <row r="182" spans="1:22" x14ac:dyDescent="0.2">
      <c r="A182" s="18" t="s">
        <v>76</v>
      </c>
      <c r="B182" s="18" t="s">
        <v>198</v>
      </c>
      <c r="C182" s="17">
        <v>15347</v>
      </c>
      <c r="D182" s="17">
        <v>2617.8000000000002</v>
      </c>
      <c r="E182" s="17">
        <f t="shared" si="2"/>
        <v>17964.8</v>
      </c>
      <c r="F182" s="17">
        <v>13089</v>
      </c>
      <c r="G182" s="17">
        <v>12558</v>
      </c>
      <c r="H182" s="17">
        <v>14148</v>
      </c>
      <c r="I182" s="17">
        <v>19633</v>
      </c>
      <c r="J182" s="17">
        <v>15184</v>
      </c>
      <c r="K182" s="17">
        <v>12588</v>
      </c>
      <c r="L182" s="17">
        <v>11686</v>
      </c>
      <c r="M182" s="17">
        <v>10560</v>
      </c>
      <c r="N182" s="17">
        <v>9331</v>
      </c>
      <c r="O182" s="17">
        <v>8054</v>
      </c>
      <c r="P182" s="17">
        <v>6424</v>
      </c>
      <c r="Q182" s="17">
        <v>4891</v>
      </c>
      <c r="R182" s="17">
        <v>3561</v>
      </c>
      <c r="S182" s="17">
        <v>2555</v>
      </c>
      <c r="T182" s="17">
        <v>1590</v>
      </c>
      <c r="U182" s="17">
        <v>873</v>
      </c>
      <c r="V182" s="17">
        <v>690</v>
      </c>
    </row>
    <row r="183" spans="1:22" x14ac:dyDescent="0.2">
      <c r="A183" s="18" t="s">
        <v>76</v>
      </c>
      <c r="B183" s="18" t="s">
        <v>197</v>
      </c>
      <c r="C183" s="17">
        <v>42717</v>
      </c>
      <c r="D183" s="17">
        <v>7200.8</v>
      </c>
      <c r="E183" s="17">
        <f t="shared" si="2"/>
        <v>49917.8</v>
      </c>
      <c r="F183" s="17">
        <v>36004</v>
      </c>
      <c r="G183" s="17">
        <v>33890</v>
      </c>
      <c r="H183" s="17">
        <v>34460</v>
      </c>
      <c r="I183" s="17">
        <v>37172</v>
      </c>
      <c r="J183" s="17">
        <v>36880</v>
      </c>
      <c r="K183" s="17">
        <v>31174</v>
      </c>
      <c r="L183" s="17">
        <v>27883</v>
      </c>
      <c r="M183" s="17">
        <v>25983</v>
      </c>
      <c r="N183" s="17">
        <v>23941</v>
      </c>
      <c r="O183" s="17">
        <v>20482</v>
      </c>
      <c r="P183" s="17">
        <v>15544</v>
      </c>
      <c r="Q183" s="17">
        <v>11107</v>
      </c>
      <c r="R183" s="17">
        <v>8131</v>
      </c>
      <c r="S183" s="17">
        <v>5893</v>
      </c>
      <c r="T183" s="17">
        <v>3773</v>
      </c>
      <c r="U183" s="17">
        <v>2150</v>
      </c>
      <c r="V183" s="17">
        <v>1491</v>
      </c>
    </row>
    <row r="184" spans="1:22" x14ac:dyDescent="0.2">
      <c r="A184" s="18" t="s">
        <v>76</v>
      </c>
      <c r="B184" s="18" t="s">
        <v>196</v>
      </c>
      <c r="C184" s="17">
        <v>9743</v>
      </c>
      <c r="D184" s="17">
        <v>1740.8</v>
      </c>
      <c r="E184" s="17">
        <f t="shared" si="2"/>
        <v>11483.8</v>
      </c>
      <c r="F184" s="17">
        <v>8704</v>
      </c>
      <c r="G184" s="17">
        <v>7187</v>
      </c>
      <c r="H184" s="17">
        <v>6932</v>
      </c>
      <c r="I184" s="17">
        <v>7353</v>
      </c>
      <c r="J184" s="17">
        <v>6990</v>
      </c>
      <c r="K184" s="17">
        <v>5437</v>
      </c>
      <c r="L184" s="17">
        <v>4834</v>
      </c>
      <c r="M184" s="17">
        <v>4239</v>
      </c>
      <c r="N184" s="17">
        <v>3940</v>
      </c>
      <c r="O184" s="17">
        <v>3407</v>
      </c>
      <c r="P184" s="17">
        <v>2886</v>
      </c>
      <c r="Q184" s="17">
        <v>2061</v>
      </c>
      <c r="R184" s="17">
        <v>1570</v>
      </c>
      <c r="S184" s="17">
        <v>1083</v>
      </c>
      <c r="T184" s="17">
        <v>650</v>
      </c>
      <c r="U184" s="17">
        <v>423</v>
      </c>
      <c r="V184" s="17">
        <v>356</v>
      </c>
    </row>
    <row r="185" spans="1:22" x14ac:dyDescent="0.2">
      <c r="A185" s="18" t="s">
        <v>70</v>
      </c>
      <c r="B185" s="18" t="s">
        <v>195</v>
      </c>
      <c r="C185" s="17">
        <v>937</v>
      </c>
      <c r="D185" s="17">
        <v>184.4</v>
      </c>
      <c r="E185" s="17">
        <f t="shared" si="2"/>
        <v>1121.4000000000001</v>
      </c>
      <c r="F185" s="17">
        <v>922</v>
      </c>
      <c r="G185" s="17">
        <v>997</v>
      </c>
      <c r="H185" s="17">
        <v>881</v>
      </c>
      <c r="I185" s="17">
        <v>910</v>
      </c>
      <c r="J185" s="17">
        <v>1207</v>
      </c>
      <c r="K185" s="17">
        <v>968</v>
      </c>
      <c r="L185" s="17">
        <v>941</v>
      </c>
      <c r="M185" s="17">
        <v>965</v>
      </c>
      <c r="N185" s="17">
        <v>902</v>
      </c>
      <c r="O185" s="17">
        <v>692</v>
      </c>
      <c r="P185" s="17">
        <v>537</v>
      </c>
      <c r="Q185" s="17">
        <v>406</v>
      </c>
      <c r="R185" s="17">
        <v>306</v>
      </c>
      <c r="S185" s="17">
        <v>172</v>
      </c>
      <c r="T185" s="17">
        <v>128</v>
      </c>
      <c r="U185" s="17">
        <v>64</v>
      </c>
      <c r="V185" s="17">
        <v>50</v>
      </c>
    </row>
    <row r="186" spans="1:22" x14ac:dyDescent="0.2">
      <c r="A186" s="18" t="s">
        <v>70</v>
      </c>
      <c r="B186" s="18" t="s">
        <v>194</v>
      </c>
      <c r="C186" s="17">
        <v>3757</v>
      </c>
      <c r="D186" s="17">
        <v>759</v>
      </c>
      <c r="E186" s="17">
        <f t="shared" si="2"/>
        <v>4516</v>
      </c>
      <c r="F186" s="17">
        <v>3795</v>
      </c>
      <c r="G186" s="17">
        <v>4146</v>
      </c>
      <c r="H186" s="17">
        <v>4447</v>
      </c>
      <c r="I186" s="17">
        <v>3613</v>
      </c>
      <c r="J186" s="17">
        <v>3450</v>
      </c>
      <c r="K186" s="17">
        <v>3318</v>
      </c>
      <c r="L186" s="17">
        <v>3234</v>
      </c>
      <c r="M186" s="17">
        <v>3346</v>
      </c>
      <c r="N186" s="17">
        <v>3047</v>
      </c>
      <c r="O186" s="17">
        <v>2716</v>
      </c>
      <c r="P186" s="17">
        <v>2413</v>
      </c>
      <c r="Q186" s="17">
        <v>1892</v>
      </c>
      <c r="R186" s="17">
        <v>1471</v>
      </c>
      <c r="S186" s="17">
        <v>1076</v>
      </c>
      <c r="T186" s="17">
        <v>650</v>
      </c>
      <c r="U186" s="17">
        <v>378</v>
      </c>
      <c r="V186" s="17">
        <v>293</v>
      </c>
    </row>
    <row r="187" spans="1:22" x14ac:dyDescent="0.2">
      <c r="A187" s="18" t="s">
        <v>70</v>
      </c>
      <c r="B187" s="18" t="s">
        <v>193</v>
      </c>
      <c r="C187" s="17">
        <v>865</v>
      </c>
      <c r="D187" s="17">
        <v>170.6</v>
      </c>
      <c r="E187" s="17">
        <f t="shared" si="2"/>
        <v>1035.5999999999999</v>
      </c>
      <c r="F187" s="17">
        <v>853</v>
      </c>
      <c r="G187" s="17">
        <v>982</v>
      </c>
      <c r="H187" s="17">
        <v>933</v>
      </c>
      <c r="I187" s="17">
        <v>677</v>
      </c>
      <c r="J187" s="17">
        <v>637</v>
      </c>
      <c r="K187" s="17">
        <v>585</v>
      </c>
      <c r="L187" s="17">
        <v>630</v>
      </c>
      <c r="M187" s="17">
        <v>664</v>
      </c>
      <c r="N187" s="17">
        <v>738</v>
      </c>
      <c r="O187" s="17">
        <v>607</v>
      </c>
      <c r="P187" s="17">
        <v>515</v>
      </c>
      <c r="Q187" s="17">
        <v>465</v>
      </c>
      <c r="R187" s="17">
        <v>386</v>
      </c>
      <c r="S187" s="17">
        <v>269</v>
      </c>
      <c r="T187" s="17">
        <v>184</v>
      </c>
      <c r="U187" s="17">
        <v>109</v>
      </c>
      <c r="V187" s="17">
        <v>87</v>
      </c>
    </row>
    <row r="188" spans="1:22" x14ac:dyDescent="0.2">
      <c r="A188" s="18" t="s">
        <v>70</v>
      </c>
      <c r="B188" s="18" t="s">
        <v>192</v>
      </c>
      <c r="C188" s="17">
        <v>1942</v>
      </c>
      <c r="D188" s="17">
        <v>392.2</v>
      </c>
      <c r="E188" s="17">
        <f t="shared" si="2"/>
        <v>2334.1999999999998</v>
      </c>
      <c r="F188" s="17">
        <v>1961</v>
      </c>
      <c r="G188" s="17">
        <v>2021</v>
      </c>
      <c r="H188" s="17">
        <v>1898</v>
      </c>
      <c r="I188" s="17">
        <v>1627</v>
      </c>
      <c r="J188" s="17">
        <v>1548</v>
      </c>
      <c r="K188" s="17">
        <v>1228</v>
      </c>
      <c r="L188" s="17">
        <v>1398</v>
      </c>
      <c r="M188" s="17">
        <v>1481</v>
      </c>
      <c r="N188" s="17">
        <v>1474</v>
      </c>
      <c r="O188" s="17">
        <v>1284</v>
      </c>
      <c r="P188" s="17">
        <v>1075</v>
      </c>
      <c r="Q188" s="17">
        <v>852</v>
      </c>
      <c r="R188" s="17">
        <v>648</v>
      </c>
      <c r="S188" s="17">
        <v>472</v>
      </c>
      <c r="T188" s="17">
        <v>293</v>
      </c>
      <c r="U188" s="17">
        <v>211</v>
      </c>
      <c r="V188" s="17">
        <v>163</v>
      </c>
    </row>
    <row r="189" spans="1:22" x14ac:dyDescent="0.2">
      <c r="A189" s="18" t="s">
        <v>70</v>
      </c>
      <c r="B189" s="18" t="s">
        <v>191</v>
      </c>
      <c r="C189" s="17">
        <v>1141</v>
      </c>
      <c r="D189" s="17">
        <v>236.2</v>
      </c>
      <c r="E189" s="17">
        <f t="shared" si="2"/>
        <v>1377.2</v>
      </c>
      <c r="F189" s="17">
        <v>1181</v>
      </c>
      <c r="G189" s="17">
        <v>1160</v>
      </c>
      <c r="H189" s="17">
        <v>1017</v>
      </c>
      <c r="I189" s="17">
        <v>799</v>
      </c>
      <c r="J189" s="17">
        <v>760</v>
      </c>
      <c r="K189" s="17">
        <v>722</v>
      </c>
      <c r="L189" s="17">
        <v>918</v>
      </c>
      <c r="M189" s="17">
        <v>905</v>
      </c>
      <c r="N189" s="17">
        <v>879</v>
      </c>
      <c r="O189" s="17">
        <v>691</v>
      </c>
      <c r="P189" s="17">
        <v>642</v>
      </c>
      <c r="Q189" s="17">
        <v>509</v>
      </c>
      <c r="R189" s="17">
        <v>481</v>
      </c>
      <c r="S189" s="17">
        <v>318</v>
      </c>
      <c r="T189" s="17">
        <v>175</v>
      </c>
      <c r="U189" s="17">
        <v>121</v>
      </c>
      <c r="V189" s="17">
        <v>169</v>
      </c>
    </row>
    <row r="190" spans="1:22" x14ac:dyDescent="0.2">
      <c r="A190" s="18" t="s">
        <v>70</v>
      </c>
      <c r="B190" s="18" t="s">
        <v>190</v>
      </c>
      <c r="C190" s="17">
        <v>1104</v>
      </c>
      <c r="D190" s="17">
        <v>215.6</v>
      </c>
      <c r="E190" s="17">
        <f t="shared" si="2"/>
        <v>1319.6</v>
      </c>
      <c r="F190" s="17">
        <v>1078</v>
      </c>
      <c r="G190" s="17">
        <v>1041</v>
      </c>
      <c r="H190" s="17">
        <v>1013</v>
      </c>
      <c r="I190" s="17">
        <v>1285</v>
      </c>
      <c r="J190" s="17">
        <v>1214</v>
      </c>
      <c r="K190" s="17">
        <v>1075</v>
      </c>
      <c r="L190" s="17">
        <v>917</v>
      </c>
      <c r="M190" s="17">
        <v>883</v>
      </c>
      <c r="N190" s="17">
        <v>729</v>
      </c>
      <c r="O190" s="17">
        <v>630</v>
      </c>
      <c r="P190" s="17">
        <v>487</v>
      </c>
      <c r="Q190" s="17">
        <v>319</v>
      </c>
      <c r="R190" s="17">
        <v>265</v>
      </c>
      <c r="S190" s="17">
        <v>176</v>
      </c>
      <c r="T190" s="17">
        <v>120</v>
      </c>
      <c r="U190" s="17">
        <v>63</v>
      </c>
      <c r="V190" s="17">
        <v>65</v>
      </c>
    </row>
    <row r="191" spans="1:22" x14ac:dyDescent="0.2">
      <c r="A191" s="18" t="s">
        <v>70</v>
      </c>
      <c r="B191" s="18" t="s">
        <v>189</v>
      </c>
      <c r="C191" s="17">
        <v>2153</v>
      </c>
      <c r="D191" s="17">
        <v>431.6</v>
      </c>
      <c r="E191" s="17">
        <f t="shared" si="2"/>
        <v>2584.6</v>
      </c>
      <c r="F191" s="17">
        <v>2158</v>
      </c>
      <c r="G191" s="17">
        <v>1881</v>
      </c>
      <c r="H191" s="17">
        <v>1652</v>
      </c>
      <c r="I191" s="17">
        <v>1594</v>
      </c>
      <c r="J191" s="17">
        <v>1394</v>
      </c>
      <c r="K191" s="17">
        <v>1200</v>
      </c>
      <c r="L191" s="17">
        <v>1235</v>
      </c>
      <c r="M191" s="17">
        <v>1130</v>
      </c>
      <c r="N191" s="17">
        <v>1021</v>
      </c>
      <c r="O191" s="17">
        <v>851</v>
      </c>
      <c r="P191" s="17">
        <v>739</v>
      </c>
      <c r="Q191" s="17">
        <v>560</v>
      </c>
      <c r="R191" s="17">
        <v>410</v>
      </c>
      <c r="S191" s="17">
        <v>263</v>
      </c>
      <c r="T191" s="17">
        <v>183</v>
      </c>
      <c r="U191" s="17">
        <v>84</v>
      </c>
      <c r="V191" s="17">
        <v>95</v>
      </c>
    </row>
    <row r="192" spans="1:22" x14ac:dyDescent="0.2">
      <c r="A192" s="18" t="s">
        <v>70</v>
      </c>
      <c r="B192" s="18" t="s">
        <v>188</v>
      </c>
      <c r="C192" s="17">
        <v>3025</v>
      </c>
      <c r="D192" s="17">
        <v>603.20000000000005</v>
      </c>
      <c r="E192" s="17">
        <f t="shared" si="2"/>
        <v>3628.2</v>
      </c>
      <c r="F192" s="17">
        <v>3016</v>
      </c>
      <c r="G192" s="17">
        <v>2874</v>
      </c>
      <c r="H192" s="17">
        <v>2689</v>
      </c>
      <c r="I192" s="17">
        <v>2404</v>
      </c>
      <c r="J192" s="17">
        <v>2508</v>
      </c>
      <c r="K192" s="17">
        <v>2124</v>
      </c>
      <c r="L192" s="17">
        <v>1646</v>
      </c>
      <c r="M192" s="17">
        <v>1599</v>
      </c>
      <c r="N192" s="17">
        <v>1537</v>
      </c>
      <c r="O192" s="17">
        <v>1275</v>
      </c>
      <c r="P192" s="17">
        <v>1137</v>
      </c>
      <c r="Q192" s="17">
        <v>896</v>
      </c>
      <c r="R192" s="17">
        <v>618</v>
      </c>
      <c r="S192" s="17">
        <v>447</v>
      </c>
      <c r="T192" s="17">
        <v>255</v>
      </c>
      <c r="U192" s="17">
        <v>155</v>
      </c>
      <c r="V192" s="17">
        <v>170</v>
      </c>
    </row>
    <row r="193" spans="1:22" x14ac:dyDescent="0.2">
      <c r="A193" s="18" t="s">
        <v>70</v>
      </c>
      <c r="B193" s="18" t="s">
        <v>187</v>
      </c>
      <c r="C193" s="17">
        <v>4603</v>
      </c>
      <c r="D193" s="17">
        <v>914.6</v>
      </c>
      <c r="E193" s="17">
        <f t="shared" si="2"/>
        <v>5517.6</v>
      </c>
      <c r="F193" s="17">
        <v>4573</v>
      </c>
      <c r="G193" s="17">
        <v>4248</v>
      </c>
      <c r="H193" s="17">
        <v>4034</v>
      </c>
      <c r="I193" s="17">
        <v>3523</v>
      </c>
      <c r="J193" s="17">
        <v>3376</v>
      </c>
      <c r="K193" s="17">
        <v>2904</v>
      </c>
      <c r="L193" s="17">
        <v>2565</v>
      </c>
      <c r="M193" s="17">
        <v>2495</v>
      </c>
      <c r="N193" s="17">
        <v>2317</v>
      </c>
      <c r="O193" s="17">
        <v>2070</v>
      </c>
      <c r="P193" s="17">
        <v>1766</v>
      </c>
      <c r="Q193" s="17">
        <v>1411</v>
      </c>
      <c r="R193" s="17">
        <v>1012</v>
      </c>
      <c r="S193" s="17">
        <v>678</v>
      </c>
      <c r="T193" s="17">
        <v>409</v>
      </c>
      <c r="U193" s="17">
        <v>198</v>
      </c>
      <c r="V193" s="17">
        <v>174</v>
      </c>
    </row>
    <row r="194" spans="1:22" x14ac:dyDescent="0.2">
      <c r="A194" s="18" t="s">
        <v>70</v>
      </c>
      <c r="B194" s="18" t="s">
        <v>186</v>
      </c>
      <c r="C194" s="17">
        <v>1224</v>
      </c>
      <c r="D194" s="17">
        <v>222.4</v>
      </c>
      <c r="E194" s="17">
        <f t="shared" si="2"/>
        <v>1446.4</v>
      </c>
      <c r="F194" s="17">
        <v>1112</v>
      </c>
      <c r="G194" s="17">
        <v>1094</v>
      </c>
      <c r="H194" s="17">
        <v>980</v>
      </c>
      <c r="I194" s="17">
        <v>931</v>
      </c>
      <c r="J194" s="17">
        <v>822</v>
      </c>
      <c r="K194" s="17">
        <v>599</v>
      </c>
      <c r="L194" s="17">
        <v>761</v>
      </c>
      <c r="M194" s="17">
        <v>763</v>
      </c>
      <c r="N194" s="17">
        <v>727</v>
      </c>
      <c r="O194" s="17">
        <v>643</v>
      </c>
      <c r="P194" s="17">
        <v>580</v>
      </c>
      <c r="Q194" s="17">
        <v>491</v>
      </c>
      <c r="R194" s="17">
        <v>348</v>
      </c>
      <c r="S194" s="17">
        <v>224</v>
      </c>
      <c r="T194" s="17">
        <v>170</v>
      </c>
      <c r="U194" s="17">
        <v>100</v>
      </c>
      <c r="V194" s="17">
        <v>103</v>
      </c>
    </row>
    <row r="195" spans="1:22" x14ac:dyDescent="0.2">
      <c r="A195" s="18" t="s">
        <v>70</v>
      </c>
      <c r="B195" s="18" t="s">
        <v>185</v>
      </c>
      <c r="C195" s="17">
        <v>1164</v>
      </c>
      <c r="D195" s="17">
        <v>259.2</v>
      </c>
      <c r="E195" s="17">
        <f t="shared" si="2"/>
        <v>1423.2</v>
      </c>
      <c r="F195" s="17">
        <v>1296</v>
      </c>
      <c r="G195" s="17">
        <v>1142</v>
      </c>
      <c r="H195" s="17">
        <v>888</v>
      </c>
      <c r="I195" s="17">
        <v>912</v>
      </c>
      <c r="J195" s="17">
        <v>790</v>
      </c>
      <c r="K195" s="17">
        <v>762</v>
      </c>
      <c r="L195" s="17">
        <v>675</v>
      </c>
      <c r="M195" s="17">
        <v>638</v>
      </c>
      <c r="N195" s="17">
        <v>609</v>
      </c>
      <c r="O195" s="17">
        <v>522</v>
      </c>
      <c r="P195" s="17">
        <v>492</v>
      </c>
      <c r="Q195" s="17">
        <v>406</v>
      </c>
      <c r="R195" s="17">
        <v>267</v>
      </c>
      <c r="S195" s="17">
        <v>215</v>
      </c>
      <c r="T195" s="17">
        <v>98</v>
      </c>
      <c r="U195" s="17">
        <v>53</v>
      </c>
      <c r="V195" s="17">
        <v>47</v>
      </c>
    </row>
    <row r="196" spans="1:22" x14ac:dyDescent="0.2">
      <c r="A196" s="18" t="s">
        <v>70</v>
      </c>
      <c r="B196" s="18" t="s">
        <v>184</v>
      </c>
      <c r="C196" s="17">
        <v>1657</v>
      </c>
      <c r="D196" s="17">
        <v>313.60000000000002</v>
      </c>
      <c r="E196" s="17">
        <f t="shared" ref="E196:E236" si="3">D196+C196</f>
        <v>1970.6</v>
      </c>
      <c r="F196" s="17">
        <v>1568</v>
      </c>
      <c r="G196" s="17">
        <v>1618</v>
      </c>
      <c r="H196" s="17">
        <v>1440</v>
      </c>
      <c r="I196" s="17">
        <v>1382</v>
      </c>
      <c r="J196" s="17">
        <v>1253</v>
      </c>
      <c r="K196" s="17">
        <v>1052</v>
      </c>
      <c r="L196" s="17">
        <v>975</v>
      </c>
      <c r="M196" s="17">
        <v>987</v>
      </c>
      <c r="N196" s="17">
        <v>863</v>
      </c>
      <c r="O196" s="17">
        <v>822</v>
      </c>
      <c r="P196" s="17">
        <v>596</v>
      </c>
      <c r="Q196" s="17">
        <v>486</v>
      </c>
      <c r="R196" s="17">
        <v>327</v>
      </c>
      <c r="S196" s="17">
        <v>273</v>
      </c>
      <c r="T196" s="17">
        <v>194</v>
      </c>
      <c r="U196" s="17">
        <v>92</v>
      </c>
      <c r="V196" s="17">
        <v>115</v>
      </c>
    </row>
    <row r="197" spans="1:22" x14ac:dyDescent="0.2">
      <c r="A197" s="18" t="s">
        <v>70</v>
      </c>
      <c r="B197" s="18" t="s">
        <v>183</v>
      </c>
      <c r="C197" s="17">
        <v>2216</v>
      </c>
      <c r="D197" s="17">
        <v>440.6</v>
      </c>
      <c r="E197" s="17">
        <f t="shared" si="3"/>
        <v>2656.6</v>
      </c>
      <c r="F197" s="17">
        <v>2203</v>
      </c>
      <c r="G197" s="17">
        <v>2224</v>
      </c>
      <c r="H197" s="17">
        <v>1931</v>
      </c>
      <c r="I197" s="17">
        <v>1727</v>
      </c>
      <c r="J197" s="17">
        <v>1696</v>
      </c>
      <c r="K197" s="17">
        <v>1484</v>
      </c>
      <c r="L197" s="17">
        <v>1308</v>
      </c>
      <c r="M197" s="17">
        <v>1395</v>
      </c>
      <c r="N197" s="17">
        <v>1257</v>
      </c>
      <c r="O197" s="17">
        <v>1175</v>
      </c>
      <c r="P197" s="17">
        <v>956</v>
      </c>
      <c r="Q197" s="17">
        <v>722</v>
      </c>
      <c r="R197" s="17">
        <v>495</v>
      </c>
      <c r="S197" s="17">
        <v>352</v>
      </c>
      <c r="T197" s="17">
        <v>237</v>
      </c>
      <c r="U197" s="17">
        <v>105</v>
      </c>
      <c r="V197" s="17">
        <v>106</v>
      </c>
    </row>
    <row r="198" spans="1:22" x14ac:dyDescent="0.2">
      <c r="A198" s="18" t="s">
        <v>70</v>
      </c>
      <c r="B198" s="18" t="s">
        <v>182</v>
      </c>
      <c r="C198" s="17">
        <v>4156</v>
      </c>
      <c r="D198" s="17">
        <v>775.4</v>
      </c>
      <c r="E198" s="17">
        <f t="shared" si="3"/>
        <v>4931.3999999999996</v>
      </c>
      <c r="F198" s="17">
        <v>3877</v>
      </c>
      <c r="G198" s="17">
        <v>3770</v>
      </c>
      <c r="H198" s="17">
        <v>3543</v>
      </c>
      <c r="I198" s="17">
        <v>3041</v>
      </c>
      <c r="J198" s="17">
        <v>3144</v>
      </c>
      <c r="K198" s="17">
        <v>2549</v>
      </c>
      <c r="L198" s="17">
        <v>2377</v>
      </c>
      <c r="M198" s="17">
        <v>2244</v>
      </c>
      <c r="N198" s="17">
        <v>2010</v>
      </c>
      <c r="O198" s="17">
        <v>1661</v>
      </c>
      <c r="P198" s="17">
        <v>1444</v>
      </c>
      <c r="Q198" s="17">
        <v>1045</v>
      </c>
      <c r="R198" s="17">
        <v>797</v>
      </c>
      <c r="S198" s="17">
        <v>548</v>
      </c>
      <c r="T198" s="17">
        <v>406</v>
      </c>
      <c r="U198" s="17">
        <v>238</v>
      </c>
      <c r="V198" s="17">
        <v>225</v>
      </c>
    </row>
    <row r="199" spans="1:22" x14ac:dyDescent="0.2">
      <c r="A199" s="18" t="s">
        <v>70</v>
      </c>
      <c r="B199" s="18" t="s">
        <v>181</v>
      </c>
      <c r="C199" s="17">
        <v>758</v>
      </c>
      <c r="D199" s="17">
        <v>156.6</v>
      </c>
      <c r="E199" s="17">
        <f t="shared" si="3"/>
        <v>914.6</v>
      </c>
      <c r="F199" s="17">
        <v>783</v>
      </c>
      <c r="G199" s="17">
        <v>674</v>
      </c>
      <c r="H199" s="17">
        <v>679</v>
      </c>
      <c r="I199" s="17">
        <v>574</v>
      </c>
      <c r="J199" s="17">
        <v>475</v>
      </c>
      <c r="K199" s="17">
        <v>437</v>
      </c>
      <c r="L199" s="17">
        <v>458</v>
      </c>
      <c r="M199" s="17">
        <v>451</v>
      </c>
      <c r="N199" s="17">
        <v>364</v>
      </c>
      <c r="O199" s="17">
        <v>310</v>
      </c>
      <c r="P199" s="17">
        <v>296</v>
      </c>
      <c r="Q199" s="17">
        <v>245</v>
      </c>
      <c r="R199" s="17">
        <v>160</v>
      </c>
      <c r="S199" s="17">
        <v>129</v>
      </c>
      <c r="T199" s="17">
        <v>89</v>
      </c>
      <c r="U199" s="17">
        <v>52</v>
      </c>
      <c r="V199" s="17">
        <v>69</v>
      </c>
    </row>
    <row r="200" spans="1:22" x14ac:dyDescent="0.2">
      <c r="A200" s="18" t="s">
        <v>70</v>
      </c>
      <c r="B200" s="18" t="s">
        <v>180</v>
      </c>
      <c r="C200" s="17">
        <v>5540</v>
      </c>
      <c r="D200" s="17">
        <v>1058.8</v>
      </c>
      <c r="E200" s="17">
        <f t="shared" si="3"/>
        <v>6598.8</v>
      </c>
      <c r="F200" s="17">
        <v>5294</v>
      </c>
      <c r="G200" s="17">
        <v>5238</v>
      </c>
      <c r="H200" s="17">
        <v>6265</v>
      </c>
      <c r="I200" s="17">
        <v>8439</v>
      </c>
      <c r="J200" s="17">
        <v>7191</v>
      </c>
      <c r="K200" s="17">
        <v>5575</v>
      </c>
      <c r="L200" s="17">
        <v>4627</v>
      </c>
      <c r="M200" s="17">
        <v>3937</v>
      </c>
      <c r="N200" s="17">
        <v>3460</v>
      </c>
      <c r="O200" s="17">
        <v>2975</v>
      </c>
      <c r="P200" s="17">
        <v>2244</v>
      </c>
      <c r="Q200" s="17">
        <v>1710</v>
      </c>
      <c r="R200" s="17">
        <v>1195</v>
      </c>
      <c r="S200" s="17">
        <v>914</v>
      </c>
      <c r="T200" s="17">
        <v>607</v>
      </c>
      <c r="U200" s="17">
        <v>321</v>
      </c>
      <c r="V200" s="17">
        <v>337</v>
      </c>
    </row>
    <row r="201" spans="1:22" x14ac:dyDescent="0.2">
      <c r="A201" s="18" t="s">
        <v>70</v>
      </c>
      <c r="B201" s="18" t="s">
        <v>179</v>
      </c>
      <c r="C201" s="17">
        <v>9371</v>
      </c>
      <c r="D201" s="17">
        <v>1829.6</v>
      </c>
      <c r="E201" s="17">
        <f t="shared" si="3"/>
        <v>11200.6</v>
      </c>
      <c r="F201" s="17">
        <v>9148</v>
      </c>
      <c r="G201" s="17">
        <v>9368</v>
      </c>
      <c r="H201" s="17">
        <v>9242</v>
      </c>
      <c r="I201" s="17">
        <v>8274</v>
      </c>
      <c r="J201" s="17">
        <v>7864</v>
      </c>
      <c r="K201" s="17">
        <v>7009</v>
      </c>
      <c r="L201" s="17">
        <v>6301</v>
      </c>
      <c r="M201" s="17">
        <v>6168</v>
      </c>
      <c r="N201" s="17">
        <v>5303</v>
      </c>
      <c r="O201" s="17">
        <v>4356</v>
      </c>
      <c r="P201" s="17">
        <v>3315</v>
      </c>
      <c r="Q201" s="17">
        <v>2592</v>
      </c>
      <c r="R201" s="17">
        <v>1811</v>
      </c>
      <c r="S201" s="17">
        <v>1451</v>
      </c>
      <c r="T201" s="17">
        <v>983</v>
      </c>
      <c r="U201" s="17">
        <v>486</v>
      </c>
      <c r="V201" s="17">
        <v>452</v>
      </c>
    </row>
    <row r="202" spans="1:22" x14ac:dyDescent="0.2">
      <c r="A202" s="18" t="s">
        <v>70</v>
      </c>
      <c r="B202" s="18" t="s">
        <v>178</v>
      </c>
      <c r="C202" s="17">
        <v>1970</v>
      </c>
      <c r="D202" s="17">
        <v>391.8</v>
      </c>
      <c r="E202" s="17">
        <f t="shared" si="3"/>
        <v>2361.8000000000002</v>
      </c>
      <c r="F202" s="17">
        <v>1959</v>
      </c>
      <c r="G202" s="17">
        <v>1894</v>
      </c>
      <c r="H202" s="17">
        <v>1527</v>
      </c>
      <c r="I202" s="17">
        <v>1179</v>
      </c>
      <c r="J202" s="17">
        <v>1190</v>
      </c>
      <c r="K202" s="17">
        <v>1274</v>
      </c>
      <c r="L202" s="17">
        <v>1124</v>
      </c>
      <c r="M202" s="17">
        <v>962</v>
      </c>
      <c r="N202" s="17">
        <v>903</v>
      </c>
      <c r="O202" s="17">
        <v>712</v>
      </c>
      <c r="P202" s="17">
        <v>663</v>
      </c>
      <c r="Q202" s="17">
        <v>496</v>
      </c>
      <c r="R202" s="17">
        <v>305</v>
      </c>
      <c r="S202" s="17">
        <v>214</v>
      </c>
      <c r="T202" s="17">
        <v>151</v>
      </c>
      <c r="U202" s="17">
        <v>47</v>
      </c>
      <c r="V202" s="17">
        <v>66</v>
      </c>
    </row>
    <row r="203" spans="1:22" x14ac:dyDescent="0.2">
      <c r="A203" s="18" t="s">
        <v>70</v>
      </c>
      <c r="B203" s="18" t="s">
        <v>177</v>
      </c>
      <c r="C203" s="17">
        <v>3690</v>
      </c>
      <c r="D203" s="17">
        <v>608.4</v>
      </c>
      <c r="E203" s="17">
        <f t="shared" si="3"/>
        <v>4298.3999999999996</v>
      </c>
      <c r="F203" s="17">
        <v>3042</v>
      </c>
      <c r="G203" s="17">
        <v>3075</v>
      </c>
      <c r="H203" s="17">
        <v>3018</v>
      </c>
      <c r="I203" s="17">
        <v>3759</v>
      </c>
      <c r="J203" s="17">
        <v>3735</v>
      </c>
      <c r="K203" s="17">
        <v>3123</v>
      </c>
      <c r="L203" s="17">
        <v>2552</v>
      </c>
      <c r="M203" s="17">
        <v>2074</v>
      </c>
      <c r="N203" s="17">
        <v>1776</v>
      </c>
      <c r="O203" s="17">
        <v>1576</v>
      </c>
      <c r="P203" s="17">
        <v>1164</v>
      </c>
      <c r="Q203" s="17">
        <v>961</v>
      </c>
      <c r="R203" s="17">
        <v>598</v>
      </c>
      <c r="S203" s="17">
        <v>427</v>
      </c>
      <c r="T203" s="17">
        <v>265</v>
      </c>
      <c r="U203" s="17">
        <v>129</v>
      </c>
      <c r="V203" s="17">
        <v>129</v>
      </c>
    </row>
    <row r="204" spans="1:22" x14ac:dyDescent="0.2">
      <c r="A204" s="18" t="s">
        <v>70</v>
      </c>
      <c r="B204" s="18" t="s">
        <v>176</v>
      </c>
      <c r="C204" s="17">
        <v>1977</v>
      </c>
      <c r="D204" s="17">
        <v>368.4</v>
      </c>
      <c r="E204" s="17">
        <f t="shared" si="3"/>
        <v>2345.4</v>
      </c>
      <c r="F204" s="17">
        <v>1842</v>
      </c>
      <c r="G204" s="17">
        <v>1690</v>
      </c>
      <c r="H204" s="17">
        <v>1707</v>
      </c>
      <c r="I204" s="17">
        <v>1708</v>
      </c>
      <c r="J204" s="17">
        <v>1809</v>
      </c>
      <c r="K204" s="17">
        <v>1519</v>
      </c>
      <c r="L204" s="17">
        <v>1232</v>
      </c>
      <c r="M204" s="17">
        <v>1189</v>
      </c>
      <c r="N204" s="17">
        <v>1149</v>
      </c>
      <c r="O204" s="17">
        <v>948</v>
      </c>
      <c r="P204" s="17">
        <v>688</v>
      </c>
      <c r="Q204" s="17">
        <v>465</v>
      </c>
      <c r="R204" s="17">
        <v>308</v>
      </c>
      <c r="S204" s="17">
        <v>211</v>
      </c>
      <c r="T204" s="17">
        <v>119</v>
      </c>
      <c r="U204" s="17">
        <v>57</v>
      </c>
      <c r="V204" s="17">
        <v>72</v>
      </c>
    </row>
    <row r="205" spans="1:22" x14ac:dyDescent="0.2">
      <c r="A205" s="18" t="s">
        <v>70</v>
      </c>
      <c r="B205" s="18" t="s">
        <v>175</v>
      </c>
      <c r="C205" s="17">
        <v>25777</v>
      </c>
      <c r="D205" s="17">
        <v>4536.3999999999996</v>
      </c>
      <c r="E205" s="17">
        <f t="shared" si="3"/>
        <v>30313.4</v>
      </c>
      <c r="F205" s="17">
        <v>22682</v>
      </c>
      <c r="G205" s="17">
        <v>21739</v>
      </c>
      <c r="H205" s="17">
        <v>23095</v>
      </c>
      <c r="I205" s="17">
        <v>23573</v>
      </c>
      <c r="J205" s="17">
        <v>23530</v>
      </c>
      <c r="K205" s="17">
        <v>20033</v>
      </c>
      <c r="L205" s="17">
        <v>17119</v>
      </c>
      <c r="M205" s="17">
        <v>15341</v>
      </c>
      <c r="N205" s="17">
        <v>13375</v>
      </c>
      <c r="O205" s="17">
        <v>11834</v>
      </c>
      <c r="P205" s="17">
        <v>9280</v>
      </c>
      <c r="Q205" s="17">
        <v>7107</v>
      </c>
      <c r="R205" s="17">
        <v>4845</v>
      </c>
      <c r="S205" s="17">
        <v>3657</v>
      </c>
      <c r="T205" s="17">
        <v>2467</v>
      </c>
      <c r="U205" s="17">
        <v>1447</v>
      </c>
      <c r="V205" s="17">
        <v>1138</v>
      </c>
    </row>
    <row r="206" spans="1:22" x14ac:dyDescent="0.2">
      <c r="A206" s="18" t="s">
        <v>70</v>
      </c>
      <c r="B206" s="18" t="s">
        <v>174</v>
      </c>
      <c r="C206" s="17">
        <v>5234</v>
      </c>
      <c r="D206" s="17">
        <v>991.8</v>
      </c>
      <c r="E206" s="17">
        <f t="shared" si="3"/>
        <v>6225.8</v>
      </c>
      <c r="F206" s="17">
        <v>4959</v>
      </c>
      <c r="G206" s="17">
        <v>4632</v>
      </c>
      <c r="H206" s="17">
        <v>4299</v>
      </c>
      <c r="I206" s="17">
        <v>4334</v>
      </c>
      <c r="J206" s="17">
        <v>4064</v>
      </c>
      <c r="K206" s="17">
        <v>3543</v>
      </c>
      <c r="L206" s="17">
        <v>3025</v>
      </c>
      <c r="M206" s="17">
        <v>2704</v>
      </c>
      <c r="N206" s="17">
        <v>2425</v>
      </c>
      <c r="O206" s="17">
        <v>2148</v>
      </c>
      <c r="P206" s="17">
        <v>1684</v>
      </c>
      <c r="Q206" s="17">
        <v>1328</v>
      </c>
      <c r="R206" s="17">
        <v>980</v>
      </c>
      <c r="S206" s="17">
        <v>608</v>
      </c>
      <c r="T206" s="17">
        <v>442</v>
      </c>
      <c r="U206" s="17">
        <v>221</v>
      </c>
      <c r="V206" s="17">
        <v>210</v>
      </c>
    </row>
    <row r="207" spans="1:22" x14ac:dyDescent="0.2">
      <c r="A207" s="18" t="s">
        <v>70</v>
      </c>
      <c r="B207" s="18" t="s">
        <v>173</v>
      </c>
      <c r="C207" s="17">
        <v>2690</v>
      </c>
      <c r="D207" s="17">
        <v>499</v>
      </c>
      <c r="E207" s="17">
        <f t="shared" si="3"/>
        <v>3189</v>
      </c>
      <c r="F207" s="17">
        <v>2495</v>
      </c>
      <c r="G207" s="17">
        <v>2417</v>
      </c>
      <c r="H207" s="17">
        <v>2307</v>
      </c>
      <c r="I207" s="17">
        <v>2323</v>
      </c>
      <c r="J207" s="17">
        <v>1914</v>
      </c>
      <c r="K207" s="17">
        <v>1706</v>
      </c>
      <c r="L207" s="17">
        <v>1438</v>
      </c>
      <c r="M207" s="17">
        <v>1274</v>
      </c>
      <c r="N207" s="17">
        <v>1262</v>
      </c>
      <c r="O207" s="17">
        <v>1118</v>
      </c>
      <c r="P207" s="17">
        <v>1003</v>
      </c>
      <c r="Q207" s="17">
        <v>713</v>
      </c>
      <c r="R207" s="17">
        <v>574</v>
      </c>
      <c r="S207" s="17">
        <v>444</v>
      </c>
      <c r="T207" s="17">
        <v>260</v>
      </c>
      <c r="U207" s="17">
        <v>143</v>
      </c>
      <c r="V207" s="17">
        <v>122</v>
      </c>
    </row>
    <row r="208" spans="1:22" x14ac:dyDescent="0.2">
      <c r="A208" s="18" t="s">
        <v>70</v>
      </c>
      <c r="B208" s="18" t="s">
        <v>172</v>
      </c>
      <c r="C208" s="17">
        <v>7278</v>
      </c>
      <c r="D208" s="17">
        <v>1352</v>
      </c>
      <c r="E208" s="17">
        <f t="shared" si="3"/>
        <v>8630</v>
      </c>
      <c r="F208" s="17">
        <v>6760</v>
      </c>
      <c r="G208" s="17">
        <v>6340</v>
      </c>
      <c r="H208" s="17">
        <v>6134</v>
      </c>
      <c r="I208" s="17">
        <v>5617</v>
      </c>
      <c r="J208" s="17">
        <v>5194</v>
      </c>
      <c r="K208" s="17">
        <v>4440</v>
      </c>
      <c r="L208" s="17">
        <v>3940</v>
      </c>
      <c r="M208" s="17">
        <v>3403</v>
      </c>
      <c r="N208" s="17">
        <v>3194</v>
      </c>
      <c r="O208" s="17">
        <v>2858</v>
      </c>
      <c r="P208" s="17">
        <v>2356</v>
      </c>
      <c r="Q208" s="17">
        <v>1885</v>
      </c>
      <c r="R208" s="17">
        <v>1322</v>
      </c>
      <c r="S208" s="17">
        <v>963</v>
      </c>
      <c r="T208" s="17">
        <v>627</v>
      </c>
      <c r="U208" s="17">
        <v>380</v>
      </c>
      <c r="V208" s="17">
        <v>310</v>
      </c>
    </row>
    <row r="209" spans="1:22" x14ac:dyDescent="0.2">
      <c r="A209" s="18" t="s">
        <v>70</v>
      </c>
      <c r="B209" s="18" t="s">
        <v>171</v>
      </c>
      <c r="C209" s="17">
        <v>12593</v>
      </c>
      <c r="D209" s="17">
        <v>2428.6</v>
      </c>
      <c r="E209" s="17">
        <f t="shared" si="3"/>
        <v>15021.6</v>
      </c>
      <c r="F209" s="17">
        <v>12143</v>
      </c>
      <c r="G209" s="17">
        <v>10558</v>
      </c>
      <c r="H209" s="17">
        <v>9423</v>
      </c>
      <c r="I209" s="17">
        <v>7029</v>
      </c>
      <c r="J209" s="17">
        <v>5603</v>
      </c>
      <c r="K209" s="17">
        <v>4830</v>
      </c>
      <c r="L209" s="17">
        <v>4220</v>
      </c>
      <c r="M209" s="17">
        <v>3828</v>
      </c>
      <c r="N209" s="17">
        <v>3815</v>
      </c>
      <c r="O209" s="17">
        <v>3754</v>
      </c>
      <c r="P209" s="17">
        <v>3424</v>
      </c>
      <c r="Q209" s="17">
        <v>2582</v>
      </c>
      <c r="R209" s="17">
        <v>1950</v>
      </c>
      <c r="S209" s="17">
        <v>1445</v>
      </c>
      <c r="T209" s="17">
        <v>1059</v>
      </c>
      <c r="U209" s="17">
        <v>674</v>
      </c>
      <c r="V209" s="17">
        <v>600</v>
      </c>
    </row>
    <row r="210" spans="1:22" x14ac:dyDescent="0.2">
      <c r="A210" s="18" t="s">
        <v>70</v>
      </c>
      <c r="B210" s="18" t="s">
        <v>170</v>
      </c>
      <c r="C210" s="17">
        <v>11164</v>
      </c>
      <c r="D210" s="17">
        <v>1978.8</v>
      </c>
      <c r="E210" s="17">
        <f t="shared" si="3"/>
        <v>13142.8</v>
      </c>
      <c r="F210" s="17">
        <v>9894</v>
      </c>
      <c r="G210" s="17">
        <v>9382</v>
      </c>
      <c r="H210" s="17">
        <v>9482</v>
      </c>
      <c r="I210" s="17">
        <v>8693</v>
      </c>
      <c r="J210" s="17">
        <v>8388</v>
      </c>
      <c r="K210" s="17">
        <v>7458</v>
      </c>
      <c r="L210" s="17">
        <v>6282</v>
      </c>
      <c r="M210" s="17">
        <v>5156</v>
      </c>
      <c r="N210" s="17">
        <v>4551</v>
      </c>
      <c r="O210" s="17">
        <v>3882</v>
      </c>
      <c r="P210" s="17">
        <v>3117</v>
      </c>
      <c r="Q210" s="17">
        <v>2216</v>
      </c>
      <c r="R210" s="17">
        <v>1476</v>
      </c>
      <c r="S210" s="17">
        <v>1021</v>
      </c>
      <c r="T210" s="17">
        <v>720</v>
      </c>
      <c r="U210" s="17">
        <v>460</v>
      </c>
      <c r="V210" s="17">
        <v>308</v>
      </c>
    </row>
    <row r="211" spans="1:22" x14ac:dyDescent="0.2">
      <c r="A211" s="18" t="s">
        <v>70</v>
      </c>
      <c r="B211" s="18" t="s">
        <v>169</v>
      </c>
      <c r="C211" s="17">
        <v>3934</v>
      </c>
      <c r="D211" s="17">
        <v>682.4</v>
      </c>
      <c r="E211" s="17">
        <f t="shared" si="3"/>
        <v>4616.3999999999996</v>
      </c>
      <c r="F211" s="17">
        <v>3412</v>
      </c>
      <c r="G211" s="17">
        <v>3245</v>
      </c>
      <c r="H211" s="17">
        <v>3151</v>
      </c>
      <c r="I211" s="17">
        <v>4703</v>
      </c>
      <c r="J211" s="17">
        <v>5616</v>
      </c>
      <c r="K211" s="17">
        <v>4481</v>
      </c>
      <c r="L211" s="17">
        <v>3324</v>
      </c>
      <c r="M211" s="17">
        <v>2442</v>
      </c>
      <c r="N211" s="17">
        <v>2129</v>
      </c>
      <c r="O211" s="17">
        <v>1866</v>
      </c>
      <c r="P211" s="17">
        <v>1364</v>
      </c>
      <c r="Q211" s="17">
        <v>862</v>
      </c>
      <c r="R211" s="17">
        <v>434</v>
      </c>
      <c r="S211" s="17">
        <v>274</v>
      </c>
      <c r="T211" s="17">
        <v>183</v>
      </c>
      <c r="U211" s="17">
        <v>100</v>
      </c>
      <c r="V211" s="17">
        <v>97</v>
      </c>
    </row>
    <row r="212" spans="1:22" x14ac:dyDescent="0.2">
      <c r="A212" s="18" t="s">
        <v>63</v>
      </c>
      <c r="B212" s="18" t="s">
        <v>168</v>
      </c>
      <c r="C212" s="17">
        <v>6535</v>
      </c>
      <c r="D212" s="17">
        <v>1171.8</v>
      </c>
      <c r="E212" s="17">
        <f t="shared" si="3"/>
        <v>7706.8</v>
      </c>
      <c r="F212" s="17">
        <v>5859</v>
      </c>
      <c r="G212" s="17">
        <v>5608</v>
      </c>
      <c r="H212" s="17">
        <v>6019</v>
      </c>
      <c r="I212" s="17">
        <v>6208</v>
      </c>
      <c r="J212" s="17">
        <v>5567</v>
      </c>
      <c r="K212" s="17">
        <v>4833</v>
      </c>
      <c r="L212" s="17">
        <v>4553</v>
      </c>
      <c r="M212" s="17">
        <v>4662</v>
      </c>
      <c r="N212" s="17">
        <v>4388</v>
      </c>
      <c r="O212" s="17">
        <v>3740</v>
      </c>
      <c r="P212" s="17">
        <v>2899</v>
      </c>
      <c r="Q212" s="17">
        <v>2078</v>
      </c>
      <c r="R212" s="17">
        <v>1575</v>
      </c>
      <c r="S212" s="17">
        <v>1052</v>
      </c>
      <c r="T212" s="17">
        <v>765</v>
      </c>
      <c r="U212" s="17">
        <v>455</v>
      </c>
      <c r="V212" s="17">
        <v>352</v>
      </c>
    </row>
    <row r="213" spans="1:22" x14ac:dyDescent="0.2">
      <c r="A213" s="18" t="s">
        <v>63</v>
      </c>
      <c r="B213" s="18" t="s">
        <v>167</v>
      </c>
      <c r="C213" s="17">
        <v>4549</v>
      </c>
      <c r="D213" s="17">
        <v>821</v>
      </c>
      <c r="E213" s="17">
        <f t="shared" si="3"/>
        <v>5370</v>
      </c>
      <c r="F213" s="17">
        <v>4105</v>
      </c>
      <c r="G213" s="17">
        <v>4073</v>
      </c>
      <c r="H213" s="17">
        <v>4042</v>
      </c>
      <c r="I213" s="17">
        <v>4585</v>
      </c>
      <c r="J213" s="17">
        <v>4553</v>
      </c>
      <c r="K213" s="17">
        <v>3795</v>
      </c>
      <c r="L213" s="17">
        <v>3580</v>
      </c>
      <c r="M213" s="17">
        <v>3695</v>
      </c>
      <c r="N213" s="17">
        <v>3217</v>
      </c>
      <c r="O213" s="17">
        <v>2831</v>
      </c>
      <c r="P213" s="17">
        <v>2055</v>
      </c>
      <c r="Q213" s="17">
        <v>1504</v>
      </c>
      <c r="R213" s="17">
        <v>1188</v>
      </c>
      <c r="S213" s="17">
        <v>878</v>
      </c>
      <c r="T213" s="17">
        <v>546</v>
      </c>
      <c r="U213" s="17">
        <v>322</v>
      </c>
      <c r="V213" s="17">
        <v>248</v>
      </c>
    </row>
    <row r="214" spans="1:22" x14ac:dyDescent="0.2">
      <c r="A214" s="18" t="s">
        <v>63</v>
      </c>
      <c r="B214" s="18" t="s">
        <v>166</v>
      </c>
      <c r="C214" s="17">
        <v>5445</v>
      </c>
      <c r="D214" s="17">
        <v>999.8</v>
      </c>
      <c r="E214" s="17">
        <f t="shared" si="3"/>
        <v>6444.8</v>
      </c>
      <c r="F214" s="17">
        <v>4999</v>
      </c>
      <c r="G214" s="17">
        <v>4987</v>
      </c>
      <c r="H214" s="17">
        <v>5240</v>
      </c>
      <c r="I214" s="17">
        <v>5525</v>
      </c>
      <c r="J214" s="17">
        <v>5331</v>
      </c>
      <c r="K214" s="17">
        <v>4493</v>
      </c>
      <c r="L214" s="17">
        <v>4796</v>
      </c>
      <c r="M214" s="17">
        <v>4520</v>
      </c>
      <c r="N214" s="17">
        <v>4000</v>
      </c>
      <c r="O214" s="17">
        <v>3282</v>
      </c>
      <c r="P214" s="17">
        <v>2814</v>
      </c>
      <c r="Q214" s="17">
        <v>2137</v>
      </c>
      <c r="R214" s="17">
        <v>1532</v>
      </c>
      <c r="S214" s="17">
        <v>1301</v>
      </c>
      <c r="T214" s="17">
        <v>744</v>
      </c>
      <c r="U214" s="17">
        <v>443</v>
      </c>
      <c r="V214" s="17">
        <v>307</v>
      </c>
    </row>
    <row r="215" spans="1:22" x14ac:dyDescent="0.2">
      <c r="A215" s="18" t="s">
        <v>63</v>
      </c>
      <c r="B215" s="18" t="s">
        <v>165</v>
      </c>
      <c r="C215" s="17">
        <v>9778</v>
      </c>
      <c r="D215" s="17">
        <v>1551</v>
      </c>
      <c r="E215" s="17">
        <f t="shared" si="3"/>
        <v>11329</v>
      </c>
      <c r="F215" s="17">
        <v>7755</v>
      </c>
      <c r="G215" s="17">
        <v>7556</v>
      </c>
      <c r="H215" s="17">
        <v>7721</v>
      </c>
      <c r="I215" s="17">
        <v>10294</v>
      </c>
      <c r="J215" s="17">
        <v>10257</v>
      </c>
      <c r="K215" s="17">
        <v>7991</v>
      </c>
      <c r="L215" s="17">
        <v>7487</v>
      </c>
      <c r="M215" s="17">
        <v>7074</v>
      </c>
      <c r="N215" s="17">
        <v>5997</v>
      </c>
      <c r="O215" s="17">
        <v>5152</v>
      </c>
      <c r="P215" s="17">
        <v>3946</v>
      </c>
      <c r="Q215" s="17">
        <v>2985</v>
      </c>
      <c r="R215" s="17">
        <v>2157</v>
      </c>
      <c r="S215" s="17">
        <v>1433</v>
      </c>
      <c r="T215" s="17">
        <v>850</v>
      </c>
      <c r="U215" s="17">
        <v>466</v>
      </c>
      <c r="V215" s="17">
        <v>294</v>
      </c>
    </row>
    <row r="216" spans="1:22" x14ac:dyDescent="0.2">
      <c r="A216" s="18" t="s">
        <v>63</v>
      </c>
      <c r="B216" s="18" t="s">
        <v>164</v>
      </c>
      <c r="C216" s="17">
        <v>10361</v>
      </c>
      <c r="D216" s="17">
        <v>1828.4</v>
      </c>
      <c r="E216" s="17">
        <f t="shared" si="3"/>
        <v>12189.4</v>
      </c>
      <c r="F216" s="17">
        <v>9142</v>
      </c>
      <c r="G216" s="17">
        <v>8972</v>
      </c>
      <c r="H216" s="17">
        <v>9409</v>
      </c>
      <c r="I216" s="17">
        <v>11116</v>
      </c>
      <c r="J216" s="17">
        <v>11124</v>
      </c>
      <c r="K216" s="17">
        <v>8444</v>
      </c>
      <c r="L216" s="17">
        <v>8438</v>
      </c>
      <c r="M216" s="17">
        <v>8631</v>
      </c>
      <c r="N216" s="17">
        <v>7202</v>
      </c>
      <c r="O216" s="17">
        <v>5873</v>
      </c>
      <c r="P216" s="17">
        <v>4585</v>
      </c>
      <c r="Q216" s="17">
        <v>3809</v>
      </c>
      <c r="R216" s="17">
        <v>2492</v>
      </c>
      <c r="S216" s="17">
        <v>1749</v>
      </c>
      <c r="T216" s="17">
        <v>1252</v>
      </c>
      <c r="U216" s="17">
        <v>649</v>
      </c>
      <c r="V216" s="17">
        <v>514</v>
      </c>
    </row>
    <row r="217" spans="1:22" x14ac:dyDescent="0.2">
      <c r="A217" s="18" t="s">
        <v>63</v>
      </c>
      <c r="B217" s="18" t="s">
        <v>163</v>
      </c>
      <c r="C217" s="17">
        <v>10308</v>
      </c>
      <c r="D217" s="17">
        <v>1868.2</v>
      </c>
      <c r="E217" s="17">
        <f t="shared" si="3"/>
        <v>12176.2</v>
      </c>
      <c r="F217" s="17">
        <v>9341</v>
      </c>
      <c r="G217" s="17">
        <v>9810</v>
      </c>
      <c r="H217" s="17">
        <v>9988</v>
      </c>
      <c r="I217" s="17">
        <v>12022</v>
      </c>
      <c r="J217" s="17">
        <v>12234</v>
      </c>
      <c r="K217" s="17">
        <v>9921</v>
      </c>
      <c r="L217" s="17">
        <v>9328</v>
      </c>
      <c r="M217" s="17">
        <v>8448</v>
      </c>
      <c r="N217" s="17">
        <v>7039</v>
      </c>
      <c r="O217" s="17">
        <v>5569</v>
      </c>
      <c r="P217" s="17">
        <v>4180</v>
      </c>
      <c r="Q217" s="17">
        <v>2904</v>
      </c>
      <c r="R217" s="17">
        <v>1900</v>
      </c>
      <c r="S217" s="17">
        <v>1254</v>
      </c>
      <c r="T217" s="17">
        <v>830</v>
      </c>
      <c r="U217" s="17">
        <v>472</v>
      </c>
      <c r="V217" s="17">
        <v>398</v>
      </c>
    </row>
    <row r="218" spans="1:22" x14ac:dyDescent="0.2">
      <c r="A218" s="18" t="s">
        <v>63</v>
      </c>
      <c r="B218" s="18" t="s">
        <v>162</v>
      </c>
      <c r="C218" s="17">
        <v>23783</v>
      </c>
      <c r="D218" s="17">
        <v>4028.2</v>
      </c>
      <c r="E218" s="17">
        <f t="shared" si="3"/>
        <v>27811.200000000001</v>
      </c>
      <c r="F218" s="17">
        <v>20141</v>
      </c>
      <c r="G218" s="17">
        <v>20368</v>
      </c>
      <c r="H218" s="17">
        <v>23290</v>
      </c>
      <c r="I218" s="17">
        <v>25381</v>
      </c>
      <c r="J218" s="17">
        <v>23072</v>
      </c>
      <c r="K218" s="17">
        <v>17714</v>
      </c>
      <c r="L218" s="17">
        <v>18099</v>
      </c>
      <c r="M218" s="17">
        <v>18536</v>
      </c>
      <c r="N218" s="17">
        <v>16508</v>
      </c>
      <c r="O218" s="17">
        <v>13660</v>
      </c>
      <c r="P218" s="17">
        <v>10143</v>
      </c>
      <c r="Q218" s="17">
        <v>7434</v>
      </c>
      <c r="R218" s="17">
        <v>4867</v>
      </c>
      <c r="S218" s="17">
        <v>3568</v>
      </c>
      <c r="T218" s="17">
        <v>2275</v>
      </c>
      <c r="U218" s="17">
        <v>1360</v>
      </c>
      <c r="V218" s="17">
        <v>1063</v>
      </c>
    </row>
    <row r="219" spans="1:22" x14ac:dyDescent="0.2">
      <c r="A219" s="18" t="s">
        <v>63</v>
      </c>
      <c r="B219" s="18" t="s">
        <v>161</v>
      </c>
      <c r="C219" s="17">
        <v>13428</v>
      </c>
      <c r="D219" s="17">
        <v>2225</v>
      </c>
      <c r="E219" s="17">
        <f t="shared" si="3"/>
        <v>15653</v>
      </c>
      <c r="F219" s="17">
        <v>11125</v>
      </c>
      <c r="G219" s="17">
        <v>10992</v>
      </c>
      <c r="H219" s="17">
        <v>15417</v>
      </c>
      <c r="I219" s="17">
        <v>22965</v>
      </c>
      <c r="J219" s="17">
        <v>15731</v>
      </c>
      <c r="K219" s="17">
        <v>11799</v>
      </c>
      <c r="L219" s="17">
        <v>10463</v>
      </c>
      <c r="M219" s="17">
        <v>10060</v>
      </c>
      <c r="N219" s="17">
        <v>8888</v>
      </c>
      <c r="O219" s="17">
        <v>7212</v>
      </c>
      <c r="P219" s="17">
        <v>5733</v>
      </c>
      <c r="Q219" s="17">
        <v>4266</v>
      </c>
      <c r="R219" s="17">
        <v>2908</v>
      </c>
      <c r="S219" s="17">
        <v>2025</v>
      </c>
      <c r="T219" s="17">
        <v>1289</v>
      </c>
      <c r="U219" s="17">
        <v>814</v>
      </c>
      <c r="V219" s="17">
        <v>618</v>
      </c>
    </row>
    <row r="220" spans="1:22" x14ac:dyDescent="0.2">
      <c r="A220" s="18" t="s">
        <v>63</v>
      </c>
      <c r="B220" s="18" t="s">
        <v>160</v>
      </c>
      <c r="C220" s="17">
        <v>16705</v>
      </c>
      <c r="D220" s="17">
        <v>2948.8</v>
      </c>
      <c r="E220" s="17">
        <f t="shared" si="3"/>
        <v>19653.8</v>
      </c>
      <c r="F220" s="17">
        <v>14744</v>
      </c>
      <c r="G220" s="17">
        <v>14970</v>
      </c>
      <c r="H220" s="17">
        <v>15409</v>
      </c>
      <c r="I220" s="17">
        <v>15221</v>
      </c>
      <c r="J220" s="17">
        <v>14970</v>
      </c>
      <c r="K220" s="17">
        <v>12335</v>
      </c>
      <c r="L220" s="17">
        <v>12025</v>
      </c>
      <c r="M220" s="17">
        <v>11635</v>
      </c>
      <c r="N220" s="17">
        <v>9975</v>
      </c>
      <c r="O220" s="17">
        <v>8480</v>
      </c>
      <c r="P220" s="17">
        <v>6515</v>
      </c>
      <c r="Q220" s="17">
        <v>5005</v>
      </c>
      <c r="R220" s="17">
        <v>3219</v>
      </c>
      <c r="S220" s="17">
        <v>2445</v>
      </c>
      <c r="T220" s="17">
        <v>1532</v>
      </c>
      <c r="U220" s="17">
        <v>920</v>
      </c>
      <c r="V220" s="17">
        <v>722</v>
      </c>
    </row>
    <row r="221" spans="1:22" x14ac:dyDescent="0.2">
      <c r="A221" s="18" t="s">
        <v>63</v>
      </c>
      <c r="B221" s="18" t="s">
        <v>159</v>
      </c>
      <c r="C221" s="17">
        <v>9787</v>
      </c>
      <c r="D221" s="17">
        <v>1780.2</v>
      </c>
      <c r="E221" s="17">
        <f t="shared" si="3"/>
        <v>11567.2</v>
      </c>
      <c r="F221" s="17">
        <v>8901</v>
      </c>
      <c r="G221" s="17">
        <v>9071</v>
      </c>
      <c r="H221" s="17">
        <v>8644</v>
      </c>
      <c r="I221" s="17">
        <v>8503</v>
      </c>
      <c r="J221" s="17">
        <v>8205</v>
      </c>
      <c r="K221" s="17">
        <v>6802</v>
      </c>
      <c r="L221" s="17">
        <v>6804</v>
      </c>
      <c r="M221" s="17">
        <v>7222</v>
      </c>
      <c r="N221" s="17">
        <v>6142</v>
      </c>
      <c r="O221" s="17">
        <v>4902</v>
      </c>
      <c r="P221" s="17">
        <v>3832</v>
      </c>
      <c r="Q221" s="17">
        <v>2971</v>
      </c>
      <c r="R221" s="17">
        <v>2203</v>
      </c>
      <c r="S221" s="17">
        <v>1570</v>
      </c>
      <c r="T221" s="17">
        <v>1076</v>
      </c>
      <c r="U221" s="17">
        <v>594</v>
      </c>
      <c r="V221" s="17">
        <v>494</v>
      </c>
    </row>
    <row r="222" spans="1:22" x14ac:dyDescent="0.2">
      <c r="A222" s="18" t="s">
        <v>63</v>
      </c>
      <c r="B222" s="18" t="s">
        <v>158</v>
      </c>
      <c r="C222" s="17">
        <v>3331</v>
      </c>
      <c r="D222" s="17">
        <v>587.79999999999995</v>
      </c>
      <c r="E222" s="17">
        <f t="shared" si="3"/>
        <v>3918.8</v>
      </c>
      <c r="F222" s="17">
        <v>2939</v>
      </c>
      <c r="G222" s="17">
        <v>3122</v>
      </c>
      <c r="H222" s="17">
        <v>3046</v>
      </c>
      <c r="I222" s="17">
        <v>3059</v>
      </c>
      <c r="J222" s="17">
        <v>2951</v>
      </c>
      <c r="K222" s="17">
        <v>2474</v>
      </c>
      <c r="L222" s="17">
        <v>2573</v>
      </c>
      <c r="M222" s="17">
        <v>2454</v>
      </c>
      <c r="N222" s="17">
        <v>2476</v>
      </c>
      <c r="O222" s="17">
        <v>1997</v>
      </c>
      <c r="P222" s="17">
        <v>1580</v>
      </c>
      <c r="Q222" s="17">
        <v>1295</v>
      </c>
      <c r="R222" s="17">
        <v>950</v>
      </c>
      <c r="S222" s="17">
        <v>711</v>
      </c>
      <c r="T222" s="17">
        <v>465</v>
      </c>
      <c r="U222" s="17">
        <v>297</v>
      </c>
      <c r="V222" s="17">
        <v>195</v>
      </c>
    </row>
    <row r="223" spans="1:22" x14ac:dyDescent="0.2">
      <c r="A223" s="18" t="s">
        <v>63</v>
      </c>
      <c r="B223" s="18" t="s">
        <v>157</v>
      </c>
      <c r="C223" s="17">
        <v>10013</v>
      </c>
      <c r="D223" s="17">
        <v>1788.4</v>
      </c>
      <c r="E223" s="17">
        <f t="shared" si="3"/>
        <v>11801.4</v>
      </c>
      <c r="F223" s="17">
        <v>8942</v>
      </c>
      <c r="G223" s="17">
        <v>8770</v>
      </c>
      <c r="H223" s="17">
        <v>9028</v>
      </c>
      <c r="I223" s="17">
        <v>10054</v>
      </c>
      <c r="J223" s="17">
        <v>11372</v>
      </c>
      <c r="K223" s="17">
        <v>8470</v>
      </c>
      <c r="L223" s="17">
        <v>8486</v>
      </c>
      <c r="M223" s="17">
        <v>8013</v>
      </c>
      <c r="N223" s="17">
        <v>6899</v>
      </c>
      <c r="O223" s="17">
        <v>5677</v>
      </c>
      <c r="P223" s="17">
        <v>4110</v>
      </c>
      <c r="Q223" s="17">
        <v>3354</v>
      </c>
      <c r="R223" s="17">
        <v>2212</v>
      </c>
      <c r="S223" s="17">
        <v>1502</v>
      </c>
      <c r="T223" s="17">
        <v>944</v>
      </c>
      <c r="U223" s="17">
        <v>493</v>
      </c>
      <c r="V223" s="17">
        <v>451</v>
      </c>
    </row>
    <row r="224" spans="1:22" x14ac:dyDescent="0.2">
      <c r="A224" s="18" t="s">
        <v>63</v>
      </c>
      <c r="B224" s="18" t="s">
        <v>156</v>
      </c>
      <c r="C224" s="17">
        <v>6768</v>
      </c>
      <c r="D224" s="17">
        <v>1081.8</v>
      </c>
      <c r="E224" s="17">
        <f t="shared" si="3"/>
        <v>7849.8</v>
      </c>
      <c r="F224" s="17">
        <v>5409</v>
      </c>
      <c r="G224" s="17">
        <v>5097</v>
      </c>
      <c r="H224" s="17">
        <v>5136</v>
      </c>
      <c r="I224" s="17">
        <v>6530</v>
      </c>
      <c r="J224" s="17">
        <v>8193</v>
      </c>
      <c r="K224" s="17">
        <v>6930</v>
      </c>
      <c r="L224" s="17">
        <v>5751</v>
      </c>
      <c r="M224" s="17">
        <v>5197</v>
      </c>
      <c r="N224" s="17">
        <v>4116</v>
      </c>
      <c r="O224" s="17">
        <v>3615</v>
      </c>
      <c r="P224" s="17">
        <v>3423</v>
      </c>
      <c r="Q224" s="17">
        <v>3911</v>
      </c>
      <c r="R224" s="17">
        <v>3676</v>
      </c>
      <c r="S224" s="17">
        <v>2950</v>
      </c>
      <c r="T224" s="17">
        <v>1839</v>
      </c>
      <c r="U224" s="17">
        <v>1074</v>
      </c>
      <c r="V224" s="17">
        <v>815</v>
      </c>
    </row>
    <row r="225" spans="1:22" x14ac:dyDescent="0.2">
      <c r="A225" s="18" t="s">
        <v>63</v>
      </c>
      <c r="B225" s="18" t="s">
        <v>155</v>
      </c>
      <c r="C225" s="17">
        <v>2691</v>
      </c>
      <c r="D225" s="17">
        <v>481.2</v>
      </c>
      <c r="E225" s="17">
        <f t="shared" si="3"/>
        <v>3172.2</v>
      </c>
      <c r="F225" s="17">
        <v>2406</v>
      </c>
      <c r="G225" s="17">
        <v>2644</v>
      </c>
      <c r="H225" s="17">
        <v>2654</v>
      </c>
      <c r="I225" s="17">
        <v>2705</v>
      </c>
      <c r="J225" s="17">
        <v>2808</v>
      </c>
      <c r="K225" s="17">
        <v>2167</v>
      </c>
      <c r="L225" s="17">
        <v>2242</v>
      </c>
      <c r="M225" s="17">
        <v>2496</v>
      </c>
      <c r="N225" s="17">
        <v>2264</v>
      </c>
      <c r="O225" s="17">
        <v>2024</v>
      </c>
      <c r="P225" s="17">
        <v>1561</v>
      </c>
      <c r="Q225" s="17">
        <v>1422</v>
      </c>
      <c r="R225" s="17">
        <v>1097</v>
      </c>
      <c r="S225" s="17">
        <v>850</v>
      </c>
      <c r="T225" s="17">
        <v>509</v>
      </c>
      <c r="U225" s="17">
        <v>317</v>
      </c>
      <c r="V225" s="17">
        <v>180</v>
      </c>
    </row>
    <row r="226" spans="1:22" x14ac:dyDescent="0.2">
      <c r="A226" s="18" t="s">
        <v>63</v>
      </c>
      <c r="B226" s="18" t="s">
        <v>154</v>
      </c>
      <c r="C226" s="17">
        <v>2452</v>
      </c>
      <c r="D226" s="17">
        <v>447.6</v>
      </c>
      <c r="E226" s="17">
        <f t="shared" si="3"/>
        <v>2899.6</v>
      </c>
      <c r="F226" s="17">
        <v>2238</v>
      </c>
      <c r="G226" s="17">
        <v>2428</v>
      </c>
      <c r="H226" s="17">
        <v>2201</v>
      </c>
      <c r="I226" s="17">
        <v>2024</v>
      </c>
      <c r="J226" s="17">
        <v>1794</v>
      </c>
      <c r="K226" s="17">
        <v>1468</v>
      </c>
      <c r="L226" s="17">
        <v>1585</v>
      </c>
      <c r="M226" s="17">
        <v>1694</v>
      </c>
      <c r="N226" s="17">
        <v>1575</v>
      </c>
      <c r="O226" s="17">
        <v>1356</v>
      </c>
      <c r="P226" s="17">
        <v>1098</v>
      </c>
      <c r="Q226" s="17">
        <v>933</v>
      </c>
      <c r="R226" s="17">
        <v>688</v>
      </c>
      <c r="S226" s="17">
        <v>548</v>
      </c>
      <c r="T226" s="17">
        <v>335</v>
      </c>
      <c r="U226" s="17">
        <v>185</v>
      </c>
      <c r="V226" s="17">
        <v>165</v>
      </c>
    </row>
    <row r="227" spans="1:22" x14ac:dyDescent="0.2">
      <c r="A227" s="18" t="s">
        <v>63</v>
      </c>
      <c r="B227" s="18" t="s">
        <v>153</v>
      </c>
      <c r="C227" s="17">
        <v>4351</v>
      </c>
      <c r="D227" s="17">
        <v>829.2</v>
      </c>
      <c r="E227" s="17">
        <f t="shared" si="3"/>
        <v>5180.2</v>
      </c>
      <c r="F227" s="17">
        <v>4146</v>
      </c>
      <c r="G227" s="17">
        <v>4329</v>
      </c>
      <c r="H227" s="17">
        <v>3970</v>
      </c>
      <c r="I227" s="17">
        <v>3689</v>
      </c>
      <c r="J227" s="17">
        <v>4086</v>
      </c>
      <c r="K227" s="17">
        <v>3107</v>
      </c>
      <c r="L227" s="17">
        <v>3364</v>
      </c>
      <c r="M227" s="17">
        <v>3911</v>
      </c>
      <c r="N227" s="17">
        <v>3574</v>
      </c>
      <c r="O227" s="17">
        <v>3075</v>
      </c>
      <c r="P227" s="17">
        <v>2725</v>
      </c>
      <c r="Q227" s="17">
        <v>2485</v>
      </c>
      <c r="R227" s="17">
        <v>2155</v>
      </c>
      <c r="S227" s="17">
        <v>1579</v>
      </c>
      <c r="T227" s="17">
        <v>1062</v>
      </c>
      <c r="U227" s="17">
        <v>604</v>
      </c>
      <c r="V227" s="17">
        <v>428</v>
      </c>
    </row>
    <row r="228" spans="1:22" x14ac:dyDescent="0.2">
      <c r="A228" s="18" t="s">
        <v>63</v>
      </c>
      <c r="B228" s="18" t="s">
        <v>152</v>
      </c>
      <c r="C228" s="17">
        <v>7577</v>
      </c>
      <c r="D228" s="17">
        <v>1348.6</v>
      </c>
      <c r="E228" s="17">
        <f t="shared" si="3"/>
        <v>8925.6</v>
      </c>
      <c r="F228" s="17">
        <v>6743</v>
      </c>
      <c r="G228" s="17">
        <v>6363</v>
      </c>
      <c r="H228" s="17">
        <v>6580</v>
      </c>
      <c r="I228" s="17">
        <v>7332</v>
      </c>
      <c r="J228" s="17">
        <v>8125</v>
      </c>
      <c r="K228" s="17">
        <v>6752</v>
      </c>
      <c r="L228" s="17">
        <v>6330</v>
      </c>
      <c r="M228" s="17">
        <v>6237</v>
      </c>
      <c r="N228" s="17">
        <v>5371</v>
      </c>
      <c r="O228" s="17">
        <v>4826</v>
      </c>
      <c r="P228" s="17">
        <v>4272</v>
      </c>
      <c r="Q228" s="17">
        <v>3903</v>
      </c>
      <c r="R228" s="17">
        <v>3350</v>
      </c>
      <c r="S228" s="17">
        <v>2542</v>
      </c>
      <c r="T228" s="17">
        <v>1582</v>
      </c>
      <c r="U228" s="17">
        <v>902</v>
      </c>
      <c r="V228" s="17">
        <v>643</v>
      </c>
    </row>
    <row r="229" spans="1:22" x14ac:dyDescent="0.2">
      <c r="A229" s="18" t="s">
        <v>63</v>
      </c>
      <c r="B229" s="18" t="s">
        <v>151</v>
      </c>
      <c r="C229" s="17">
        <v>18423</v>
      </c>
      <c r="D229" s="17">
        <v>3296.6</v>
      </c>
      <c r="E229" s="17">
        <f t="shared" si="3"/>
        <v>21719.599999999999</v>
      </c>
      <c r="F229" s="17">
        <v>16483</v>
      </c>
      <c r="G229" s="17">
        <v>16047</v>
      </c>
      <c r="H229" s="17">
        <v>16718</v>
      </c>
      <c r="I229" s="17">
        <v>17000</v>
      </c>
      <c r="J229" s="17">
        <v>17419</v>
      </c>
      <c r="K229" s="17">
        <v>14423</v>
      </c>
      <c r="L229" s="17">
        <v>14269</v>
      </c>
      <c r="M229" s="17">
        <v>13728</v>
      </c>
      <c r="N229" s="17">
        <v>12186</v>
      </c>
      <c r="O229" s="17">
        <v>10010</v>
      </c>
      <c r="P229" s="17">
        <v>7915</v>
      </c>
      <c r="Q229" s="17">
        <v>6679</v>
      </c>
      <c r="R229" s="17">
        <v>4493</v>
      </c>
      <c r="S229" s="17">
        <v>3412</v>
      </c>
      <c r="T229" s="17">
        <v>2190</v>
      </c>
      <c r="U229" s="17">
        <v>1290</v>
      </c>
      <c r="V229" s="17">
        <v>986</v>
      </c>
    </row>
    <row r="230" spans="1:22" x14ac:dyDescent="0.2">
      <c r="A230" s="18" t="s">
        <v>63</v>
      </c>
      <c r="B230" s="18" t="s">
        <v>150</v>
      </c>
      <c r="C230" s="17">
        <v>9353</v>
      </c>
      <c r="D230" s="17">
        <v>1785.4</v>
      </c>
      <c r="E230" s="17">
        <f t="shared" si="3"/>
        <v>11138.4</v>
      </c>
      <c r="F230" s="17">
        <v>8927</v>
      </c>
      <c r="G230" s="17">
        <v>9205</v>
      </c>
      <c r="H230" s="17">
        <v>9276</v>
      </c>
      <c r="I230" s="17">
        <v>8105</v>
      </c>
      <c r="J230" s="17">
        <v>7211</v>
      </c>
      <c r="K230" s="17">
        <v>5957</v>
      </c>
      <c r="L230" s="17">
        <v>6530</v>
      </c>
      <c r="M230" s="17">
        <v>6320</v>
      </c>
      <c r="N230" s="17">
        <v>5744</v>
      </c>
      <c r="O230" s="17">
        <v>5014</v>
      </c>
      <c r="P230" s="17">
        <v>4114</v>
      </c>
      <c r="Q230" s="17">
        <v>3314</v>
      </c>
      <c r="R230" s="17">
        <v>2510</v>
      </c>
      <c r="S230" s="17">
        <v>1848</v>
      </c>
      <c r="T230" s="17">
        <v>1207</v>
      </c>
      <c r="U230" s="17">
        <v>765</v>
      </c>
      <c r="V230" s="17">
        <v>534</v>
      </c>
    </row>
    <row r="231" spans="1:22" x14ac:dyDescent="0.2">
      <c r="A231" s="18" t="s">
        <v>63</v>
      </c>
      <c r="B231" s="18" t="s">
        <v>149</v>
      </c>
      <c r="C231" s="17">
        <v>4641</v>
      </c>
      <c r="D231" s="17">
        <v>808.4</v>
      </c>
      <c r="E231" s="17">
        <f t="shared" si="3"/>
        <v>5449.4</v>
      </c>
      <c r="F231" s="17">
        <v>4042</v>
      </c>
      <c r="G231" s="17">
        <v>3703</v>
      </c>
      <c r="H231" s="17">
        <v>3682</v>
      </c>
      <c r="I231" s="17">
        <v>4224</v>
      </c>
      <c r="J231" s="17">
        <v>4974</v>
      </c>
      <c r="K231" s="17">
        <v>4601</v>
      </c>
      <c r="L231" s="17">
        <v>4241</v>
      </c>
      <c r="M231" s="17">
        <v>3511</v>
      </c>
      <c r="N231" s="17">
        <v>2905</v>
      </c>
      <c r="O231" s="17">
        <v>2323</v>
      </c>
      <c r="P231" s="17">
        <v>1763</v>
      </c>
      <c r="Q231" s="17">
        <v>1423</v>
      </c>
      <c r="R231" s="17">
        <v>1195</v>
      </c>
      <c r="S231" s="17">
        <v>882</v>
      </c>
      <c r="T231" s="17">
        <v>527</v>
      </c>
      <c r="U231" s="17">
        <v>285</v>
      </c>
      <c r="V231" s="17">
        <v>240</v>
      </c>
    </row>
    <row r="232" spans="1:22" x14ac:dyDescent="0.2">
      <c r="A232" s="18" t="s">
        <v>63</v>
      </c>
      <c r="B232" s="18" t="s">
        <v>148</v>
      </c>
      <c r="C232" s="17">
        <v>6548</v>
      </c>
      <c r="D232" s="17">
        <v>1063.8</v>
      </c>
      <c r="E232" s="17">
        <f t="shared" si="3"/>
        <v>7611.8</v>
      </c>
      <c r="F232" s="17">
        <v>5319</v>
      </c>
      <c r="G232" s="17">
        <v>5147</v>
      </c>
      <c r="H232" s="17">
        <v>5125</v>
      </c>
      <c r="I232" s="17">
        <v>5844</v>
      </c>
      <c r="J232" s="17">
        <v>6530</v>
      </c>
      <c r="K232" s="17">
        <v>5721</v>
      </c>
      <c r="L232" s="17">
        <v>5299</v>
      </c>
      <c r="M232" s="17">
        <v>4787</v>
      </c>
      <c r="N232" s="17">
        <v>3874</v>
      </c>
      <c r="O232" s="17">
        <v>3318</v>
      </c>
      <c r="P232" s="17">
        <v>2838</v>
      </c>
      <c r="Q232" s="17">
        <v>2585</v>
      </c>
      <c r="R232" s="17">
        <v>2064</v>
      </c>
      <c r="S232" s="17">
        <v>1714</v>
      </c>
      <c r="T232" s="17">
        <v>941</v>
      </c>
      <c r="U232" s="17">
        <v>527</v>
      </c>
      <c r="V232" s="17">
        <v>477</v>
      </c>
    </row>
    <row r="233" spans="1:22" x14ac:dyDescent="0.2">
      <c r="A233" s="18" t="s">
        <v>63</v>
      </c>
      <c r="B233" s="18" t="s">
        <v>147</v>
      </c>
      <c r="C233" s="17">
        <v>806</v>
      </c>
      <c r="D233" s="17">
        <v>141.4</v>
      </c>
      <c r="E233" s="17">
        <f t="shared" si="3"/>
        <v>947.4</v>
      </c>
      <c r="F233" s="17">
        <v>707</v>
      </c>
      <c r="G233" s="17">
        <v>684</v>
      </c>
      <c r="H233" s="17">
        <v>667</v>
      </c>
      <c r="I233" s="17">
        <v>571</v>
      </c>
      <c r="J233" s="17">
        <v>629</v>
      </c>
      <c r="K233" s="17">
        <v>603</v>
      </c>
      <c r="L233" s="17">
        <v>630</v>
      </c>
      <c r="M233" s="17">
        <v>624</v>
      </c>
      <c r="N233" s="17">
        <v>533</v>
      </c>
      <c r="O233" s="17">
        <v>492</v>
      </c>
      <c r="P233" s="17">
        <v>414</v>
      </c>
      <c r="Q233" s="17">
        <v>329</v>
      </c>
      <c r="R233" s="17">
        <v>238</v>
      </c>
      <c r="S233" s="17">
        <v>152</v>
      </c>
      <c r="T233" s="17">
        <v>99</v>
      </c>
      <c r="U233" s="17">
        <v>61</v>
      </c>
      <c r="V233" s="17">
        <v>50</v>
      </c>
    </row>
    <row r="234" spans="1:22" x14ac:dyDescent="0.2">
      <c r="A234" s="18" t="s">
        <v>63</v>
      </c>
      <c r="B234" s="18" t="s">
        <v>146</v>
      </c>
      <c r="C234" s="17">
        <v>1308</v>
      </c>
      <c r="D234" s="17">
        <v>259.8</v>
      </c>
      <c r="E234" s="17">
        <f t="shared" si="3"/>
        <v>1567.8</v>
      </c>
      <c r="F234" s="17">
        <v>1299</v>
      </c>
      <c r="G234" s="17">
        <v>1278</v>
      </c>
      <c r="H234" s="17">
        <v>1141</v>
      </c>
      <c r="I234" s="17">
        <v>1131</v>
      </c>
      <c r="J234" s="17">
        <v>1005</v>
      </c>
      <c r="K234" s="17">
        <v>890</v>
      </c>
      <c r="L234" s="17">
        <v>855</v>
      </c>
      <c r="M234" s="17">
        <v>888</v>
      </c>
      <c r="N234" s="17">
        <v>875</v>
      </c>
      <c r="O234" s="17">
        <v>678</v>
      </c>
      <c r="P234" s="17">
        <v>527</v>
      </c>
      <c r="Q234" s="17">
        <v>420</v>
      </c>
      <c r="R234" s="17">
        <v>310</v>
      </c>
      <c r="S234" s="17">
        <v>252</v>
      </c>
      <c r="T234" s="17">
        <v>147</v>
      </c>
      <c r="U234" s="17">
        <v>77</v>
      </c>
      <c r="V234" s="17">
        <v>55</v>
      </c>
    </row>
    <row r="235" spans="1:22" x14ac:dyDescent="0.2">
      <c r="A235" s="18" t="s">
        <v>63</v>
      </c>
      <c r="B235" s="18" t="s">
        <v>145</v>
      </c>
      <c r="C235" s="17">
        <v>5564</v>
      </c>
      <c r="D235" s="17">
        <v>1005</v>
      </c>
      <c r="E235" s="17">
        <f t="shared" si="3"/>
        <v>6569</v>
      </c>
      <c r="F235" s="17">
        <v>5025</v>
      </c>
      <c r="G235" s="17">
        <v>5012</v>
      </c>
      <c r="H235" s="17">
        <v>4351</v>
      </c>
      <c r="I235" s="17">
        <v>3971</v>
      </c>
      <c r="J235" s="17">
        <v>3708</v>
      </c>
      <c r="K235" s="17">
        <v>3247</v>
      </c>
      <c r="L235" s="17">
        <v>3287</v>
      </c>
      <c r="M235" s="17">
        <v>3274</v>
      </c>
      <c r="N235" s="17">
        <v>2870</v>
      </c>
      <c r="O235" s="17">
        <v>2641</v>
      </c>
      <c r="P235" s="17">
        <v>2106</v>
      </c>
      <c r="Q235" s="17">
        <v>1595</v>
      </c>
      <c r="R235" s="17">
        <v>1090</v>
      </c>
      <c r="S235" s="17">
        <v>839</v>
      </c>
      <c r="T235" s="17">
        <v>504</v>
      </c>
      <c r="U235" s="17">
        <v>267</v>
      </c>
      <c r="V235" s="17">
        <v>236</v>
      </c>
    </row>
    <row r="236" spans="1:22" x14ac:dyDescent="0.2">
      <c r="A236" s="18" t="s">
        <v>144</v>
      </c>
      <c r="B236" s="18" t="s">
        <v>62</v>
      </c>
      <c r="C236" s="17">
        <v>370296</v>
      </c>
      <c r="D236" s="17">
        <v>57885.4</v>
      </c>
      <c r="E236" s="17">
        <f t="shared" si="3"/>
        <v>428181.4</v>
      </c>
      <c r="F236" s="17">
        <v>289427</v>
      </c>
      <c r="G236" s="17">
        <v>268606</v>
      </c>
      <c r="H236" s="17">
        <v>301370</v>
      </c>
      <c r="I236" s="17">
        <v>385489</v>
      </c>
      <c r="J236" s="17">
        <v>400698</v>
      </c>
      <c r="K236" s="17">
        <v>326664</v>
      </c>
      <c r="L236" s="17">
        <v>285622</v>
      </c>
      <c r="M236" s="17">
        <v>247421</v>
      </c>
      <c r="N236" s="17">
        <v>219245</v>
      </c>
      <c r="O236" s="17">
        <v>184935</v>
      </c>
      <c r="P236" s="17">
        <v>142949</v>
      </c>
      <c r="Q236" s="17">
        <v>109817</v>
      </c>
      <c r="R236" s="17">
        <v>75143</v>
      </c>
      <c r="S236" s="17">
        <v>56137</v>
      </c>
      <c r="T236" s="17">
        <v>36430</v>
      </c>
      <c r="U236" s="17">
        <v>22794</v>
      </c>
      <c r="V236" s="17">
        <v>16983</v>
      </c>
    </row>
    <row r="237" spans="1:22" ht="15" x14ac:dyDescent="0.25">
      <c r="C237" s="16"/>
      <c r="D237" s="16"/>
      <c r="E237" s="16"/>
      <c r="F237" s="16"/>
      <c r="G237" s="16"/>
      <c r="H237" s="16"/>
      <c r="I237" s="16"/>
      <c r="J237" s="16"/>
      <c r="K237" s="16"/>
      <c r="L237" s="16"/>
      <c r="M237" s="16"/>
      <c r="N237" s="16"/>
      <c r="O237" s="16"/>
      <c r="P237" s="16"/>
      <c r="Q237" s="16"/>
      <c r="R237" s="16"/>
      <c r="S237" s="16"/>
      <c r="T237" s="16"/>
      <c r="U237" s="16"/>
      <c r="V237" s="16"/>
    </row>
  </sheetData>
  <pageMargins left="0.75" right="0.75" top="1" bottom="1" header="0.5" footer="0.5"/>
  <pageSetup paperSize="9" orientation="portrait"/>
  <extLs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16"/>
  <sheetViews>
    <sheetView topLeftCell="A4" workbookViewId="0">
      <selection activeCell="H37" sqref="H37"/>
    </sheetView>
  </sheetViews>
  <sheetFormatPr defaultColWidth="8.85546875" defaultRowHeight="12.75" x14ac:dyDescent="0.2"/>
  <cols>
    <col min="1" max="1" width="14" style="83" customWidth="1"/>
    <col min="2" max="6" width="10" style="83" customWidth="1"/>
    <col min="7" max="16384" width="8.85546875" style="83"/>
  </cols>
  <sheetData>
    <row r="3" spans="1:8" ht="12.75" customHeight="1" x14ac:dyDescent="0.2">
      <c r="A3" s="82" t="s">
        <v>457</v>
      </c>
      <c r="B3" s="82"/>
      <c r="C3" s="82"/>
      <c r="D3" s="82"/>
      <c r="E3" s="82"/>
      <c r="F3" s="82"/>
      <c r="G3" s="82"/>
    </row>
    <row r="4" spans="1:8" ht="12.75" customHeight="1" x14ac:dyDescent="0.2">
      <c r="A4" s="84" t="s">
        <v>458</v>
      </c>
      <c r="B4" s="85" t="s">
        <v>459</v>
      </c>
      <c r="C4" s="85" t="s">
        <v>460</v>
      </c>
      <c r="D4" s="85" t="s">
        <v>461</v>
      </c>
      <c r="E4" s="85" t="s">
        <v>462</v>
      </c>
      <c r="F4" s="85" t="s">
        <v>463</v>
      </c>
      <c r="G4" s="82"/>
    </row>
    <row r="5" spans="1:8" ht="12.75" customHeight="1" x14ac:dyDescent="0.2">
      <c r="A5" s="84" t="s">
        <v>115</v>
      </c>
      <c r="B5" s="86">
        <v>27.301171879067144</v>
      </c>
      <c r="C5" s="86">
        <v>24.730157166456749</v>
      </c>
      <c r="D5" s="86">
        <v>19.61932650831756</v>
      </c>
      <c r="E5" s="86">
        <v>16.988517861549941</v>
      </c>
      <c r="F5" s="86">
        <v>11.360826584608615</v>
      </c>
      <c r="G5" s="82"/>
      <c r="H5" s="87"/>
    </row>
    <row r="6" spans="1:8" ht="12.75" customHeight="1" x14ac:dyDescent="0.2">
      <c r="A6" s="84" t="s">
        <v>109</v>
      </c>
      <c r="B6" s="86">
        <v>20.518588311834566</v>
      </c>
      <c r="C6" s="86">
        <v>20.877746535082615</v>
      </c>
      <c r="D6" s="86">
        <v>22.41288512248823</v>
      </c>
      <c r="E6" s="86">
        <v>20.778848366726351</v>
      </c>
      <c r="F6" s="86">
        <v>15.411931663868245</v>
      </c>
      <c r="G6" s="82"/>
    </row>
    <row r="7" spans="1:8" ht="12.75" customHeight="1" x14ac:dyDescent="0.2">
      <c r="A7" s="84" t="s">
        <v>103</v>
      </c>
      <c r="B7" s="86">
        <v>14.136327217287404</v>
      </c>
      <c r="C7" s="86">
        <v>14.733467271917453</v>
      </c>
      <c r="D7" s="86">
        <v>17.873173060656907</v>
      </c>
      <c r="E7" s="86">
        <v>21.904007991750269</v>
      </c>
      <c r="F7" s="86">
        <v>31.353024458387967</v>
      </c>
      <c r="G7" s="82"/>
    </row>
    <row r="8" spans="1:8" ht="12.75" customHeight="1" x14ac:dyDescent="0.2">
      <c r="A8" s="84" t="s">
        <v>464</v>
      </c>
      <c r="B8" s="86">
        <v>22.092060005990973</v>
      </c>
      <c r="C8" s="86">
        <v>23.216465236628149</v>
      </c>
      <c r="D8" s="86">
        <v>20.188281622737222</v>
      </c>
      <c r="E8" s="86">
        <v>18.708590669108769</v>
      </c>
      <c r="F8" s="86">
        <v>15.794602465534888</v>
      </c>
      <c r="G8" s="82"/>
    </row>
    <row r="9" spans="1:8" ht="12.75" customHeight="1" x14ac:dyDescent="0.2">
      <c r="A9" s="84" t="s">
        <v>85</v>
      </c>
      <c r="B9" s="86">
        <v>28.228431200340655</v>
      </c>
      <c r="C9" s="86">
        <v>24.630430606077226</v>
      </c>
      <c r="D9" s="86">
        <v>24.233549433838515</v>
      </c>
      <c r="E9" s="86">
        <v>14.917657327639786</v>
      </c>
      <c r="F9" s="86">
        <v>7.9899314321038277</v>
      </c>
      <c r="G9" s="82"/>
    </row>
    <row r="10" spans="1:8" ht="12.75" customHeight="1" x14ac:dyDescent="0.2">
      <c r="A10" s="84" t="s">
        <v>81</v>
      </c>
      <c r="B10" s="86">
        <v>23.129395109492208</v>
      </c>
      <c r="C10" s="86">
        <v>24.124217369963127</v>
      </c>
      <c r="D10" s="86">
        <v>21.500980856791184</v>
      </c>
      <c r="E10" s="86">
        <v>17.702457189294847</v>
      </c>
      <c r="F10" s="86">
        <v>13.542949474458629</v>
      </c>
      <c r="G10" s="82"/>
    </row>
    <row r="11" spans="1:8" ht="12.75" customHeight="1" x14ac:dyDescent="0.2">
      <c r="A11" s="84" t="s">
        <v>70</v>
      </c>
      <c r="B11" s="86">
        <v>21.514262875152284</v>
      </c>
      <c r="C11" s="86">
        <v>19.264855208237872</v>
      </c>
      <c r="D11" s="86">
        <v>20.734002776411351</v>
      </c>
      <c r="E11" s="86">
        <v>21.374831405624185</v>
      </c>
      <c r="F11" s="86">
        <v>17.112047734574308</v>
      </c>
      <c r="G11" s="82"/>
    </row>
    <row r="12" spans="1:8" ht="12.75" customHeight="1" x14ac:dyDescent="0.2">
      <c r="A12" s="84" t="s">
        <v>76</v>
      </c>
      <c r="B12" s="86">
        <v>25.601253907831133</v>
      </c>
      <c r="C12" s="86">
        <v>22.293041201413324</v>
      </c>
      <c r="D12" s="86">
        <v>20.762358715586089</v>
      </c>
      <c r="E12" s="86">
        <v>17.614812399312818</v>
      </c>
      <c r="F12" s="86">
        <v>13.728533775856636</v>
      </c>
      <c r="G12" s="82"/>
    </row>
    <row r="13" spans="1:8" ht="12.75" customHeight="1" x14ac:dyDescent="0.2">
      <c r="A13" s="84" t="s">
        <v>63</v>
      </c>
      <c r="B13" s="86">
        <v>8.6109781514176689</v>
      </c>
      <c r="C13" s="86">
        <v>13.252542497718691</v>
      </c>
      <c r="D13" s="86">
        <v>18.447014987265984</v>
      </c>
      <c r="E13" s="86">
        <v>27.951161359687955</v>
      </c>
      <c r="F13" s="86">
        <v>31.738303003909714</v>
      </c>
      <c r="G13" s="82"/>
    </row>
    <row r="14" spans="1:8" ht="12.75" customHeight="1" x14ac:dyDescent="0.2">
      <c r="A14" s="84" t="s">
        <v>465</v>
      </c>
      <c r="B14" s="86">
        <v>19.997571866174667</v>
      </c>
      <c r="C14" s="86">
        <v>20.002153671132671</v>
      </c>
      <c r="D14" s="86">
        <v>19.998427775152521</v>
      </c>
      <c r="E14" s="86">
        <v>19.999579474366055</v>
      </c>
      <c r="F14" s="86">
        <v>20.002267213174093</v>
      </c>
      <c r="G14" s="82"/>
    </row>
    <row r="16" spans="1:8" x14ac:dyDescent="0.2">
      <c r="B16" s="83">
        <f>(SUM(B5:B13))/9</f>
        <v>21.236940962046003</v>
      </c>
      <c r="C16" s="83">
        <f t="shared" ref="C16:F16" si="0">(SUM(C5:C13))/9</f>
        <v>20.791435899277243</v>
      </c>
      <c r="D16" s="83">
        <f t="shared" si="0"/>
        <v>20.641285898232564</v>
      </c>
      <c r="E16" s="83">
        <f t="shared" si="0"/>
        <v>19.771209396743881</v>
      </c>
      <c r="F16" s="83">
        <f t="shared" si="0"/>
        <v>17.559127843700313</v>
      </c>
      <c r="G16" s="83">
        <f>SUM(B16:F16)</f>
        <v>100</v>
      </c>
    </row>
  </sheetData>
  <pageMargins left="0.7" right="0.7" top="0.75" bottom="0.75" header="0.3" footer="0.3"/>
  <extLst>
    <ext xmlns:mx="http://schemas.microsoft.com/office/mac/excel/2008/main" uri="{64002731-A6B0-56B0-2670-7721B7C09600}">
      <mx:PLV Mode="0" OnePage="0" WScale="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3"/>
  <sheetViews>
    <sheetView workbookViewId="0">
      <selection activeCell="I21" sqref="I21"/>
    </sheetView>
  </sheetViews>
  <sheetFormatPr defaultColWidth="8.85546875" defaultRowHeight="15" x14ac:dyDescent="0.25"/>
  <cols>
    <col min="4" max="4" width="17.42578125" customWidth="1"/>
    <col min="5" max="5" width="10.85546875" customWidth="1"/>
  </cols>
  <sheetData>
    <row r="2" spans="2:6" x14ac:dyDescent="0.25">
      <c r="B2" t="s">
        <v>720</v>
      </c>
      <c r="D2" s="167" t="s">
        <v>115</v>
      </c>
      <c r="E2" s="168">
        <v>1</v>
      </c>
    </row>
    <row r="3" spans="2:6" x14ac:dyDescent="0.25">
      <c r="B3" t="s">
        <v>721</v>
      </c>
      <c r="D3" s="167" t="s">
        <v>109</v>
      </c>
      <c r="E3" s="168">
        <v>2</v>
      </c>
    </row>
    <row r="4" spans="2:6" x14ac:dyDescent="0.25">
      <c r="D4" s="167" t="s">
        <v>103</v>
      </c>
      <c r="E4" s="168">
        <v>3</v>
      </c>
    </row>
    <row r="5" spans="2:6" x14ac:dyDescent="0.25">
      <c r="B5" t="s">
        <v>1072</v>
      </c>
      <c r="D5" s="167" t="s">
        <v>91</v>
      </c>
      <c r="E5" s="168">
        <v>4</v>
      </c>
    </row>
    <row r="6" spans="2:6" x14ac:dyDescent="0.25">
      <c r="B6" t="s">
        <v>1117</v>
      </c>
      <c r="D6" s="167" t="s">
        <v>85</v>
      </c>
      <c r="E6" s="168">
        <v>5</v>
      </c>
    </row>
    <row r="7" spans="2:6" x14ac:dyDescent="0.25">
      <c r="D7" s="167" t="s">
        <v>81</v>
      </c>
      <c r="E7" s="168">
        <v>6</v>
      </c>
    </row>
    <row r="8" spans="2:6" x14ac:dyDescent="0.25">
      <c r="D8" s="167" t="s">
        <v>76</v>
      </c>
      <c r="E8" s="168">
        <v>7</v>
      </c>
    </row>
    <row r="9" spans="2:6" x14ac:dyDescent="0.25">
      <c r="D9" s="167" t="s">
        <v>70</v>
      </c>
      <c r="E9" s="168">
        <v>8</v>
      </c>
    </row>
    <row r="10" spans="2:6" x14ac:dyDescent="0.25">
      <c r="D10" s="167" t="s">
        <v>63</v>
      </c>
      <c r="E10" s="168">
        <v>9</v>
      </c>
    </row>
    <row r="11" spans="2:6" x14ac:dyDescent="0.25">
      <c r="D11" s="173" t="s">
        <v>724</v>
      </c>
      <c r="E11" s="174">
        <v>10</v>
      </c>
    </row>
    <row r="14" spans="2:6" x14ac:dyDescent="0.25">
      <c r="B14" s="367" t="s">
        <v>984</v>
      </c>
      <c r="F14" s="579" t="s">
        <v>1247</v>
      </c>
    </row>
    <row r="15" spans="2:6" x14ac:dyDescent="0.25">
      <c r="B15" s="367" t="s">
        <v>985</v>
      </c>
      <c r="F15" s="579" t="s">
        <v>1248</v>
      </c>
    </row>
    <row r="16" spans="2:6" x14ac:dyDescent="0.25">
      <c r="B16" s="367" t="s">
        <v>986</v>
      </c>
    </row>
    <row r="17" spans="2:3" x14ac:dyDescent="0.25">
      <c r="B17" s="367" t="s">
        <v>987</v>
      </c>
    </row>
    <row r="18" spans="2:3" x14ac:dyDescent="0.25">
      <c r="B18" s="367" t="s">
        <v>988</v>
      </c>
    </row>
    <row r="20" spans="2:3" x14ac:dyDescent="0.25">
      <c r="B20" s="367" t="s">
        <v>1071</v>
      </c>
      <c r="C20" t="s">
        <v>1075</v>
      </c>
    </row>
    <row r="21" spans="2:3" x14ac:dyDescent="0.25">
      <c r="B21" s="106" t="s">
        <v>1072</v>
      </c>
      <c r="C21" t="s">
        <v>1073</v>
      </c>
    </row>
    <row r="22" spans="2:3" x14ac:dyDescent="0.25">
      <c r="B22" s="106" t="s">
        <v>1073</v>
      </c>
      <c r="C22" t="s">
        <v>1076</v>
      </c>
    </row>
    <row r="23" spans="2:3" x14ac:dyDescent="0.25">
      <c r="B23" s="106" t="s">
        <v>1074</v>
      </c>
    </row>
  </sheetData>
  <pageMargins left="0.7" right="0.7" top="0.75" bottom="0.75" header="0.3" footer="0.3"/>
  <extLst>
    <ext xmlns:mx="http://schemas.microsoft.com/office/mac/excel/2008/main" uri="{64002731-A6B0-56B0-2670-7721B7C09600}">
      <mx:PLV Mode="0" OnePage="0" WScale="0"/>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I98"/>
  <sheetViews>
    <sheetView workbookViewId="0">
      <pane xSplit="2" ySplit="1" topLeftCell="E2" activePane="bottomRight" state="frozen"/>
      <selection activeCell="H37" sqref="H37"/>
      <selection pane="topRight" activeCell="H37" sqref="H37"/>
      <selection pane="bottomLeft" activeCell="H37" sqref="H37"/>
      <selection pane="bottomRight" activeCell="H37" sqref="H37"/>
    </sheetView>
  </sheetViews>
  <sheetFormatPr defaultColWidth="8.85546875" defaultRowHeight="15" outlineLevelRow="1" x14ac:dyDescent="0.25"/>
  <cols>
    <col min="2" max="2" width="89.42578125" bestFit="1" customWidth="1"/>
    <col min="3" max="3" width="18.42578125" bestFit="1" customWidth="1"/>
    <col min="4" max="8" width="17" customWidth="1"/>
    <col min="9" max="9" width="12.42578125" bestFit="1" customWidth="1"/>
  </cols>
  <sheetData>
    <row r="1" spans="1:8" x14ac:dyDescent="0.25">
      <c r="C1" s="457" t="s">
        <v>385</v>
      </c>
      <c r="D1" s="457" t="s">
        <v>386</v>
      </c>
      <c r="E1" s="457" t="s">
        <v>1033</v>
      </c>
      <c r="F1" s="28" t="s">
        <v>385</v>
      </c>
      <c r="G1" s="610" t="s">
        <v>385</v>
      </c>
      <c r="H1" s="607" t="s">
        <v>1796</v>
      </c>
    </row>
    <row r="2" spans="1:8" x14ac:dyDescent="0.25">
      <c r="C2" t="s">
        <v>13</v>
      </c>
    </row>
    <row r="3" spans="1:8" x14ac:dyDescent="0.25">
      <c r="B3" s="480" t="s">
        <v>1108</v>
      </c>
      <c r="C3" s="502">
        <f>'Acute Prevalence'!C24</f>
        <v>474649.40952466422</v>
      </c>
      <c r="D3" s="502">
        <f>'Acute Prevalence'!D24</f>
        <v>474649.40952466422</v>
      </c>
      <c r="E3" s="502">
        <f>'Acute Prevalence'!E24</f>
        <v>474649.40952466422</v>
      </c>
      <c r="F3" s="502">
        <f>'Acute Prevalence'!F24</f>
        <v>246449.19852779026</v>
      </c>
      <c r="G3" s="502">
        <f>'Acute Prevalence'!G24</f>
        <v>261580.64642427233</v>
      </c>
      <c r="H3" s="502">
        <f>'Acute Prevalence'!H24</f>
        <v>474649.40952466422</v>
      </c>
    </row>
    <row r="4" spans="1:8" x14ac:dyDescent="0.25">
      <c r="B4" s="481" t="s">
        <v>1104</v>
      </c>
      <c r="C4" s="502">
        <f>'Acute Prevalence'!C26</f>
        <v>189859.76380986569</v>
      </c>
      <c r="D4" s="502">
        <f>'Acute Prevalence'!D26</f>
        <v>189859.76380986569</v>
      </c>
      <c r="E4" s="502">
        <f>'Acute Prevalence'!E26</f>
        <v>189859.76380986569</v>
      </c>
      <c r="F4" s="502">
        <f>'Acute Prevalence'!F26</f>
        <v>98579.6794111161</v>
      </c>
      <c r="G4" s="502">
        <f>'Acute Prevalence'!G26</f>
        <v>87193.548808090782</v>
      </c>
      <c r="H4" s="502">
        <f>'Acute Prevalence'!H26</f>
        <v>189859.76380986569</v>
      </c>
    </row>
    <row r="5" spans="1:8" x14ac:dyDescent="0.25">
      <c r="B5" s="477" t="s">
        <v>1115</v>
      </c>
      <c r="C5" s="502">
        <f>'Acute Prevalence'!C27</f>
        <v>37971.952761973138</v>
      </c>
      <c r="D5" s="502">
        <f>'Acute Prevalence'!D27</f>
        <v>37971.952761973138</v>
      </c>
      <c r="E5" s="502">
        <f>'Acute Prevalence'!E27</f>
        <v>37971.952761973138</v>
      </c>
      <c r="F5" s="502">
        <f>'Acute Prevalence'!F27</f>
        <v>19715.935882223221</v>
      </c>
      <c r="G5" s="502">
        <f>'Acute Prevalence'!G27</f>
        <v>19618.548481820428</v>
      </c>
      <c r="H5" s="502">
        <f>'Acute Prevalence'!H27</f>
        <v>37971.952761973138</v>
      </c>
    </row>
    <row r="6" spans="1:8" x14ac:dyDescent="0.25">
      <c r="B6" s="462" t="s">
        <v>1127</v>
      </c>
      <c r="C6" s="502">
        <f>'Acute Prevalence'!C28</f>
        <v>9492.9881904932827</v>
      </c>
      <c r="D6" s="502">
        <f>'Acute Prevalence'!D28</f>
        <v>9492.9881904932827</v>
      </c>
      <c r="E6" s="502">
        <f>'Acute Prevalence'!E28</f>
        <v>9492.9881904932827</v>
      </c>
      <c r="F6" s="502">
        <f>'Acute Prevalence'!F28</f>
        <v>4928.9839705558034</v>
      </c>
      <c r="G6" s="502">
        <f>'Acute Prevalence'!G28</f>
        <v>2179.8387202022691</v>
      </c>
      <c r="H6" s="502">
        <f>'Acute Prevalence'!H28</f>
        <v>9492.9881904932827</v>
      </c>
    </row>
    <row r="9" spans="1:8" x14ac:dyDescent="0.25">
      <c r="B9" s="480" t="s">
        <v>1213</v>
      </c>
    </row>
    <row r="10" spans="1:8" outlineLevel="1" x14ac:dyDescent="0.25">
      <c r="A10">
        <v>1</v>
      </c>
      <c r="B10" s="501" t="s">
        <v>1058</v>
      </c>
      <c r="C10" s="499">
        <f>INDEX('Acute Treat'!$J$15:$N$15,'Maths Acute Treatment'!A10)</f>
        <v>91.737520000000004</v>
      </c>
      <c r="D10" s="499">
        <f>C10*(1+GenAssumptions!E$7)</f>
        <v>99.993896800000016</v>
      </c>
      <c r="E10" s="499">
        <f>D10*(1+GenAssumptions!F$7)</f>
        <v>108.99334751200003</v>
      </c>
      <c r="F10" s="499">
        <f>C10*(1+GenAssumptions!G$7)</f>
        <v>91.737520000000004</v>
      </c>
      <c r="G10" s="499">
        <f>C10*(1+GenAssumptions!H$7)</f>
        <v>91.737520000000004</v>
      </c>
      <c r="H10" s="499">
        <f>C10*(1+GenAssumptions!I$7)</f>
        <v>91.737520000000004</v>
      </c>
    </row>
    <row r="11" spans="1:8" outlineLevel="1" x14ac:dyDescent="0.25">
      <c r="A11">
        <v>2</v>
      </c>
      <c r="B11" s="501" t="s">
        <v>1059</v>
      </c>
      <c r="C11" s="499">
        <f>INDEX('Acute Treat'!$J$15:$N$15,'Maths Acute Treatment'!A11)</f>
        <v>123.23128</v>
      </c>
      <c r="D11" s="499">
        <f>C11*(1+GenAssumptions!E$7)</f>
        <v>134.32209520000001</v>
      </c>
      <c r="E11" s="499">
        <f>D11*(1+GenAssumptions!F$7)</f>
        <v>146.41108376800003</v>
      </c>
      <c r="F11" s="499">
        <f>C11*(1+GenAssumptions!G$7)</f>
        <v>123.23128</v>
      </c>
      <c r="G11" s="499">
        <f>C11*(1+GenAssumptions!H$7)</f>
        <v>123.23128</v>
      </c>
      <c r="H11" s="499">
        <f>C11*(1+GenAssumptions!I$7)</f>
        <v>123.23128</v>
      </c>
    </row>
    <row r="12" spans="1:8" outlineLevel="1" x14ac:dyDescent="0.25">
      <c r="A12">
        <v>3</v>
      </c>
      <c r="B12" s="501" t="s">
        <v>1060</v>
      </c>
      <c r="C12" s="499">
        <f>INDEX('Acute Treat'!$J$15:$N$15,'Maths Acute Treatment'!A12)</f>
        <v>170.47191999999998</v>
      </c>
      <c r="D12" s="499">
        <f>C12*(1+GenAssumptions!E$7)</f>
        <v>185.81439280000001</v>
      </c>
      <c r="E12" s="499">
        <f>D12*(1+GenAssumptions!F$7)</f>
        <v>202.53768815200002</v>
      </c>
      <c r="F12" s="499">
        <f>C12*(1+GenAssumptions!G$7)</f>
        <v>170.47191999999998</v>
      </c>
      <c r="G12" s="499">
        <f>C12*(1+GenAssumptions!H$7)</f>
        <v>170.47191999999998</v>
      </c>
      <c r="H12" s="499">
        <f>C12*(1+GenAssumptions!I$7)</f>
        <v>170.47191999999998</v>
      </c>
    </row>
    <row r="13" spans="1:8" outlineLevel="1" x14ac:dyDescent="0.25">
      <c r="A13">
        <v>4</v>
      </c>
      <c r="B13" s="501" t="s">
        <v>1061</v>
      </c>
      <c r="C13" s="499">
        <f>INDEX('Acute Treat'!$J$15:$N$15,'Maths Acute Treatment'!A13)</f>
        <v>217.71256</v>
      </c>
      <c r="D13" s="499">
        <f>C13*(1+GenAssumptions!E$7)</f>
        <v>237.30669040000001</v>
      </c>
      <c r="E13" s="499">
        <f>D13*(1+GenAssumptions!F$7)</f>
        <v>258.664292536</v>
      </c>
      <c r="F13" s="499">
        <f>C13*(1+GenAssumptions!G$7)</f>
        <v>217.71256</v>
      </c>
      <c r="G13" s="499">
        <f>C13*(1+GenAssumptions!H$7)</f>
        <v>217.71256</v>
      </c>
      <c r="H13" s="499">
        <f>C13*(1+GenAssumptions!I$7)</f>
        <v>217.71256</v>
      </c>
    </row>
    <row r="14" spans="1:8" outlineLevel="1" x14ac:dyDescent="0.25">
      <c r="A14">
        <v>5</v>
      </c>
      <c r="B14" s="501" t="s">
        <v>1062</v>
      </c>
      <c r="C14" s="499">
        <f>INDEX('Acute Treat'!$J$15:$N$15,'Maths Acute Treatment'!A14)</f>
        <v>249.20632000000001</v>
      </c>
      <c r="D14" s="499">
        <f>C14*(1+GenAssumptions!E$7)</f>
        <v>271.6348888</v>
      </c>
      <c r="E14" s="499">
        <f>D14*(1+GenAssumptions!F$7)</f>
        <v>296.08202879200002</v>
      </c>
      <c r="F14" s="499">
        <f>C14*(1+GenAssumptions!G$7)</f>
        <v>249.20632000000001</v>
      </c>
      <c r="G14" s="499">
        <f>C14*(1+GenAssumptions!H$7)</f>
        <v>249.20632000000001</v>
      </c>
      <c r="H14" s="499">
        <f>C14*(1+GenAssumptions!I$7)</f>
        <v>249.20632000000001</v>
      </c>
    </row>
    <row r="15" spans="1:8" outlineLevel="1" x14ac:dyDescent="0.25">
      <c r="B15" s="480" t="s">
        <v>1214</v>
      </c>
      <c r="C15" s="499"/>
      <c r="D15" s="539"/>
      <c r="E15" s="539"/>
      <c r="F15" s="499">
        <f>C15*(1+GenAssumptions!G$7)</f>
        <v>0</v>
      </c>
      <c r="G15" s="499">
        <f>C15*(1+GenAssumptions!H$7)</f>
        <v>0</v>
      </c>
      <c r="H15" s="499">
        <f>C15*(1+GenAssumptions!I$7)</f>
        <v>0</v>
      </c>
    </row>
    <row r="16" spans="1:8" outlineLevel="1" x14ac:dyDescent="0.25">
      <c r="A16">
        <v>1</v>
      </c>
      <c r="B16" s="501" t="s">
        <v>1058</v>
      </c>
      <c r="C16" s="499">
        <f>INDEX('Acute Treat'!$J$14:$N$14,'Maths Acute Treatment'!A16)</f>
        <v>28.75</v>
      </c>
      <c r="D16" s="499">
        <f>C16*(1+GenAssumptions!E$7)</f>
        <v>31.337500000000002</v>
      </c>
      <c r="E16" s="499">
        <f>D16*(1+GenAssumptions!F$7)</f>
        <v>34.157875000000004</v>
      </c>
      <c r="F16" s="499">
        <f>C16*(1+GenAssumptions!G$7)</f>
        <v>28.75</v>
      </c>
      <c r="G16" s="499">
        <f>C16*(1+GenAssumptions!H$7)</f>
        <v>28.75</v>
      </c>
      <c r="H16" s="499">
        <f>C16*(1+GenAssumptions!I$7)</f>
        <v>28.75</v>
      </c>
    </row>
    <row r="17" spans="1:9" outlineLevel="1" x14ac:dyDescent="0.25">
      <c r="A17">
        <v>2</v>
      </c>
      <c r="B17" s="501" t="s">
        <v>1059</v>
      </c>
      <c r="C17" s="499">
        <f>INDEX('Acute Treat'!$J$14:$N$14,'Maths Acute Treatment'!A17)</f>
        <v>28.75</v>
      </c>
      <c r="D17" s="499">
        <f>C17*(1+GenAssumptions!E$7)</f>
        <v>31.337500000000002</v>
      </c>
      <c r="E17" s="499">
        <f>D17*(1+GenAssumptions!F$7)</f>
        <v>34.157875000000004</v>
      </c>
      <c r="F17" s="499">
        <f>C17*(1+GenAssumptions!G$7)</f>
        <v>28.75</v>
      </c>
      <c r="G17" s="499">
        <f>C17*(1+GenAssumptions!H$7)</f>
        <v>28.75</v>
      </c>
      <c r="H17" s="499">
        <f>C17*(1+GenAssumptions!I$7)</f>
        <v>28.75</v>
      </c>
    </row>
    <row r="18" spans="1:9" outlineLevel="1" x14ac:dyDescent="0.25">
      <c r="A18">
        <v>3</v>
      </c>
      <c r="B18" s="501" t="s">
        <v>1060</v>
      </c>
      <c r="C18" s="499">
        <f>INDEX('Acute Treat'!$J$14:$N$14,'Maths Acute Treatment'!A18)</f>
        <v>28.75</v>
      </c>
      <c r="D18" s="499">
        <f>C18*(1+GenAssumptions!E$7)</f>
        <v>31.337500000000002</v>
      </c>
      <c r="E18" s="499">
        <f>D18*(1+GenAssumptions!F$7)</f>
        <v>34.157875000000004</v>
      </c>
      <c r="F18" s="499">
        <f>C18*(1+GenAssumptions!G$7)</f>
        <v>28.75</v>
      </c>
      <c r="G18" s="499">
        <f>C18*(1+GenAssumptions!H$7)</f>
        <v>28.75</v>
      </c>
      <c r="H18" s="499">
        <f>C18*(1+GenAssumptions!I$7)</f>
        <v>28.75</v>
      </c>
    </row>
    <row r="19" spans="1:9" outlineLevel="1" x14ac:dyDescent="0.25">
      <c r="A19">
        <v>4</v>
      </c>
      <c r="B19" s="501" t="s">
        <v>1061</v>
      </c>
      <c r="C19" s="499">
        <f>INDEX('Acute Treat'!$J$14:$N$14,'Maths Acute Treatment'!A19)</f>
        <v>28.75</v>
      </c>
      <c r="D19" s="499">
        <f>C19*(1+GenAssumptions!E$7)</f>
        <v>31.337500000000002</v>
      </c>
      <c r="E19" s="499">
        <f>D19*(1+GenAssumptions!F$7)</f>
        <v>34.157875000000004</v>
      </c>
      <c r="F19" s="499">
        <f>C19*(1+GenAssumptions!G$7)</f>
        <v>28.75</v>
      </c>
      <c r="G19" s="499">
        <f>C19*(1+GenAssumptions!H$7)</f>
        <v>28.75</v>
      </c>
      <c r="H19" s="499">
        <f>C19*(1+GenAssumptions!I$7)</f>
        <v>28.75</v>
      </c>
    </row>
    <row r="20" spans="1:9" outlineLevel="1" x14ac:dyDescent="0.25">
      <c r="A20">
        <v>5</v>
      </c>
      <c r="B20" s="501" t="s">
        <v>1062</v>
      </c>
      <c r="C20" s="499">
        <f>INDEX('Acute Treat'!$J$14:$N$14,'Maths Acute Treatment'!A20)</f>
        <v>28.75</v>
      </c>
      <c r="D20" s="499">
        <f>C20*(1+GenAssumptions!E$7)</f>
        <v>31.337500000000002</v>
      </c>
      <c r="E20" s="499">
        <f>D20*(1+GenAssumptions!F$7)</f>
        <v>34.157875000000004</v>
      </c>
      <c r="F20" s="499">
        <f>C20*(1+GenAssumptions!G$7)</f>
        <v>28.75</v>
      </c>
      <c r="G20" s="499">
        <f>C20*(1+GenAssumptions!H$7)</f>
        <v>28.75</v>
      </c>
      <c r="H20" s="499">
        <f>C20*(1+GenAssumptions!I$7)</f>
        <v>28.75</v>
      </c>
    </row>
    <row r="21" spans="1:9" outlineLevel="1" x14ac:dyDescent="0.25">
      <c r="B21" s="501"/>
      <c r="C21" s="539"/>
      <c r="D21" s="539"/>
      <c r="E21" s="539"/>
      <c r="F21" s="539"/>
      <c r="G21" s="539"/>
      <c r="H21" s="539"/>
    </row>
    <row r="22" spans="1:9" outlineLevel="1" x14ac:dyDescent="0.25"/>
    <row r="23" spans="1:9" outlineLevel="1" x14ac:dyDescent="0.25">
      <c r="B23" s="480" t="s">
        <v>1134</v>
      </c>
    </row>
    <row r="24" spans="1:9" outlineLevel="1" x14ac:dyDescent="0.25">
      <c r="A24">
        <v>1</v>
      </c>
      <c r="B24" s="501" t="s">
        <v>1058</v>
      </c>
      <c r="C24" s="502">
        <f>'Acute Prevalence'!$C32*'Maths Acute Treatment'!C$3</f>
        <v>47464.940952466422</v>
      </c>
      <c r="D24" s="502">
        <f>'Acute Prevalence'!$C32*'Maths Acute Treatment'!D$3</f>
        <v>47464.940952466422</v>
      </c>
      <c r="E24" s="502">
        <f>'Acute Prevalence'!$C32*'Maths Acute Treatment'!E$3</f>
        <v>47464.940952466422</v>
      </c>
      <c r="F24" s="502">
        <f>'Acute Prevalence'!$C32*'Maths Acute Treatment'!F$3</f>
        <v>24644.919852779029</v>
      </c>
      <c r="G24" s="502">
        <f>'Acute Prevalence'!$C32*'Maths Acute Treatment'!G$3</f>
        <v>26158.064642427235</v>
      </c>
      <c r="H24" s="502">
        <f>'Acute Prevalence'!$C32*'Maths Acute Treatment'!H$3</f>
        <v>47464.940952466422</v>
      </c>
    </row>
    <row r="25" spans="1:9" outlineLevel="1" x14ac:dyDescent="0.25">
      <c r="A25">
        <v>2</v>
      </c>
      <c r="B25" s="501" t="s">
        <v>1059</v>
      </c>
      <c r="C25" s="502">
        <f>'Acute Prevalence'!$C33*'Maths Acute Treatment'!C$3</f>
        <v>237324.70476233211</v>
      </c>
      <c r="D25" s="502">
        <f>'Acute Prevalence'!$C33*'Maths Acute Treatment'!D$3</f>
        <v>237324.70476233211</v>
      </c>
      <c r="E25" s="502">
        <f>'Acute Prevalence'!$C33*'Maths Acute Treatment'!E$3</f>
        <v>237324.70476233211</v>
      </c>
      <c r="F25" s="502">
        <f>'Acute Prevalence'!$C33*'Maths Acute Treatment'!F$3</f>
        <v>123224.59926389513</v>
      </c>
      <c r="G25" s="502">
        <f>'Acute Prevalence'!$C33*'Maths Acute Treatment'!G$3</f>
        <v>130790.32321213617</v>
      </c>
      <c r="H25" s="502">
        <f>'Acute Prevalence'!$C33*'Maths Acute Treatment'!H$3</f>
        <v>237324.70476233211</v>
      </c>
    </row>
    <row r="26" spans="1:9" outlineLevel="1" x14ac:dyDescent="0.25">
      <c r="A26">
        <v>3</v>
      </c>
      <c r="B26" s="501" t="s">
        <v>1060</v>
      </c>
      <c r="C26" s="502">
        <f>'Acute Prevalence'!$C34*'Maths Acute Treatment'!C$3</f>
        <v>151887.81104789255</v>
      </c>
      <c r="D26" s="502">
        <f>'Acute Prevalence'!$C34*'Maths Acute Treatment'!D$3</f>
        <v>151887.81104789255</v>
      </c>
      <c r="E26" s="502">
        <f>'Acute Prevalence'!$C34*'Maths Acute Treatment'!E$3</f>
        <v>151887.81104789255</v>
      </c>
      <c r="F26" s="502">
        <f>'Acute Prevalence'!$C34*'Maths Acute Treatment'!F$3</f>
        <v>78863.743528892883</v>
      </c>
      <c r="G26" s="502">
        <f>'Acute Prevalence'!$C34*'Maths Acute Treatment'!G$3</f>
        <v>83705.80685576715</v>
      </c>
      <c r="H26" s="502">
        <f>'Acute Prevalence'!$C34*'Maths Acute Treatment'!H$3</f>
        <v>151887.81104789255</v>
      </c>
    </row>
    <row r="27" spans="1:9" outlineLevel="1" x14ac:dyDescent="0.25">
      <c r="A27">
        <v>4</v>
      </c>
      <c r="B27" s="501" t="s">
        <v>1061</v>
      </c>
      <c r="C27" s="502">
        <f>'Acute Prevalence'!$C35*'Maths Acute Treatment'!C$3</f>
        <v>23732.470476233211</v>
      </c>
      <c r="D27" s="502">
        <f>'Acute Prevalence'!$C35*'Maths Acute Treatment'!D$3</f>
        <v>23732.470476233211</v>
      </c>
      <c r="E27" s="502">
        <f>'Acute Prevalence'!$C35*'Maths Acute Treatment'!E$3</f>
        <v>23732.470476233211</v>
      </c>
      <c r="F27" s="502">
        <f>'Acute Prevalence'!$C35*'Maths Acute Treatment'!F$3</f>
        <v>12322.459926389514</v>
      </c>
      <c r="G27" s="502">
        <f>'Acute Prevalence'!$C35*'Maths Acute Treatment'!G$3</f>
        <v>13079.032321213617</v>
      </c>
      <c r="H27" s="502">
        <f>'Acute Prevalence'!$C35*'Maths Acute Treatment'!H$3</f>
        <v>23732.470476233211</v>
      </c>
    </row>
    <row r="28" spans="1:9" outlineLevel="1" x14ac:dyDescent="0.25">
      <c r="A28">
        <v>5</v>
      </c>
      <c r="B28" s="501" t="s">
        <v>1062</v>
      </c>
      <c r="C28" s="502">
        <f>'Acute Prevalence'!$C36*'Maths Acute Treatment'!C$3</f>
        <v>14239.482285739927</v>
      </c>
      <c r="D28" s="502">
        <f>'Acute Prevalence'!$C36*'Maths Acute Treatment'!D$3</f>
        <v>14239.482285739927</v>
      </c>
      <c r="E28" s="502">
        <f>'Acute Prevalence'!$C36*'Maths Acute Treatment'!E$3</f>
        <v>14239.482285739927</v>
      </c>
      <c r="F28" s="502">
        <f>'Acute Prevalence'!$C36*'Maths Acute Treatment'!F$3</f>
        <v>7393.4759558337073</v>
      </c>
      <c r="G28" s="502">
        <f>'Acute Prevalence'!$C36*'Maths Acute Treatment'!G$3</f>
        <v>7847.4193927281694</v>
      </c>
      <c r="H28" s="502">
        <f>'Acute Prevalence'!$C36*'Maths Acute Treatment'!H$3</f>
        <v>14239.482285739927</v>
      </c>
    </row>
    <row r="29" spans="1:9" outlineLevel="1" x14ac:dyDescent="0.25"/>
    <row r="30" spans="1:9" x14ac:dyDescent="0.25">
      <c r="B30" s="480" t="s">
        <v>1215</v>
      </c>
      <c r="C30" s="513">
        <f>C16*C24+C17*C25+C18*C26+C19*C27+C20*C28</f>
        <v>13646170.523834096</v>
      </c>
      <c r="D30" s="513">
        <f>D16*D24+D17*D25+D18*D26+D19*D27+D20*D28</f>
        <v>14874325.870979164</v>
      </c>
      <c r="E30" s="513">
        <f>E16*E24+E17*E25+E18*E26+E19*E27+E20*E28</f>
        <v>16213015.199367292</v>
      </c>
      <c r="F30" s="513">
        <f t="shared" ref="F30:H30" si="0">F16*F24+F17*F25+F18*F26+F19*F27+F20*F28</f>
        <v>7085414.4576739706</v>
      </c>
      <c r="G30" s="513">
        <f t="shared" si="0"/>
        <v>7520443.5846978296</v>
      </c>
      <c r="H30" s="513">
        <f t="shared" si="0"/>
        <v>13646170.523834096</v>
      </c>
      <c r="I30" s="679">
        <f>H30-C30</f>
        <v>0</v>
      </c>
    </row>
    <row r="31" spans="1:9" x14ac:dyDescent="0.25">
      <c r="B31" s="480" t="s">
        <v>1216</v>
      </c>
      <c r="C31" s="512">
        <f>C10*C24+C11*C25+C12*C26+C13*C27+C14*C28</f>
        <v>68208175.768981025</v>
      </c>
      <c r="D31" s="512">
        <f>D10*D24+D11*D25+D12*D26+D13*D27+D14*D28</f>
        <v>74346911.588189319</v>
      </c>
      <c r="E31" s="512">
        <f>E10*E24+E11*E25+E12*E26+E13*E27+E14*E28</f>
        <v>81038133.631126374</v>
      </c>
      <c r="F31" s="512">
        <f t="shared" ref="F31:H31" si="1">F10*F24+F11*F25+F12*F26+F13*F27+F14*F28</f>
        <v>35415297.931460984</v>
      </c>
      <c r="G31" s="512">
        <f t="shared" si="1"/>
        <v>37589720.646525577</v>
      </c>
      <c r="H31" s="512">
        <f t="shared" si="1"/>
        <v>68208175.768981025</v>
      </c>
      <c r="I31" s="679">
        <f>H31-C31</f>
        <v>0</v>
      </c>
    </row>
    <row r="32" spans="1:9" x14ac:dyDescent="0.25">
      <c r="I32" s="679">
        <f t="shared" ref="I32:I93" si="2">H32-C32</f>
        <v>0</v>
      </c>
    </row>
    <row r="33" spans="1:9" x14ac:dyDescent="0.25">
      <c r="B33" s="481" t="s">
        <v>1159</v>
      </c>
      <c r="I33" s="679">
        <f t="shared" si="2"/>
        <v>0</v>
      </c>
    </row>
    <row r="34" spans="1:9" hidden="1" outlineLevel="1" x14ac:dyDescent="0.25">
      <c r="A34">
        <v>1</v>
      </c>
      <c r="B34" s="501" t="s">
        <v>1058</v>
      </c>
      <c r="C34">
        <f>INDEX('Acute Treat'!$J$88:$N$88,'Maths Acute Treatment'!$A34)</f>
        <v>226.62538000000001</v>
      </c>
      <c r="D34">
        <f>C34*(1+GenAssumptions!E$7)</f>
        <v>247.02166420000003</v>
      </c>
      <c r="E34">
        <f>D34*(1+GenAssumptions!F$7)</f>
        <v>269.25361397800003</v>
      </c>
      <c r="F34">
        <f>C34*(1+GenAssumptions!G$7)</f>
        <v>226.62538000000001</v>
      </c>
      <c r="G34" s="576">
        <f>C34*(1+GenAssumptions!H$7)</f>
        <v>226.62538000000001</v>
      </c>
      <c r="H34">
        <f>C34*(1+GenAssumptions!I$7)</f>
        <v>226.62538000000001</v>
      </c>
      <c r="I34" s="679">
        <f t="shared" si="2"/>
        <v>0</v>
      </c>
    </row>
    <row r="35" spans="1:9" hidden="1" outlineLevel="1" x14ac:dyDescent="0.25">
      <c r="A35">
        <v>2</v>
      </c>
      <c r="B35" s="501" t="s">
        <v>1059</v>
      </c>
      <c r="C35">
        <f>INDEX('Acute Treat'!$J$88:$N$88,'Maths Acute Treatment'!$A35)</f>
        <v>336.44937999999996</v>
      </c>
      <c r="D35">
        <f>C35*(1+GenAssumptions!E$7)</f>
        <v>366.7298242</v>
      </c>
      <c r="E35">
        <f>D35*(1+GenAssumptions!F$7)</f>
        <v>399.73550837800002</v>
      </c>
      <c r="F35">
        <f>C35*(1+GenAssumptions!G$7)</f>
        <v>336.44937999999996</v>
      </c>
      <c r="G35" s="576">
        <f>C35*(1+GenAssumptions!H$7)</f>
        <v>336.44937999999996</v>
      </c>
      <c r="H35">
        <f>C35*(1+GenAssumptions!I$7)</f>
        <v>336.44937999999996</v>
      </c>
      <c r="I35" s="679">
        <f t="shared" si="2"/>
        <v>0</v>
      </c>
    </row>
    <row r="36" spans="1:9" hidden="1" outlineLevel="1" x14ac:dyDescent="0.25">
      <c r="A36">
        <v>3</v>
      </c>
      <c r="B36" s="501" t="s">
        <v>1060</v>
      </c>
      <c r="C36">
        <f>INDEX('Acute Treat'!$J$88:$N$88,'Maths Acute Treatment'!$A36)</f>
        <v>501.18537999999995</v>
      </c>
      <c r="D36">
        <f>C36*(1+GenAssumptions!E$7)</f>
        <v>546.29206420000003</v>
      </c>
      <c r="E36">
        <f>D36*(1+GenAssumptions!F$7)</f>
        <v>595.45834997800011</v>
      </c>
      <c r="F36">
        <f>C36*(1+GenAssumptions!G$7)</f>
        <v>501.18537999999995</v>
      </c>
      <c r="G36" s="576">
        <f>C36*(1+GenAssumptions!H$7)</f>
        <v>501.18537999999995</v>
      </c>
      <c r="H36">
        <f>C36*(1+GenAssumptions!I$7)</f>
        <v>501.18537999999995</v>
      </c>
      <c r="I36" s="679">
        <f t="shared" si="2"/>
        <v>0</v>
      </c>
    </row>
    <row r="37" spans="1:9" hidden="1" outlineLevel="1" x14ac:dyDescent="0.25">
      <c r="A37">
        <v>4</v>
      </c>
      <c r="B37" s="501" t="s">
        <v>1061</v>
      </c>
      <c r="C37">
        <f>INDEX('Acute Treat'!$J$88:$N$88,'Maths Acute Treatment'!$A37)</f>
        <v>665.92138</v>
      </c>
      <c r="D37">
        <f>C37*(1+GenAssumptions!E$7)</f>
        <v>725.8543042</v>
      </c>
      <c r="E37">
        <f>D37*(1+GenAssumptions!F$7)</f>
        <v>791.18119157800004</v>
      </c>
      <c r="F37">
        <f>C37*(1+GenAssumptions!G$7)</f>
        <v>665.92138</v>
      </c>
      <c r="G37" s="576">
        <f>C37*(1+GenAssumptions!H$7)</f>
        <v>665.92138</v>
      </c>
      <c r="H37">
        <f>C37*(1+GenAssumptions!I$7)</f>
        <v>665.92138</v>
      </c>
      <c r="I37" s="679">
        <f t="shared" si="2"/>
        <v>0</v>
      </c>
    </row>
    <row r="38" spans="1:9" hidden="1" outlineLevel="1" x14ac:dyDescent="0.25">
      <c r="A38">
        <v>5</v>
      </c>
      <c r="B38" s="501" t="s">
        <v>1062</v>
      </c>
      <c r="C38">
        <f>INDEX('Acute Treat'!$J$88:$N$88,'Maths Acute Treatment'!$A38)</f>
        <v>775.74538000000007</v>
      </c>
      <c r="D38">
        <f>C38*(1+GenAssumptions!E$7)</f>
        <v>845.56246420000014</v>
      </c>
      <c r="E38">
        <f>D38*(1+GenAssumptions!F$7)</f>
        <v>921.66308597800025</v>
      </c>
      <c r="F38">
        <f>C38*(1+GenAssumptions!G$7)</f>
        <v>775.74538000000007</v>
      </c>
      <c r="G38" s="576">
        <f>C38*(1+GenAssumptions!H$7)</f>
        <v>775.74538000000007</v>
      </c>
      <c r="H38">
        <f>C38*(1+GenAssumptions!I$7)</f>
        <v>775.74538000000007</v>
      </c>
      <c r="I38" s="679">
        <f t="shared" si="2"/>
        <v>0</v>
      </c>
    </row>
    <row r="39" spans="1:9" hidden="1" outlineLevel="1" x14ac:dyDescent="0.25">
      <c r="B39" s="481" t="s">
        <v>1160</v>
      </c>
      <c r="D39">
        <f>C39*(1+GenAssumptions!E$7)</f>
        <v>0</v>
      </c>
      <c r="F39">
        <f>C39*(1+GenAssumptions!G$7)</f>
        <v>0</v>
      </c>
      <c r="G39" s="576">
        <f>C39*(1+GenAssumptions!H$7)</f>
        <v>0</v>
      </c>
      <c r="H39">
        <f>C39*(1+GenAssumptions!I$7)</f>
        <v>0</v>
      </c>
      <c r="I39" s="679">
        <f t="shared" si="2"/>
        <v>0</v>
      </c>
    </row>
    <row r="40" spans="1:9" hidden="1" outlineLevel="1" x14ac:dyDescent="0.25">
      <c r="A40">
        <v>1</v>
      </c>
      <c r="B40" s="501" t="s">
        <v>1058</v>
      </c>
      <c r="C40">
        <f>INDEX('Acute Treat'!$J$89:$N$89,'Maths Acute Treatment'!$A40)</f>
        <v>110.389</v>
      </c>
      <c r="D40">
        <f>C40*(1+GenAssumptions!E$7)</f>
        <v>120.32401</v>
      </c>
      <c r="E40">
        <f>D40*(1+GenAssumptions!F$7)</f>
        <v>131.15317090000002</v>
      </c>
      <c r="F40">
        <f>C40*(1+GenAssumptions!G$7)</f>
        <v>110.389</v>
      </c>
      <c r="G40" s="576">
        <f>C40*(1+GenAssumptions!H$7)</f>
        <v>110.389</v>
      </c>
      <c r="H40">
        <f>C40*(1+GenAssumptions!I$7)</f>
        <v>110.389</v>
      </c>
      <c r="I40" s="679">
        <f t="shared" si="2"/>
        <v>0</v>
      </c>
    </row>
    <row r="41" spans="1:9" hidden="1" outlineLevel="1" x14ac:dyDescent="0.25">
      <c r="A41">
        <v>2</v>
      </c>
      <c r="B41" s="501" t="s">
        <v>1059</v>
      </c>
      <c r="C41">
        <f>INDEX('Acute Treat'!$J$89:$N$89,'Maths Acute Treatment'!$A41)</f>
        <v>114.10599999999999</v>
      </c>
      <c r="D41">
        <f>C41*(1+GenAssumptions!E$7)</f>
        <v>124.37554</v>
      </c>
      <c r="E41">
        <f>D41*(1+GenAssumptions!F$7)</f>
        <v>135.56933860000001</v>
      </c>
      <c r="F41">
        <f>C41*(1+GenAssumptions!G$7)</f>
        <v>114.10599999999999</v>
      </c>
      <c r="G41" s="576">
        <f>C41*(1+GenAssumptions!H$7)</f>
        <v>114.10599999999999</v>
      </c>
      <c r="H41">
        <f>C41*(1+GenAssumptions!I$7)</f>
        <v>114.10599999999999</v>
      </c>
      <c r="I41" s="679">
        <f t="shared" si="2"/>
        <v>0</v>
      </c>
    </row>
    <row r="42" spans="1:9" hidden="1" outlineLevel="1" x14ac:dyDescent="0.25">
      <c r="A42">
        <v>3</v>
      </c>
      <c r="B42" s="501" t="s">
        <v>1060</v>
      </c>
      <c r="C42">
        <f>INDEX('Acute Treat'!$J$89:$N$89,'Maths Acute Treatment'!$A42)</f>
        <v>119.6815</v>
      </c>
      <c r="D42">
        <f>C42*(1+GenAssumptions!E$7)</f>
        <v>130.45283500000002</v>
      </c>
      <c r="E42">
        <f>D42*(1+GenAssumptions!F$7)</f>
        <v>142.19359015000003</v>
      </c>
      <c r="F42">
        <f>C42*(1+GenAssumptions!G$7)</f>
        <v>119.6815</v>
      </c>
      <c r="G42" s="576">
        <f>C42*(1+GenAssumptions!H$7)</f>
        <v>119.6815</v>
      </c>
      <c r="H42">
        <f>C42*(1+GenAssumptions!I$7)</f>
        <v>119.6815</v>
      </c>
      <c r="I42" s="679">
        <f t="shared" si="2"/>
        <v>0</v>
      </c>
    </row>
    <row r="43" spans="1:9" hidden="1" outlineLevel="1" x14ac:dyDescent="0.25">
      <c r="A43">
        <v>4</v>
      </c>
      <c r="B43" s="501" t="s">
        <v>1061</v>
      </c>
      <c r="C43">
        <f>INDEX('Acute Treat'!$J$89:$N$89,'Maths Acute Treatment'!$A43)</f>
        <v>125.25700000000001</v>
      </c>
      <c r="D43">
        <f>C43*(1+GenAssumptions!E$7)</f>
        <v>136.53013000000001</v>
      </c>
      <c r="E43">
        <f>D43*(1+GenAssumptions!F$7)</f>
        <v>148.81784170000003</v>
      </c>
      <c r="F43">
        <f>C43*(1+GenAssumptions!G$7)</f>
        <v>125.25700000000001</v>
      </c>
      <c r="G43" s="576">
        <f>C43*(1+GenAssumptions!H$7)</f>
        <v>125.25700000000001</v>
      </c>
      <c r="H43">
        <f>C43*(1+GenAssumptions!I$7)</f>
        <v>125.25700000000001</v>
      </c>
      <c r="I43" s="679">
        <f t="shared" si="2"/>
        <v>0</v>
      </c>
    </row>
    <row r="44" spans="1:9" hidden="1" outlineLevel="1" x14ac:dyDescent="0.25">
      <c r="A44">
        <v>5</v>
      </c>
      <c r="B44" s="501" t="s">
        <v>1062</v>
      </c>
      <c r="C44">
        <f>INDEX('Acute Treat'!$J$89:$N$89,'Maths Acute Treatment'!$A44)</f>
        <v>128.97399999999999</v>
      </c>
      <c r="D44">
        <f>C44*(1+GenAssumptions!E$7)</f>
        <v>140.58166</v>
      </c>
      <c r="E44">
        <f>D44*(1+GenAssumptions!F$7)</f>
        <v>153.23400940000002</v>
      </c>
      <c r="F44">
        <f>C44*(1+GenAssumptions!G$7)</f>
        <v>128.97399999999999</v>
      </c>
      <c r="G44" s="576">
        <f>C44*(1+GenAssumptions!H$7)</f>
        <v>128.97399999999999</v>
      </c>
      <c r="H44">
        <f>C44*(1+GenAssumptions!I$7)</f>
        <v>128.97399999999999</v>
      </c>
      <c r="I44" s="679">
        <f t="shared" si="2"/>
        <v>0</v>
      </c>
    </row>
    <row r="45" spans="1:9" hidden="1" outlineLevel="1" x14ac:dyDescent="0.25">
      <c r="B45" s="481" t="s">
        <v>1135</v>
      </c>
      <c r="I45" s="679">
        <f t="shared" si="2"/>
        <v>0</v>
      </c>
    </row>
    <row r="46" spans="1:9" hidden="1" outlineLevel="1" x14ac:dyDescent="0.25">
      <c r="A46">
        <v>1</v>
      </c>
      <c r="B46" s="501" t="s">
        <v>1058</v>
      </c>
      <c r="C46" s="503">
        <f>INDEX('Acute Prevalence'!$F$32:$F$36,'Maths Acute Treatment'!$A34)*C$4</f>
        <v>18985.976380986569</v>
      </c>
      <c r="D46" s="503">
        <f>INDEX('Acute Prevalence'!$F$32:$F$36,'Maths Acute Treatment'!$A34)*D$4</f>
        <v>18985.976380986569</v>
      </c>
      <c r="E46" s="503">
        <f>INDEX('Acute Prevalence'!$F$32:$F$36,'Maths Acute Treatment'!$A34)*E$4</f>
        <v>18985.976380986569</v>
      </c>
      <c r="F46" s="503">
        <f>INDEX('Acute Prevalence'!$F$32:$F$36,'Maths Acute Treatment'!$A34)*F$4</f>
        <v>9857.9679411116103</v>
      </c>
      <c r="G46" s="503">
        <f>INDEX('Acute Prevalence'!$F$32:$F$36,'Maths Acute Treatment'!$A34)*G$4</f>
        <v>8719.3548808090782</v>
      </c>
      <c r="H46" s="503">
        <f>INDEX('Acute Prevalence'!$F$32:$F$36,'Maths Acute Treatment'!$A34)*H$4</f>
        <v>18985.976380986569</v>
      </c>
      <c r="I46" s="679">
        <f t="shared" si="2"/>
        <v>0</v>
      </c>
    </row>
    <row r="47" spans="1:9" hidden="1" outlineLevel="1" x14ac:dyDescent="0.25">
      <c r="A47">
        <v>2</v>
      </c>
      <c r="B47" s="501" t="s">
        <v>1059</v>
      </c>
      <c r="C47" s="503">
        <f>INDEX('Acute Prevalence'!$F$32:$F$36,'Maths Acute Treatment'!$A35)*C$4</f>
        <v>94929.881904932845</v>
      </c>
      <c r="D47" s="503">
        <f>INDEX('Acute Prevalence'!$F$32:$F$36,'Maths Acute Treatment'!$A35)*D$4</f>
        <v>94929.881904932845</v>
      </c>
      <c r="E47" s="503">
        <f>INDEX('Acute Prevalence'!$F$32:$F$36,'Maths Acute Treatment'!$A35)*E$4</f>
        <v>94929.881904932845</v>
      </c>
      <c r="F47" s="503">
        <f>INDEX('Acute Prevalence'!$F$32:$F$36,'Maths Acute Treatment'!$A35)*F$4</f>
        <v>49289.83970555805</v>
      </c>
      <c r="G47" s="503">
        <f>INDEX('Acute Prevalence'!$F$32:$F$36,'Maths Acute Treatment'!$A35)*G$4</f>
        <v>43596.774404045391</v>
      </c>
      <c r="H47" s="503">
        <f>INDEX('Acute Prevalence'!$F$32:$F$36,'Maths Acute Treatment'!$A35)*H$4</f>
        <v>94929.881904932845</v>
      </c>
      <c r="I47" s="679">
        <f t="shared" si="2"/>
        <v>0</v>
      </c>
    </row>
    <row r="48" spans="1:9" hidden="1" outlineLevel="1" x14ac:dyDescent="0.25">
      <c r="A48">
        <v>3</v>
      </c>
      <c r="B48" s="501" t="s">
        <v>1060</v>
      </c>
      <c r="C48" s="503">
        <f>INDEX('Acute Prevalence'!$F$32:$F$36,'Maths Acute Treatment'!$A36)*C$4</f>
        <v>60755.124419157022</v>
      </c>
      <c r="D48" s="503">
        <f>INDEX('Acute Prevalence'!$F$32:$F$36,'Maths Acute Treatment'!$A36)*D$4</f>
        <v>60755.124419157022</v>
      </c>
      <c r="E48" s="503">
        <f>INDEX('Acute Prevalence'!$F$32:$F$36,'Maths Acute Treatment'!$A36)*E$4</f>
        <v>60755.124419157022</v>
      </c>
      <c r="F48" s="503">
        <f>INDEX('Acute Prevalence'!$F$32:$F$36,'Maths Acute Treatment'!$A36)*F$4</f>
        <v>31545.497411557153</v>
      </c>
      <c r="G48" s="503">
        <f>INDEX('Acute Prevalence'!$F$32:$F$36,'Maths Acute Treatment'!$A36)*G$4</f>
        <v>27901.93561858905</v>
      </c>
      <c r="H48" s="503">
        <f>INDEX('Acute Prevalence'!$F$32:$F$36,'Maths Acute Treatment'!$A36)*H$4</f>
        <v>60755.124419157022</v>
      </c>
      <c r="I48" s="679">
        <f t="shared" si="2"/>
        <v>0</v>
      </c>
    </row>
    <row r="49" spans="1:9" hidden="1" outlineLevel="1" x14ac:dyDescent="0.25">
      <c r="A49">
        <v>4</v>
      </c>
      <c r="B49" s="501" t="s">
        <v>1061</v>
      </c>
      <c r="C49" s="503">
        <f>INDEX('Acute Prevalence'!$F$32:$F$36,'Maths Acute Treatment'!$A37)*C$4</f>
        <v>9492.9881904932845</v>
      </c>
      <c r="D49" s="503">
        <f>INDEX('Acute Prevalence'!$F$32:$F$36,'Maths Acute Treatment'!$A37)*D$4</f>
        <v>9492.9881904932845</v>
      </c>
      <c r="E49" s="503">
        <f>INDEX('Acute Prevalence'!$F$32:$F$36,'Maths Acute Treatment'!$A37)*E$4</f>
        <v>9492.9881904932845</v>
      </c>
      <c r="F49" s="503">
        <f>INDEX('Acute Prevalence'!$F$32:$F$36,'Maths Acute Treatment'!$A37)*F$4</f>
        <v>4928.9839705558052</v>
      </c>
      <c r="G49" s="503">
        <f>INDEX('Acute Prevalence'!$F$32:$F$36,'Maths Acute Treatment'!$A37)*G$4</f>
        <v>4359.6774404045391</v>
      </c>
      <c r="H49" s="503">
        <f>INDEX('Acute Prevalence'!$F$32:$F$36,'Maths Acute Treatment'!$A37)*H$4</f>
        <v>9492.9881904932845</v>
      </c>
      <c r="I49" s="679">
        <f t="shared" si="2"/>
        <v>0</v>
      </c>
    </row>
    <row r="50" spans="1:9" hidden="1" outlineLevel="1" x14ac:dyDescent="0.25">
      <c r="A50">
        <v>5</v>
      </c>
      <c r="B50" s="501" t="s">
        <v>1062</v>
      </c>
      <c r="C50" s="503">
        <f>INDEX('Acute Prevalence'!$F$32:$F$36,'Maths Acute Treatment'!$A38)*C$4</f>
        <v>5695.7929142959701</v>
      </c>
      <c r="D50" s="503">
        <f>INDEX('Acute Prevalence'!$F$32:$F$36,'Maths Acute Treatment'!$A38)*D$4</f>
        <v>5695.7929142959701</v>
      </c>
      <c r="E50" s="503">
        <f>INDEX('Acute Prevalence'!$F$32:$F$36,'Maths Acute Treatment'!$A38)*E$4</f>
        <v>5695.7929142959701</v>
      </c>
      <c r="F50" s="503">
        <f>INDEX('Acute Prevalence'!$F$32:$F$36,'Maths Acute Treatment'!$A38)*F$4</f>
        <v>2957.3903823334831</v>
      </c>
      <c r="G50" s="503">
        <f>INDEX('Acute Prevalence'!$F$32:$F$36,'Maths Acute Treatment'!$A38)*G$4</f>
        <v>2615.8064642427235</v>
      </c>
      <c r="H50" s="503">
        <f>INDEX('Acute Prevalence'!$F$32:$F$36,'Maths Acute Treatment'!$A38)*H$4</f>
        <v>5695.7929142959701</v>
      </c>
      <c r="I50" s="679">
        <f t="shared" si="2"/>
        <v>0</v>
      </c>
    </row>
    <row r="51" spans="1:9" hidden="1" outlineLevel="1" x14ac:dyDescent="0.25">
      <c r="B51" s="481" t="s">
        <v>1161</v>
      </c>
      <c r="C51" s="512">
        <f t="shared" ref="C51:H51" si="3">C34*C46+C35*C47+C36*C48+C37*C49+C38*C50</f>
        <v>77431452.976201296</v>
      </c>
      <c r="D51" s="513">
        <f t="shared" si="3"/>
        <v>84400283.744059429</v>
      </c>
      <c r="E51" s="513">
        <f t="shared" si="3"/>
        <v>91996309.281024769</v>
      </c>
      <c r="F51" s="513">
        <f t="shared" si="3"/>
        <v>40204241.581038937</v>
      </c>
      <c r="G51" s="513">
        <f t="shared" si="3"/>
        <v>35560579.234276727</v>
      </c>
      <c r="H51" s="514">
        <f t="shared" si="3"/>
        <v>77431452.976201296</v>
      </c>
      <c r="I51" s="679">
        <f t="shared" si="2"/>
        <v>0</v>
      </c>
    </row>
    <row r="52" spans="1:9" collapsed="1" x14ac:dyDescent="0.25">
      <c r="B52" s="481" t="s">
        <v>1162</v>
      </c>
      <c r="C52" s="512">
        <f>C46*C40+C47*C41+C48*C42+C49*C43+C50*C44</f>
        <v>22122848.89164136</v>
      </c>
      <c r="D52" s="513">
        <f t="shared" ref="D52:H52" si="4">D46*D40+D47*D41+D48*D42+D49*D43+D50*D44</f>
        <v>24113905.291889083</v>
      </c>
      <c r="E52" s="513">
        <f t="shared" si="4"/>
        <v>26284156.768159103</v>
      </c>
      <c r="F52" s="513">
        <f t="shared" si="4"/>
        <v>11486706.33332604</v>
      </c>
      <c r="G52" s="513">
        <f t="shared" ref="G52" si="5">G46*G40+G47*G41+G48*G42+G49*G43+G50*G44</f>
        <v>10159971.053893793</v>
      </c>
      <c r="H52" s="514">
        <f t="shared" si="4"/>
        <v>22122848.89164136</v>
      </c>
      <c r="I52" s="679">
        <f t="shared" si="2"/>
        <v>0</v>
      </c>
    </row>
    <row r="53" spans="1:9" x14ac:dyDescent="0.25">
      <c r="I53" s="679">
        <f t="shared" si="2"/>
        <v>0</v>
      </c>
    </row>
    <row r="54" spans="1:9" x14ac:dyDescent="0.25">
      <c r="I54" s="679">
        <f t="shared" si="2"/>
        <v>0</v>
      </c>
    </row>
    <row r="55" spans="1:9" x14ac:dyDescent="0.25">
      <c r="B55" s="477" t="s">
        <v>1163</v>
      </c>
      <c r="I55" s="679">
        <f t="shared" si="2"/>
        <v>0</v>
      </c>
    </row>
    <row r="56" spans="1:9" outlineLevel="1" x14ac:dyDescent="0.25">
      <c r="A56">
        <v>1</v>
      </c>
      <c r="B56" s="501" t="s">
        <v>1058</v>
      </c>
      <c r="C56">
        <f>INDEX('Acute Treat'!$J$91:$N$91,'Maths Acute Treatment'!$A56)</f>
        <v>327.0601950500332</v>
      </c>
      <c r="D56">
        <f>C56*(1+GenAssumptions!E$7)</f>
        <v>356.49561260453623</v>
      </c>
      <c r="E56">
        <f>D56*(1+GenAssumptions!F$7)</f>
        <v>388.5802177389445</v>
      </c>
      <c r="F56">
        <f>C56*(1+GenAssumptions!G$7)</f>
        <v>327.0601950500332</v>
      </c>
      <c r="G56">
        <f>C56*(1+GenAssumptions!H$7)</f>
        <v>327.0601950500332</v>
      </c>
      <c r="H56">
        <f>C56*(1+GenAssumptions!I$7)</f>
        <v>327.0601950500332</v>
      </c>
      <c r="I56" s="679">
        <f t="shared" si="2"/>
        <v>0</v>
      </c>
    </row>
    <row r="57" spans="1:9" outlineLevel="1" x14ac:dyDescent="0.25">
      <c r="A57">
        <v>2</v>
      </c>
      <c r="B57" s="501" t="s">
        <v>1059</v>
      </c>
      <c r="C57">
        <f>INDEX('Acute Treat'!$J$91:$N$91,'Maths Acute Treatment'!$A57)</f>
        <v>327.0601950500332</v>
      </c>
      <c r="D57">
        <f>C57*(1+GenAssumptions!E$7)</f>
        <v>356.49561260453623</v>
      </c>
      <c r="E57">
        <f>D57*(1+GenAssumptions!F$7)</f>
        <v>388.5802177389445</v>
      </c>
      <c r="F57">
        <f>C57*(1+GenAssumptions!G$7)</f>
        <v>327.0601950500332</v>
      </c>
      <c r="G57">
        <f>C57*(1+GenAssumptions!H$7)</f>
        <v>327.0601950500332</v>
      </c>
      <c r="H57">
        <f>C57*(1+GenAssumptions!I$7)</f>
        <v>327.0601950500332</v>
      </c>
      <c r="I57" s="679">
        <f t="shared" si="2"/>
        <v>0</v>
      </c>
    </row>
    <row r="58" spans="1:9" outlineLevel="1" x14ac:dyDescent="0.25">
      <c r="A58">
        <v>3</v>
      </c>
      <c r="B58" s="501" t="s">
        <v>1060</v>
      </c>
      <c r="C58">
        <f>INDEX('Acute Treat'!$J$91:$N$91,'Maths Acute Treatment'!$A58)</f>
        <v>327.0601950500332</v>
      </c>
      <c r="D58">
        <f>C58*(1+GenAssumptions!E$7)</f>
        <v>356.49561260453623</v>
      </c>
      <c r="E58">
        <f>D58*(1+GenAssumptions!F$7)</f>
        <v>388.5802177389445</v>
      </c>
      <c r="F58">
        <f>C58*(1+GenAssumptions!G$7)</f>
        <v>327.0601950500332</v>
      </c>
      <c r="G58">
        <f>C58*(1+GenAssumptions!H$7)</f>
        <v>327.0601950500332</v>
      </c>
      <c r="H58">
        <f>C58*(1+GenAssumptions!I$7)</f>
        <v>327.0601950500332</v>
      </c>
      <c r="I58" s="679">
        <f t="shared" si="2"/>
        <v>0</v>
      </c>
    </row>
    <row r="59" spans="1:9" outlineLevel="1" x14ac:dyDescent="0.25">
      <c r="A59">
        <v>4</v>
      </c>
      <c r="B59" s="501" t="s">
        <v>1061</v>
      </c>
      <c r="C59">
        <f>INDEX('Acute Treat'!$J$91:$N$91,'Maths Acute Treatment'!$A59)</f>
        <v>327.0601950500332</v>
      </c>
      <c r="D59">
        <f>C59*(1+GenAssumptions!E$7)</f>
        <v>356.49561260453623</v>
      </c>
      <c r="E59">
        <f>D59*(1+GenAssumptions!F$7)</f>
        <v>388.5802177389445</v>
      </c>
      <c r="F59">
        <f>C59*(1+GenAssumptions!G$7)</f>
        <v>327.0601950500332</v>
      </c>
      <c r="G59">
        <f>C59*(1+GenAssumptions!H$7)</f>
        <v>327.0601950500332</v>
      </c>
      <c r="H59">
        <f>C59*(1+GenAssumptions!I$7)</f>
        <v>327.0601950500332</v>
      </c>
      <c r="I59" s="679">
        <f t="shared" si="2"/>
        <v>0</v>
      </c>
    </row>
    <row r="60" spans="1:9" outlineLevel="1" x14ac:dyDescent="0.25">
      <c r="A60">
        <v>5</v>
      </c>
      <c r="B60" s="501" t="s">
        <v>1062</v>
      </c>
      <c r="C60">
        <f>INDEX('Acute Treat'!$J$91:$N$91,'Maths Acute Treatment'!$A60)</f>
        <v>327.0601950500332</v>
      </c>
      <c r="D60">
        <f>C60*(1+GenAssumptions!E$7)</f>
        <v>356.49561260453623</v>
      </c>
      <c r="E60">
        <f>D60*(1+GenAssumptions!F$7)</f>
        <v>388.5802177389445</v>
      </c>
      <c r="F60">
        <f>C60*(1+GenAssumptions!G$7)</f>
        <v>327.0601950500332</v>
      </c>
      <c r="G60">
        <f>C60*(1+GenAssumptions!H$7)</f>
        <v>327.0601950500332</v>
      </c>
      <c r="H60">
        <f>C60*(1+GenAssumptions!I$7)</f>
        <v>327.0601950500332</v>
      </c>
      <c r="I60" s="679">
        <f t="shared" si="2"/>
        <v>0</v>
      </c>
    </row>
    <row r="61" spans="1:9" outlineLevel="1" x14ac:dyDescent="0.25">
      <c r="B61" s="477" t="s">
        <v>1164</v>
      </c>
      <c r="D61">
        <f>C61*(1+GenAssumptions!E$7)</f>
        <v>0</v>
      </c>
      <c r="F61">
        <f>C61*(1+GenAssumptions!G$7)</f>
        <v>0</v>
      </c>
      <c r="G61">
        <f>D61*(1+GenAssumptions!H$7)</f>
        <v>0</v>
      </c>
      <c r="H61">
        <f>C61*(1+GenAssumptions!I$7)</f>
        <v>0</v>
      </c>
      <c r="I61" s="679">
        <f t="shared" si="2"/>
        <v>0</v>
      </c>
    </row>
    <row r="62" spans="1:9" outlineLevel="1" x14ac:dyDescent="0.25">
      <c r="A62">
        <v>1</v>
      </c>
      <c r="B62" s="501" t="s">
        <v>1058</v>
      </c>
      <c r="C62">
        <f>INDEX('Acute Treat'!$J$92:$N$92,'Maths Acute Treatment'!$A62)</f>
        <v>81.711600000000004</v>
      </c>
      <c r="D62">
        <f>C62*(1+GenAssumptions!E$7)</f>
        <v>89.065644000000006</v>
      </c>
      <c r="E62">
        <f>D62*(1+GenAssumptions!F$7)</f>
        <v>97.081551960000013</v>
      </c>
      <c r="F62">
        <f>C62*(1+GenAssumptions!G$7)</f>
        <v>81.711600000000004</v>
      </c>
      <c r="G62" s="576">
        <f>C62*(1+GenAssumptions!H$7)</f>
        <v>81.711600000000004</v>
      </c>
      <c r="H62">
        <f>C62*(1+GenAssumptions!I$7)</f>
        <v>81.711600000000004</v>
      </c>
      <c r="I62" s="679">
        <f t="shared" si="2"/>
        <v>0</v>
      </c>
    </row>
    <row r="63" spans="1:9" outlineLevel="1" x14ac:dyDescent="0.25">
      <c r="A63">
        <v>2</v>
      </c>
      <c r="B63" s="501" t="s">
        <v>1059</v>
      </c>
      <c r="C63">
        <f>INDEX('Acute Treat'!$J$92:$N$92,'Maths Acute Treatment'!$A63)</f>
        <v>117.8274</v>
      </c>
      <c r="D63">
        <f>C63*(1+GenAssumptions!E$7)</f>
        <v>128.43186600000001</v>
      </c>
      <c r="E63">
        <f>D63*(1+GenAssumptions!F$7)</f>
        <v>139.99073394000001</v>
      </c>
      <c r="F63">
        <f>C63*(1+GenAssumptions!G$7)</f>
        <v>117.8274</v>
      </c>
      <c r="G63" s="576">
        <f>C63*(1+GenAssumptions!H$7)</f>
        <v>117.8274</v>
      </c>
      <c r="H63">
        <f>C63*(1+GenAssumptions!I$7)</f>
        <v>117.8274</v>
      </c>
      <c r="I63" s="679">
        <f t="shared" si="2"/>
        <v>0</v>
      </c>
    </row>
    <row r="64" spans="1:9" outlineLevel="1" x14ac:dyDescent="0.25">
      <c r="A64">
        <v>3</v>
      </c>
      <c r="B64" s="501" t="s">
        <v>1060</v>
      </c>
      <c r="C64">
        <f>INDEX('Acute Treat'!$J$92:$N$92,'Maths Acute Treatment'!$A64)</f>
        <v>172.00109999999998</v>
      </c>
      <c r="D64">
        <f>C64*(1+GenAssumptions!E$7)</f>
        <v>187.481199</v>
      </c>
      <c r="E64">
        <f>D64*(1+GenAssumptions!F$7)</f>
        <v>204.35450691000003</v>
      </c>
      <c r="F64">
        <f>C64*(1+GenAssumptions!G$7)</f>
        <v>172.00109999999998</v>
      </c>
      <c r="G64" s="576">
        <f>C64*(1+GenAssumptions!H$7)</f>
        <v>172.00109999999998</v>
      </c>
      <c r="H64">
        <f>C64*(1+GenAssumptions!I$7)</f>
        <v>172.00109999999998</v>
      </c>
      <c r="I64" s="679">
        <f t="shared" si="2"/>
        <v>0</v>
      </c>
    </row>
    <row r="65" spans="1:9" outlineLevel="1" x14ac:dyDescent="0.25">
      <c r="A65">
        <v>4</v>
      </c>
      <c r="B65" s="501" t="s">
        <v>1061</v>
      </c>
      <c r="C65">
        <f>INDEX('Acute Treat'!$J$92:$N$92,'Maths Acute Treatment'!$A65)</f>
        <v>226.1748</v>
      </c>
      <c r="D65">
        <f>C65*(1+GenAssumptions!E$7)</f>
        <v>246.53053200000002</v>
      </c>
      <c r="E65">
        <f>D65*(1+GenAssumptions!F$7)</f>
        <v>268.71827988000007</v>
      </c>
      <c r="F65">
        <f>C65*(1+GenAssumptions!G$7)</f>
        <v>226.1748</v>
      </c>
      <c r="G65" s="576">
        <f>C65*(1+GenAssumptions!H$7)</f>
        <v>226.1748</v>
      </c>
      <c r="H65">
        <f>C65*(1+GenAssumptions!I$7)</f>
        <v>226.1748</v>
      </c>
      <c r="I65" s="679">
        <f t="shared" si="2"/>
        <v>0</v>
      </c>
    </row>
    <row r="66" spans="1:9" outlineLevel="1" x14ac:dyDescent="0.25">
      <c r="A66">
        <v>5</v>
      </c>
      <c r="B66" s="501" t="s">
        <v>1062</v>
      </c>
      <c r="C66">
        <f>INDEX('Acute Treat'!$J$92:$N$92,'Maths Acute Treatment'!$A66)</f>
        <v>262.29059999999998</v>
      </c>
      <c r="D66">
        <f>C66*(1+GenAssumptions!E$7)</f>
        <v>285.89675399999999</v>
      </c>
      <c r="E66">
        <f>D66*(1+GenAssumptions!F$7)</f>
        <v>311.62746185999998</v>
      </c>
      <c r="F66">
        <f>C66*(1+GenAssumptions!G$7)</f>
        <v>262.29059999999998</v>
      </c>
      <c r="G66" s="576">
        <f>C66*(1+GenAssumptions!H$7)</f>
        <v>262.29059999999998</v>
      </c>
      <c r="H66">
        <f>C66*(1+GenAssumptions!I$7)</f>
        <v>262.29059999999998</v>
      </c>
      <c r="I66" s="679">
        <f t="shared" si="2"/>
        <v>0</v>
      </c>
    </row>
    <row r="67" spans="1:9" outlineLevel="1" x14ac:dyDescent="0.25">
      <c r="B67" s="477" t="s">
        <v>1139</v>
      </c>
      <c r="G67" s="576">
        <f>C67*(1+GenAssumptions!H$7)</f>
        <v>0</v>
      </c>
      <c r="I67" s="679">
        <f t="shared" si="2"/>
        <v>0</v>
      </c>
    </row>
    <row r="68" spans="1:9" outlineLevel="1" x14ac:dyDescent="0.25">
      <c r="B68" s="501" t="s">
        <v>1058</v>
      </c>
      <c r="C68" s="503">
        <f>INDEX('Acute Prevalence'!$C$41:$C$45,'Maths Acute Treatment'!$A56)*C$5</f>
        <v>3797.1952761973139</v>
      </c>
      <c r="D68" s="503">
        <f>INDEX('Acute Prevalence'!$C$41:$C$45,'Maths Acute Treatment'!$A56)*D$5</f>
        <v>3797.1952761973139</v>
      </c>
      <c r="E68" s="503">
        <f>INDEX('Acute Prevalence'!$C$41:$C$45,'Maths Acute Treatment'!$A56)*E$5</f>
        <v>3797.1952761973139</v>
      </c>
      <c r="F68" s="503">
        <f>INDEX('Acute Prevalence'!$C$41:$C$45,'Maths Acute Treatment'!$A56)*F$5</f>
        <v>1971.5935882223221</v>
      </c>
      <c r="G68" s="503">
        <f>INDEX('Acute Prevalence'!$C$41:$C$45,'Maths Acute Treatment'!$A56)*G$5</f>
        <v>1961.8548481820428</v>
      </c>
      <c r="H68" s="503">
        <f>INDEX('Acute Prevalence'!$C$41:$C$45,'Maths Acute Treatment'!$A56)*H$5</f>
        <v>3797.1952761973139</v>
      </c>
      <c r="I68" s="679">
        <f t="shared" si="2"/>
        <v>0</v>
      </c>
    </row>
    <row r="69" spans="1:9" outlineLevel="1" x14ac:dyDescent="0.25">
      <c r="B69" s="501" t="s">
        <v>1059</v>
      </c>
      <c r="C69" s="503">
        <f>INDEX('Acute Prevalence'!$C$41:$C$45,'Maths Acute Treatment'!$A57)*C$5</f>
        <v>18985.976380986569</v>
      </c>
      <c r="D69" s="503">
        <f>INDEX('Acute Prevalence'!$C$41:$C$45,'Maths Acute Treatment'!$A57)*D$5</f>
        <v>18985.976380986569</v>
      </c>
      <c r="E69" s="503">
        <f>INDEX('Acute Prevalence'!$C$41:$C$45,'Maths Acute Treatment'!$A57)*E$5</f>
        <v>18985.976380986569</v>
      </c>
      <c r="F69" s="503">
        <f>INDEX('Acute Prevalence'!$C$41:$C$45,'Maths Acute Treatment'!$A57)*F$5</f>
        <v>9857.9679411116103</v>
      </c>
      <c r="G69" s="503">
        <f>INDEX('Acute Prevalence'!$C$41:$C$45,'Maths Acute Treatment'!$A57)*G$5</f>
        <v>9809.2742409102138</v>
      </c>
      <c r="H69" s="503">
        <f>INDEX('Acute Prevalence'!$C$41:$C$45,'Maths Acute Treatment'!$A57)*H$5</f>
        <v>18985.976380986569</v>
      </c>
      <c r="I69" s="679">
        <f t="shared" si="2"/>
        <v>0</v>
      </c>
    </row>
    <row r="70" spans="1:9" outlineLevel="1" x14ac:dyDescent="0.25">
      <c r="B70" s="501" t="s">
        <v>1060</v>
      </c>
      <c r="C70" s="503">
        <f>INDEX('Acute Prevalence'!$C$41:$C$45,'Maths Acute Treatment'!$A58)*C$5</f>
        <v>12151.024883831404</v>
      </c>
      <c r="D70" s="503">
        <f>INDEX('Acute Prevalence'!$C$41:$C$45,'Maths Acute Treatment'!$A58)*D$5</f>
        <v>12151.024883831404</v>
      </c>
      <c r="E70" s="503">
        <f>INDEX('Acute Prevalence'!$C$41:$C$45,'Maths Acute Treatment'!$A58)*E$5</f>
        <v>12151.024883831404</v>
      </c>
      <c r="F70" s="503">
        <f>INDEX('Acute Prevalence'!$C$41:$C$45,'Maths Acute Treatment'!$A58)*F$5</f>
        <v>6309.0994823114306</v>
      </c>
      <c r="G70" s="503">
        <f>INDEX('Acute Prevalence'!$C$41:$C$45,'Maths Acute Treatment'!$A58)*G$5</f>
        <v>6277.9355141825372</v>
      </c>
      <c r="H70" s="503">
        <f>INDEX('Acute Prevalence'!$C$41:$C$45,'Maths Acute Treatment'!$A58)*H$5</f>
        <v>12151.024883831404</v>
      </c>
      <c r="I70" s="679">
        <f t="shared" si="2"/>
        <v>0</v>
      </c>
    </row>
    <row r="71" spans="1:9" outlineLevel="1" x14ac:dyDescent="0.25">
      <c r="B71" s="501" t="s">
        <v>1061</v>
      </c>
      <c r="C71" s="503">
        <f>INDEX('Acute Prevalence'!$C$41:$C$45,'Maths Acute Treatment'!$A59)*C$5</f>
        <v>1898.5976380986569</v>
      </c>
      <c r="D71" s="503">
        <f>INDEX('Acute Prevalence'!$C$41:$C$45,'Maths Acute Treatment'!$A59)*D$5</f>
        <v>1898.5976380986569</v>
      </c>
      <c r="E71" s="503">
        <f>INDEX('Acute Prevalence'!$C$41:$C$45,'Maths Acute Treatment'!$A59)*E$5</f>
        <v>1898.5976380986569</v>
      </c>
      <c r="F71" s="503">
        <f>INDEX('Acute Prevalence'!$C$41:$C$45,'Maths Acute Treatment'!$A59)*F$5</f>
        <v>985.79679411116103</v>
      </c>
      <c r="G71" s="503">
        <f>INDEX('Acute Prevalence'!$C$41:$C$45,'Maths Acute Treatment'!$A59)*G$5</f>
        <v>980.92742409102141</v>
      </c>
      <c r="H71" s="503">
        <f>INDEX('Acute Prevalence'!$C$41:$C$45,'Maths Acute Treatment'!$A59)*H$5</f>
        <v>1898.5976380986569</v>
      </c>
      <c r="I71" s="679">
        <f t="shared" si="2"/>
        <v>0</v>
      </c>
    </row>
    <row r="72" spans="1:9" outlineLevel="1" x14ac:dyDescent="0.25">
      <c r="B72" s="501" t="s">
        <v>1062</v>
      </c>
      <c r="C72" s="503">
        <f>INDEX('Acute Prevalence'!$C$41:$C$45,'Maths Acute Treatment'!$A60)*C$5</f>
        <v>1139.158582859194</v>
      </c>
      <c r="D72" s="503">
        <f>INDEX('Acute Prevalence'!$C$41:$C$45,'Maths Acute Treatment'!$A60)*D$5</f>
        <v>1139.158582859194</v>
      </c>
      <c r="E72" s="503">
        <f>INDEX('Acute Prevalence'!$C$41:$C$45,'Maths Acute Treatment'!$A60)*E$5</f>
        <v>1139.158582859194</v>
      </c>
      <c r="F72" s="503">
        <f>INDEX('Acute Prevalence'!$C$41:$C$45,'Maths Acute Treatment'!$A60)*F$5</f>
        <v>591.47807646669662</v>
      </c>
      <c r="G72" s="503">
        <f>INDEX('Acute Prevalence'!$C$41:$C$45,'Maths Acute Treatment'!$A60)*G$5</f>
        <v>588.55645445461278</v>
      </c>
      <c r="H72" s="503">
        <f>INDEX('Acute Prevalence'!$C$41:$C$45,'Maths Acute Treatment'!$A60)*H$5</f>
        <v>1139.158582859194</v>
      </c>
      <c r="I72" s="679">
        <f t="shared" si="2"/>
        <v>0</v>
      </c>
    </row>
    <row r="73" spans="1:9" outlineLevel="1" x14ac:dyDescent="0.25">
      <c r="I73" s="679">
        <f t="shared" si="2"/>
        <v>0</v>
      </c>
    </row>
    <row r="74" spans="1:9" x14ac:dyDescent="0.25">
      <c r="B74" s="477" t="s">
        <v>1165</v>
      </c>
      <c r="C74" s="512">
        <f t="shared" ref="C74:H74" si="6">C56*C68+C57*C69+C58*C70+C59*C71+C60*C72</f>
        <v>12419114.276761582</v>
      </c>
      <c r="D74" s="512">
        <f t="shared" si="6"/>
        <v>13536834.561670126</v>
      </c>
      <c r="E74" s="512">
        <f t="shared" si="6"/>
        <v>14755149.672220437</v>
      </c>
      <c r="F74" s="512">
        <f t="shared" si="6"/>
        <v>6448297.8352338746</v>
      </c>
      <c r="G74" s="512">
        <f>G56*G68+G57*G69+G58*G70+G59*G71+G60*G72</f>
        <v>6416446.2930627214</v>
      </c>
      <c r="H74" s="514">
        <f t="shared" si="6"/>
        <v>12419114.276761582</v>
      </c>
      <c r="I74" s="679">
        <f t="shared" si="2"/>
        <v>0</v>
      </c>
    </row>
    <row r="75" spans="1:9" x14ac:dyDescent="0.25">
      <c r="B75" s="477" t="s">
        <v>1166</v>
      </c>
      <c r="C75" s="512">
        <f>C62*C68+C63*C69+C64*C70+C65*C71+C66*C72</f>
        <v>5365538.3103806786</v>
      </c>
      <c r="D75" s="512">
        <f t="shared" ref="D75:H75" si="7">D62*D68+D63*D69+D64*D70+D65*D71+D66*D72</f>
        <v>5848436.7583149401</v>
      </c>
      <c r="E75" s="512">
        <f t="shared" si="7"/>
        <v>6374796.066563285</v>
      </c>
      <c r="F75" s="512">
        <f>F62*F68+F63*F69+F64*F70+F65*F71+F66*F72</f>
        <v>2785914.3817069461</v>
      </c>
      <c r="G75" s="512">
        <f>G62*G68+G63*G69+G64*G70+G65*G71+G66*G72</f>
        <v>2772153.2820056723</v>
      </c>
      <c r="H75" s="512">
        <f t="shared" si="7"/>
        <v>5365538.3103806786</v>
      </c>
      <c r="I75" s="679">
        <f t="shared" si="2"/>
        <v>0</v>
      </c>
    </row>
    <row r="76" spans="1:9" x14ac:dyDescent="0.25">
      <c r="I76" s="679">
        <f t="shared" si="2"/>
        <v>0</v>
      </c>
    </row>
    <row r="77" spans="1:9" x14ac:dyDescent="0.25">
      <c r="B77" s="462" t="s">
        <v>1165</v>
      </c>
      <c r="I77" s="679">
        <f t="shared" si="2"/>
        <v>0</v>
      </c>
    </row>
    <row r="78" spans="1:9" outlineLevel="1" x14ac:dyDescent="0.25">
      <c r="A78">
        <v>1</v>
      </c>
      <c r="B78" s="501" t="s">
        <v>1058</v>
      </c>
      <c r="C78">
        <f>INDEX('Acute Treat'!$J$94:$N$94,'Maths Acute Treatment'!$A78)</f>
        <v>1607.5160622222224</v>
      </c>
      <c r="D78">
        <f>C78*(1+GenAssumptions!E$7)</f>
        <v>1752.1925078222225</v>
      </c>
      <c r="E78">
        <f>D78*(1+GenAssumptions!F$7)</f>
        <v>1909.8898335262227</v>
      </c>
      <c r="F78" s="576">
        <f>C78*(1+GenAssumptions!G$7)</f>
        <v>1607.5160622222224</v>
      </c>
      <c r="G78" s="576">
        <f>C78*(1+GenAssumptions!H$7)</f>
        <v>1607.5160622222224</v>
      </c>
      <c r="H78" s="576">
        <f>C78*(1+GenAssumptions!I$7)</f>
        <v>1607.5160622222224</v>
      </c>
      <c r="I78" s="679">
        <f t="shared" si="2"/>
        <v>0</v>
      </c>
    </row>
    <row r="79" spans="1:9" outlineLevel="1" x14ac:dyDescent="0.25">
      <c r="A79">
        <v>2</v>
      </c>
      <c r="B79" s="501" t="s">
        <v>1059</v>
      </c>
      <c r="C79">
        <f>INDEX('Acute Treat'!$J$94:$N$94,'Maths Acute Treatment'!$A79)</f>
        <v>2410.8731733333334</v>
      </c>
      <c r="D79">
        <f>C79*(1+GenAssumptions!E$7)</f>
        <v>2627.8517589333337</v>
      </c>
      <c r="E79">
        <f>D79*(1+GenAssumptions!F$7)</f>
        <v>2864.3584172373339</v>
      </c>
      <c r="F79" s="576">
        <f>C79*(1+GenAssumptions!G$7)</f>
        <v>2410.8731733333334</v>
      </c>
      <c r="G79" s="576">
        <f>C79*(1+GenAssumptions!H$7)</f>
        <v>2410.8731733333334</v>
      </c>
      <c r="H79" s="576">
        <f>C79*(1+GenAssumptions!I$7)</f>
        <v>2410.8731733333334</v>
      </c>
      <c r="I79" s="679">
        <f t="shared" si="2"/>
        <v>0</v>
      </c>
    </row>
    <row r="80" spans="1:9" outlineLevel="1" x14ac:dyDescent="0.25">
      <c r="A80">
        <v>3</v>
      </c>
      <c r="B80" s="501" t="s">
        <v>1060</v>
      </c>
      <c r="C80">
        <f>INDEX('Acute Treat'!$J$94:$N$94,'Maths Acute Treatment'!$A80)</f>
        <v>3615.9088400000001</v>
      </c>
      <c r="D80">
        <f>C80*(1+GenAssumptions!E$7)</f>
        <v>3941.3406356000005</v>
      </c>
      <c r="E80">
        <f>D80*(1+GenAssumptions!F$7)</f>
        <v>4296.0612928040009</v>
      </c>
      <c r="F80" s="576">
        <f>C80*(1+GenAssumptions!G$7)</f>
        <v>3615.9088400000001</v>
      </c>
      <c r="G80" s="576">
        <f>C80*(1+GenAssumptions!H$7)</f>
        <v>3615.9088400000001</v>
      </c>
      <c r="H80" s="576">
        <f>C80*(1+GenAssumptions!I$7)</f>
        <v>3615.9088400000001</v>
      </c>
      <c r="I80" s="679">
        <f t="shared" si="2"/>
        <v>0</v>
      </c>
    </row>
    <row r="81" spans="1:9" outlineLevel="1" x14ac:dyDescent="0.25">
      <c r="A81">
        <v>4</v>
      </c>
      <c r="B81" s="501" t="s">
        <v>1061</v>
      </c>
      <c r="C81">
        <f>INDEX('Acute Treat'!$J$94:$N$94,'Maths Acute Treatment'!$A81)</f>
        <v>4820.9445066666667</v>
      </c>
      <c r="D81">
        <f>C81*(1+GenAssumptions!E$7)</f>
        <v>5254.8295122666668</v>
      </c>
      <c r="E81">
        <f>D81*(1+GenAssumptions!F$7)</f>
        <v>5727.764168370667</v>
      </c>
      <c r="F81" s="576">
        <f>C81*(1+GenAssumptions!G$7)</f>
        <v>4820.9445066666667</v>
      </c>
      <c r="G81" s="576">
        <f>C81*(1+GenAssumptions!H$7)</f>
        <v>4820.9445066666667</v>
      </c>
      <c r="H81" s="576">
        <f>C81*(1+GenAssumptions!I$7)</f>
        <v>4820.9445066666667</v>
      </c>
      <c r="I81" s="679">
        <f t="shared" si="2"/>
        <v>0</v>
      </c>
    </row>
    <row r="82" spans="1:9" outlineLevel="1" x14ac:dyDescent="0.25">
      <c r="A82">
        <v>5</v>
      </c>
      <c r="B82" s="501" t="s">
        <v>1062</v>
      </c>
      <c r="C82">
        <f>INDEX('Acute Treat'!$J$94:$N$94,'Maths Acute Treatment'!$A82)</f>
        <v>5624.301617777779</v>
      </c>
      <c r="D82">
        <f>C82*(1+GenAssumptions!E$7)</f>
        <v>6130.4887633777798</v>
      </c>
      <c r="E82">
        <f>D82*(1+GenAssumptions!F$7)</f>
        <v>6682.2327520817807</v>
      </c>
      <c r="F82" s="576">
        <f>C82*(1+GenAssumptions!G$7)</f>
        <v>5624.301617777779</v>
      </c>
      <c r="G82" s="576">
        <f>C82*(1+GenAssumptions!H$7)</f>
        <v>5624.301617777779</v>
      </c>
      <c r="H82" s="576">
        <f>C82*(1+GenAssumptions!I$7)</f>
        <v>5624.301617777779</v>
      </c>
      <c r="I82" s="679">
        <f t="shared" si="2"/>
        <v>0</v>
      </c>
    </row>
    <row r="83" spans="1:9" outlineLevel="1" x14ac:dyDescent="0.25">
      <c r="B83" s="462" t="s">
        <v>1167</v>
      </c>
      <c r="F83" s="576">
        <f>C83*(1+GenAssumptions!G$7)</f>
        <v>0</v>
      </c>
      <c r="G83" s="576">
        <f>C83*(1+GenAssumptions!H$7)</f>
        <v>0</v>
      </c>
      <c r="H83" s="576">
        <f>C83*(1+GenAssumptions!I$7)</f>
        <v>0</v>
      </c>
      <c r="I83" s="679">
        <f t="shared" si="2"/>
        <v>0</v>
      </c>
    </row>
    <row r="84" spans="1:9" outlineLevel="1" x14ac:dyDescent="0.25">
      <c r="A84">
        <v>1</v>
      </c>
      <c r="B84" s="501" t="s">
        <v>1058</v>
      </c>
      <c r="C84">
        <f>INDEX('Acute Treat'!$J$95:$N$95,'Maths Acute Treatment'!$A84)</f>
        <v>184.149</v>
      </c>
      <c r="D84">
        <f>C84*(1+GenAssumptions!E$7)</f>
        <v>200.72241000000002</v>
      </c>
      <c r="E84">
        <f>D84*(1+GenAssumptions!F$7)</f>
        <v>218.78742690000004</v>
      </c>
      <c r="F84" s="576">
        <f>C84*(1+GenAssumptions!G$7)</f>
        <v>184.149</v>
      </c>
      <c r="G84" s="576">
        <f>C84*(1+GenAssumptions!H$7)</f>
        <v>184.149</v>
      </c>
      <c r="H84" s="576">
        <f>C84*(1+GenAssumptions!I$7)</f>
        <v>184.149</v>
      </c>
      <c r="I84" s="679">
        <f t="shared" si="2"/>
        <v>0</v>
      </c>
    </row>
    <row r="85" spans="1:9" outlineLevel="1" x14ac:dyDescent="0.25">
      <c r="A85">
        <v>2</v>
      </c>
      <c r="B85" s="501" t="s">
        <v>1059</v>
      </c>
      <c r="C85">
        <f>INDEX('Acute Treat'!$J$95:$N$95,'Maths Acute Treatment'!$A85)</f>
        <v>252.83600000000001</v>
      </c>
      <c r="D85">
        <f>C85*(1+GenAssumptions!E$7)</f>
        <v>275.59124000000003</v>
      </c>
      <c r="E85">
        <f>D85*(1+GenAssumptions!F$7)</f>
        <v>300.39445160000002</v>
      </c>
      <c r="F85" s="576">
        <f>C85*(1+GenAssumptions!G$7)</f>
        <v>252.83600000000001</v>
      </c>
      <c r="G85" s="576">
        <f>C85*(1+GenAssumptions!H$7)</f>
        <v>252.83600000000001</v>
      </c>
      <c r="H85" s="576">
        <f>C85*(1+GenAssumptions!I$7)</f>
        <v>252.83600000000001</v>
      </c>
      <c r="I85" s="679">
        <f t="shared" si="2"/>
        <v>0</v>
      </c>
    </row>
    <row r="86" spans="1:9" outlineLevel="1" x14ac:dyDescent="0.25">
      <c r="A86">
        <v>3</v>
      </c>
      <c r="B86" s="501" t="s">
        <v>1060</v>
      </c>
      <c r="C86">
        <f>INDEX('Acute Treat'!$J$95:$N$95,'Maths Acute Treatment'!$A86)</f>
        <v>355.86649999999997</v>
      </c>
      <c r="D86">
        <f>C86*(1+GenAssumptions!E$7)</f>
        <v>387.89448499999997</v>
      </c>
      <c r="E86">
        <f>D86*(1+GenAssumptions!F$7)</f>
        <v>422.80498864999998</v>
      </c>
      <c r="F86" s="576">
        <f>C86*(1+GenAssumptions!G$7)</f>
        <v>355.86649999999997</v>
      </c>
      <c r="G86" s="576">
        <f>C86*(1+GenAssumptions!H$7)</f>
        <v>355.86649999999997</v>
      </c>
      <c r="H86" s="576">
        <f>C86*(1+GenAssumptions!I$7)</f>
        <v>355.86649999999997</v>
      </c>
      <c r="I86" s="679">
        <f t="shared" si="2"/>
        <v>0</v>
      </c>
    </row>
    <row r="87" spans="1:9" outlineLevel="1" x14ac:dyDescent="0.25">
      <c r="A87">
        <v>4</v>
      </c>
      <c r="B87" s="501" t="s">
        <v>1061</v>
      </c>
      <c r="C87">
        <f>INDEX('Acute Treat'!$J$95:$N$95,'Maths Acute Treatment'!$A87)</f>
        <v>458.89700000000005</v>
      </c>
      <c r="D87">
        <f>C87*(1+GenAssumptions!E$7)</f>
        <v>500.19773000000009</v>
      </c>
      <c r="E87">
        <f>D87*(1+GenAssumptions!F$7)</f>
        <v>545.21552570000017</v>
      </c>
      <c r="F87" s="576">
        <f>C87*(1+GenAssumptions!G$7)</f>
        <v>458.89700000000005</v>
      </c>
      <c r="G87" s="576">
        <f>C87*(1+GenAssumptions!H$7)</f>
        <v>458.89700000000005</v>
      </c>
      <c r="H87" s="576">
        <f>C87*(1+GenAssumptions!I$7)</f>
        <v>458.89700000000005</v>
      </c>
      <c r="I87" s="679">
        <f t="shared" si="2"/>
        <v>0</v>
      </c>
    </row>
    <row r="88" spans="1:9" outlineLevel="1" x14ac:dyDescent="0.25">
      <c r="A88">
        <v>5</v>
      </c>
      <c r="B88" s="501" t="s">
        <v>1062</v>
      </c>
      <c r="C88">
        <f>INDEX('Acute Treat'!$J$95:$N$95,'Maths Acute Treatment'!$A88)</f>
        <v>527.58399999999995</v>
      </c>
      <c r="D88">
        <f>C88*(1+GenAssumptions!E$7)</f>
        <v>575.06655999999998</v>
      </c>
      <c r="E88">
        <f>D88*(1+GenAssumptions!F$7)</f>
        <v>626.82255040000007</v>
      </c>
      <c r="F88" s="576">
        <f>C88*(1+GenAssumptions!G$7)</f>
        <v>527.58399999999995</v>
      </c>
      <c r="G88" s="576">
        <f>C88*(1+GenAssumptions!H$7)</f>
        <v>527.58399999999995</v>
      </c>
      <c r="H88" s="576">
        <f>C88*(1+GenAssumptions!I$7)</f>
        <v>527.58399999999995</v>
      </c>
      <c r="I88" s="679">
        <f t="shared" si="2"/>
        <v>0</v>
      </c>
    </row>
    <row r="89" spans="1:9" outlineLevel="1" x14ac:dyDescent="0.25">
      <c r="I89" s="679">
        <f t="shared" si="2"/>
        <v>0</v>
      </c>
    </row>
    <row r="90" spans="1:9" outlineLevel="1" x14ac:dyDescent="0.25">
      <c r="B90" s="462" t="s">
        <v>1140</v>
      </c>
      <c r="I90" s="679">
        <f t="shared" si="2"/>
        <v>0</v>
      </c>
    </row>
    <row r="91" spans="1:9" outlineLevel="1" x14ac:dyDescent="0.25">
      <c r="A91">
        <v>1</v>
      </c>
      <c r="B91" s="501" t="s">
        <v>1058</v>
      </c>
      <c r="C91" s="503">
        <f>INDEX('Acute Prevalence'!$F$41:$F$45,'Maths Acute Treatment'!$A91)*C$6</f>
        <v>949.29881904932836</v>
      </c>
      <c r="D91" s="503">
        <f>INDEX('Acute Prevalence'!$F$41:$F$45,'Maths Acute Treatment'!$A91)*D$6</f>
        <v>949.29881904932836</v>
      </c>
      <c r="E91" s="503">
        <f>INDEX('Acute Prevalence'!$F$41:$F$45,'Maths Acute Treatment'!$A91)*E$6</f>
        <v>949.29881904932836</v>
      </c>
      <c r="F91" s="503">
        <f>INDEX('Acute Prevalence'!$F$41:$F$45,'Maths Acute Treatment'!$A91)*F$6</f>
        <v>492.89839705558035</v>
      </c>
      <c r="G91" s="503">
        <f>INDEX('Acute Prevalence'!$F$41:$F$45,'Maths Acute Treatment'!$A91)*G$6</f>
        <v>217.98387202022693</v>
      </c>
      <c r="H91" s="503">
        <f>INDEX('Acute Prevalence'!$F$41:$F$45,'Maths Acute Treatment'!$A91)*H$6</f>
        <v>949.29881904932836</v>
      </c>
      <c r="I91" s="679">
        <f t="shared" si="2"/>
        <v>0</v>
      </c>
    </row>
    <row r="92" spans="1:9" outlineLevel="1" x14ac:dyDescent="0.25">
      <c r="A92">
        <v>2</v>
      </c>
      <c r="B92" s="501" t="s">
        <v>1059</v>
      </c>
      <c r="C92" s="503">
        <f>INDEX('Acute Prevalence'!$F$41:$F$45,'Maths Acute Treatment'!$A92)*C$6</f>
        <v>4746.4940952466413</v>
      </c>
      <c r="D92" s="503">
        <f>INDEX('Acute Prevalence'!$F$41:$F$45,'Maths Acute Treatment'!$A92)*D$6</f>
        <v>4746.4940952466413</v>
      </c>
      <c r="E92" s="503">
        <f>INDEX('Acute Prevalence'!$F$41:$F$45,'Maths Acute Treatment'!$A92)*E$6</f>
        <v>4746.4940952466413</v>
      </c>
      <c r="F92" s="503">
        <f>INDEX('Acute Prevalence'!$F$41:$F$45,'Maths Acute Treatment'!$A92)*F$6</f>
        <v>2464.4919852779017</v>
      </c>
      <c r="G92" s="503">
        <f>INDEX('Acute Prevalence'!$F$41:$F$45,'Maths Acute Treatment'!$A92)*G$6</f>
        <v>1089.9193601011345</v>
      </c>
      <c r="H92" s="503">
        <f>INDEX('Acute Prevalence'!$F$41:$F$45,'Maths Acute Treatment'!$A92)*H$6</f>
        <v>4746.4940952466413</v>
      </c>
      <c r="I92" s="679">
        <f t="shared" si="2"/>
        <v>0</v>
      </c>
    </row>
    <row r="93" spans="1:9" outlineLevel="1" x14ac:dyDescent="0.25">
      <c r="A93">
        <v>3</v>
      </c>
      <c r="B93" s="501" t="s">
        <v>1060</v>
      </c>
      <c r="C93" s="503">
        <f>INDEX('Acute Prevalence'!$F$41:$F$45,'Maths Acute Treatment'!$A93)*C$6</f>
        <v>3037.7562209578505</v>
      </c>
      <c r="D93" s="503">
        <f>INDEX('Acute Prevalence'!$F$41:$F$45,'Maths Acute Treatment'!$A93)*D$6</f>
        <v>3037.7562209578505</v>
      </c>
      <c r="E93" s="503">
        <f>INDEX('Acute Prevalence'!$F$41:$F$45,'Maths Acute Treatment'!$A93)*E$6</f>
        <v>3037.7562209578505</v>
      </c>
      <c r="F93" s="503">
        <f>INDEX('Acute Prevalence'!$F$41:$F$45,'Maths Acute Treatment'!$A93)*F$6</f>
        <v>1577.2748705778572</v>
      </c>
      <c r="G93" s="503">
        <f>INDEX('Acute Prevalence'!$F$41:$F$45,'Maths Acute Treatment'!$A93)*G$6</f>
        <v>697.54839046472614</v>
      </c>
      <c r="H93" s="503">
        <f>INDEX('Acute Prevalence'!$F$41:$F$45,'Maths Acute Treatment'!$A93)*H$6</f>
        <v>3037.7562209578505</v>
      </c>
      <c r="I93" s="679">
        <f t="shared" si="2"/>
        <v>0</v>
      </c>
    </row>
    <row r="94" spans="1:9" outlineLevel="1" x14ac:dyDescent="0.25">
      <c r="A94">
        <v>4</v>
      </c>
      <c r="B94" s="501" t="s">
        <v>1061</v>
      </c>
      <c r="C94" s="503">
        <f>INDEX('Acute Prevalence'!$F$41:$F$45,'Maths Acute Treatment'!$A94)*C$6</f>
        <v>474.64940952466418</v>
      </c>
      <c r="D94" s="503">
        <f>INDEX('Acute Prevalence'!$F$41:$F$45,'Maths Acute Treatment'!$A94)*D$6</f>
        <v>474.64940952466418</v>
      </c>
      <c r="E94" s="503">
        <f>INDEX('Acute Prevalence'!$F$41:$F$45,'Maths Acute Treatment'!$A94)*E$6</f>
        <v>474.64940952466418</v>
      </c>
      <c r="F94" s="503">
        <f>INDEX('Acute Prevalence'!$F$41:$F$45,'Maths Acute Treatment'!$A94)*F$6</f>
        <v>246.44919852779017</v>
      </c>
      <c r="G94" s="503">
        <f>INDEX('Acute Prevalence'!$F$41:$F$45,'Maths Acute Treatment'!$A94)*G$6</f>
        <v>108.99193601011346</v>
      </c>
      <c r="H94" s="503">
        <f>INDEX('Acute Prevalence'!$F$41:$F$45,'Maths Acute Treatment'!$A94)*H$6</f>
        <v>474.64940952466418</v>
      </c>
      <c r="I94" s="679">
        <f t="shared" ref="I94:I98" si="8">H94-C94</f>
        <v>0</v>
      </c>
    </row>
    <row r="95" spans="1:9" outlineLevel="1" x14ac:dyDescent="0.25">
      <c r="A95">
        <v>5</v>
      </c>
      <c r="B95" s="501" t="s">
        <v>1062</v>
      </c>
      <c r="C95" s="503">
        <f>INDEX('Acute Prevalence'!$F$41:$F$45,'Maths Acute Treatment'!$A95)*C$6</f>
        <v>284.7896457147985</v>
      </c>
      <c r="D95" s="503">
        <f>INDEX('Acute Prevalence'!$F$41:$F$45,'Maths Acute Treatment'!$A95)*D$6</f>
        <v>284.7896457147985</v>
      </c>
      <c r="E95" s="503">
        <f>INDEX('Acute Prevalence'!$F$41:$F$45,'Maths Acute Treatment'!$A95)*E$6</f>
        <v>284.7896457147985</v>
      </c>
      <c r="F95" s="503">
        <f>INDEX('Acute Prevalence'!$F$41:$F$45,'Maths Acute Treatment'!$A95)*F$6</f>
        <v>147.8695191166741</v>
      </c>
      <c r="G95" s="503">
        <f>INDEX('Acute Prevalence'!$F$41:$F$45,'Maths Acute Treatment'!$A95)*G$6</f>
        <v>65.395161606068072</v>
      </c>
      <c r="H95" s="503">
        <f>INDEX('Acute Prevalence'!$F$41:$F$45,'Maths Acute Treatment'!$A95)*H$6</f>
        <v>284.7896457147985</v>
      </c>
      <c r="I95" s="679">
        <f t="shared" si="8"/>
        <v>0</v>
      </c>
    </row>
    <row r="96" spans="1:9" outlineLevel="1" x14ac:dyDescent="0.25">
      <c r="I96" s="679">
        <f t="shared" si="8"/>
        <v>0</v>
      </c>
    </row>
    <row r="97" spans="2:9" x14ac:dyDescent="0.25">
      <c r="B97" s="462" t="s">
        <v>1165</v>
      </c>
      <c r="C97" s="512">
        <f t="shared" ref="C97:H97" si="9">C78*C91+C79*C92+C80*C93+C81*C94+C82*C95</f>
        <v>27843459.282772679</v>
      </c>
      <c r="D97" s="513">
        <f t="shared" si="9"/>
        <v>30349370.618222222</v>
      </c>
      <c r="E97" s="513">
        <f t="shared" si="9"/>
        <v>33080813.973862223</v>
      </c>
      <c r="F97" s="513">
        <f t="shared" si="9"/>
        <v>14456982.536547149</v>
      </c>
      <c r="G97" s="513">
        <f t="shared" si="9"/>
        <v>6393587.5017463109</v>
      </c>
      <c r="H97" s="514">
        <f t="shared" si="9"/>
        <v>27843459.282772679</v>
      </c>
      <c r="I97" s="679">
        <f t="shared" si="8"/>
        <v>0</v>
      </c>
    </row>
    <row r="98" spans="2:9" x14ac:dyDescent="0.25">
      <c r="B98" s="462" t="s">
        <v>1167</v>
      </c>
      <c r="C98" s="512">
        <f>C84*C91+C85*C92+C86*C93+C87*C94+C88*C95</f>
        <v>2823998.3340278277</v>
      </c>
      <c r="D98" s="512">
        <f t="shared" ref="D98:F98" si="10">D84*D91+D85*D92+D86*D93+D87*D94+D88*D95</f>
        <v>3078158.1840903317</v>
      </c>
      <c r="E98" s="512">
        <f t="shared" si="10"/>
        <v>3355192.4206584617</v>
      </c>
      <c r="F98" s="512">
        <f t="shared" si="10"/>
        <v>1466286.7204700653</v>
      </c>
      <c r="G98" s="512">
        <f t="shared" ref="G98" si="11">G84*G91+G85*G92+G86*G93+G87*G94+G88*G95</f>
        <v>648463.98107450746</v>
      </c>
      <c r="H98" s="512">
        <f>H84*H91+H85*H92+H86*H93+H87*H94+H88*H95</f>
        <v>2823998.3340278277</v>
      </c>
      <c r="I98" s="679">
        <f t="shared" si="8"/>
        <v>0</v>
      </c>
    </row>
  </sheetData>
  <pageMargins left="0.7" right="0.7" top="0.75" bottom="0.75" header="0.3" footer="0.3"/>
  <extLst>
    <ext xmlns:mx="http://schemas.microsoft.com/office/mac/excel/2008/main" uri="{64002731-A6B0-56B0-2670-7721B7C09600}">
      <mx:PLV Mode="0" OnePage="0" WScale="0"/>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DS21"/>
  <sheetViews>
    <sheetView workbookViewId="0">
      <selection activeCell="E8" sqref="E8:G16"/>
    </sheetView>
  </sheetViews>
  <sheetFormatPr defaultRowHeight="12.75" x14ac:dyDescent="0.2"/>
  <cols>
    <col min="1" max="1" width="12.5703125" style="8" customWidth="1"/>
    <col min="2" max="123" width="10.5703125" style="8" customWidth="1"/>
    <col min="124" max="16384" width="9.140625" style="8"/>
  </cols>
  <sheetData>
    <row r="1" spans="1:123" x14ac:dyDescent="0.2">
      <c r="A1" s="919" t="s">
        <v>1536</v>
      </c>
    </row>
    <row r="2" spans="1:123" x14ac:dyDescent="0.2">
      <c r="A2" s="919" t="s">
        <v>1537</v>
      </c>
    </row>
    <row r="3" spans="1:123" x14ac:dyDescent="0.2">
      <c r="A3" s="919" t="s">
        <v>1538</v>
      </c>
    </row>
    <row r="4" spans="1:123" x14ac:dyDescent="0.2">
      <c r="A4" s="919" t="s">
        <v>1539</v>
      </c>
    </row>
    <row r="5" spans="1:123" x14ac:dyDescent="0.2">
      <c r="A5" s="919" t="s">
        <v>1540</v>
      </c>
    </row>
    <row r="7" spans="1:123" x14ac:dyDescent="0.2">
      <c r="A7" s="920"/>
      <c r="B7" s="921" t="s">
        <v>1541</v>
      </c>
      <c r="C7" s="921" t="s">
        <v>1542</v>
      </c>
      <c r="D7" s="921" t="s">
        <v>1543</v>
      </c>
      <c r="E7" s="921" t="s">
        <v>1544</v>
      </c>
      <c r="F7" s="921" t="s">
        <v>1545</v>
      </c>
      <c r="G7" s="921" t="s">
        <v>1546</v>
      </c>
      <c r="H7" s="921" t="s">
        <v>1547</v>
      </c>
      <c r="I7" s="921" t="s">
        <v>1548</v>
      </c>
      <c r="J7" s="921" t="s">
        <v>1549</v>
      </c>
      <c r="K7" s="921" t="s">
        <v>1550</v>
      </c>
      <c r="L7" s="921" t="s">
        <v>1551</v>
      </c>
      <c r="M7" s="921" t="s">
        <v>1552</v>
      </c>
      <c r="N7" s="921" t="s">
        <v>1553</v>
      </c>
      <c r="O7" s="921" t="s">
        <v>1554</v>
      </c>
      <c r="P7" s="921" t="s">
        <v>1555</v>
      </c>
      <c r="Q7" s="921" t="s">
        <v>1556</v>
      </c>
      <c r="R7" s="921" t="s">
        <v>1557</v>
      </c>
      <c r="S7" s="921" t="s">
        <v>1558</v>
      </c>
      <c r="T7" s="921" t="s">
        <v>1559</v>
      </c>
      <c r="U7" s="921" t="s">
        <v>1560</v>
      </c>
      <c r="V7" s="921" t="s">
        <v>1561</v>
      </c>
      <c r="W7" s="921" t="s">
        <v>1562</v>
      </c>
      <c r="X7" s="921" t="s">
        <v>1563</v>
      </c>
      <c r="Y7" s="921" t="s">
        <v>1564</v>
      </c>
      <c r="Z7" s="921" t="s">
        <v>1565</v>
      </c>
      <c r="AA7" s="921" t="s">
        <v>1566</v>
      </c>
      <c r="AB7" s="921" t="s">
        <v>1567</v>
      </c>
      <c r="AC7" s="921" t="s">
        <v>1568</v>
      </c>
      <c r="AD7" s="921" t="s">
        <v>1569</v>
      </c>
      <c r="AE7" s="921" t="s">
        <v>1570</v>
      </c>
      <c r="AF7" s="921" t="s">
        <v>1571</v>
      </c>
      <c r="AG7" s="921" t="s">
        <v>1572</v>
      </c>
      <c r="AH7" s="921" t="s">
        <v>1573</v>
      </c>
      <c r="AI7" s="921" t="s">
        <v>1574</v>
      </c>
      <c r="AJ7" s="921" t="s">
        <v>1575</v>
      </c>
      <c r="AK7" s="921" t="s">
        <v>1576</v>
      </c>
      <c r="AL7" s="921" t="s">
        <v>1577</v>
      </c>
      <c r="AM7" s="921" t="s">
        <v>1578</v>
      </c>
      <c r="AN7" s="921" t="s">
        <v>1579</v>
      </c>
      <c r="AO7" s="921" t="s">
        <v>1580</v>
      </c>
      <c r="AP7" s="921" t="s">
        <v>1581</v>
      </c>
      <c r="AQ7" s="921" t="s">
        <v>1582</v>
      </c>
      <c r="AR7" s="921" t="s">
        <v>1583</v>
      </c>
      <c r="AS7" s="921" t="s">
        <v>1584</v>
      </c>
      <c r="AT7" s="921" t="s">
        <v>1585</v>
      </c>
      <c r="AU7" s="921" t="s">
        <v>1586</v>
      </c>
      <c r="AV7" s="921" t="s">
        <v>1587</v>
      </c>
      <c r="AW7" s="921" t="s">
        <v>1588</v>
      </c>
      <c r="AX7" s="921" t="s">
        <v>1589</v>
      </c>
      <c r="AY7" s="921" t="s">
        <v>1590</v>
      </c>
      <c r="AZ7" s="921" t="s">
        <v>1591</v>
      </c>
      <c r="BA7" s="921" t="s">
        <v>1592</v>
      </c>
      <c r="BB7" s="921" t="s">
        <v>1593</v>
      </c>
      <c r="BC7" s="921" t="s">
        <v>1594</v>
      </c>
      <c r="BD7" s="921" t="s">
        <v>1595</v>
      </c>
      <c r="BE7" s="921" t="s">
        <v>1596</v>
      </c>
      <c r="BF7" s="921" t="s">
        <v>1597</v>
      </c>
      <c r="BG7" s="921" t="s">
        <v>1598</v>
      </c>
      <c r="BH7" s="921" t="s">
        <v>1599</v>
      </c>
      <c r="BI7" s="921" t="s">
        <v>1600</v>
      </c>
      <c r="BJ7" s="921" t="s">
        <v>1601</v>
      </c>
      <c r="BK7" s="921" t="s">
        <v>1602</v>
      </c>
      <c r="BL7" s="921" t="s">
        <v>1603</v>
      </c>
      <c r="BM7" s="921" t="s">
        <v>1604</v>
      </c>
      <c r="BN7" s="921" t="s">
        <v>1605</v>
      </c>
      <c r="BO7" s="921" t="s">
        <v>1606</v>
      </c>
      <c r="BP7" s="921" t="s">
        <v>1607</v>
      </c>
      <c r="BQ7" s="921" t="s">
        <v>1608</v>
      </c>
      <c r="BR7" s="921" t="s">
        <v>1609</v>
      </c>
      <c r="BS7" s="921" t="s">
        <v>1610</v>
      </c>
      <c r="BT7" s="921" t="s">
        <v>1611</v>
      </c>
      <c r="BU7" s="921" t="s">
        <v>1612</v>
      </c>
      <c r="BV7" s="921" t="s">
        <v>1613</v>
      </c>
      <c r="BW7" s="921" t="s">
        <v>1614</v>
      </c>
      <c r="BX7" s="921" t="s">
        <v>1615</v>
      </c>
      <c r="BY7" s="921" t="s">
        <v>1616</v>
      </c>
      <c r="BZ7" s="921" t="s">
        <v>1617</v>
      </c>
      <c r="CA7" s="921" t="s">
        <v>1618</v>
      </c>
      <c r="CB7" s="921" t="s">
        <v>1619</v>
      </c>
      <c r="CC7" s="921" t="s">
        <v>1620</v>
      </c>
      <c r="CD7" s="921" t="s">
        <v>1621</v>
      </c>
      <c r="CE7" s="921" t="s">
        <v>1622</v>
      </c>
      <c r="CF7" s="921" t="s">
        <v>1623</v>
      </c>
      <c r="CG7" s="921" t="s">
        <v>1624</v>
      </c>
      <c r="CH7" s="921" t="s">
        <v>1625</v>
      </c>
      <c r="CI7" s="921" t="s">
        <v>1626</v>
      </c>
      <c r="CJ7" s="921" t="s">
        <v>1627</v>
      </c>
      <c r="CK7" s="921" t="s">
        <v>1628</v>
      </c>
      <c r="CL7" s="921" t="s">
        <v>1629</v>
      </c>
      <c r="CM7" s="921" t="s">
        <v>1630</v>
      </c>
      <c r="CN7" s="921" t="s">
        <v>1631</v>
      </c>
      <c r="CO7" s="921" t="s">
        <v>1632</v>
      </c>
      <c r="CP7" s="921" t="s">
        <v>1633</v>
      </c>
      <c r="CQ7" s="921" t="s">
        <v>1634</v>
      </c>
      <c r="CR7" s="921" t="s">
        <v>1635</v>
      </c>
      <c r="CS7" s="921" t="s">
        <v>1636</v>
      </c>
      <c r="CT7" s="921" t="s">
        <v>1637</v>
      </c>
      <c r="CU7" s="921" t="s">
        <v>1638</v>
      </c>
      <c r="CV7" s="921" t="s">
        <v>1639</v>
      </c>
      <c r="CW7" s="921" t="s">
        <v>1640</v>
      </c>
      <c r="CX7" s="921" t="s">
        <v>1641</v>
      </c>
      <c r="CY7" s="921" t="s">
        <v>1642</v>
      </c>
      <c r="CZ7" s="921" t="s">
        <v>1643</v>
      </c>
      <c r="DA7" s="921" t="s">
        <v>1644</v>
      </c>
      <c r="DB7" s="921" t="s">
        <v>1645</v>
      </c>
      <c r="DC7" s="921" t="s">
        <v>1646</v>
      </c>
      <c r="DD7" s="921" t="s">
        <v>1647</v>
      </c>
      <c r="DE7" s="921" t="s">
        <v>1648</v>
      </c>
      <c r="DF7" s="921" t="s">
        <v>1649</v>
      </c>
      <c r="DG7" s="921" t="s">
        <v>1650</v>
      </c>
      <c r="DH7" s="921" t="s">
        <v>1651</v>
      </c>
      <c r="DI7" s="921" t="s">
        <v>1652</v>
      </c>
      <c r="DJ7" s="921" t="s">
        <v>1653</v>
      </c>
      <c r="DK7" s="921" t="s">
        <v>1654</v>
      </c>
      <c r="DL7" s="921" t="s">
        <v>1655</v>
      </c>
      <c r="DM7" s="921" t="s">
        <v>1656</v>
      </c>
      <c r="DN7" s="921" t="s">
        <v>1657</v>
      </c>
      <c r="DO7" s="921" t="s">
        <v>1658</v>
      </c>
      <c r="DP7" s="921" t="s">
        <v>1659</v>
      </c>
      <c r="DQ7" s="921" t="s">
        <v>1660</v>
      </c>
      <c r="DR7" s="921" t="s">
        <v>1661</v>
      </c>
      <c r="DS7" s="921" t="s">
        <v>1662</v>
      </c>
    </row>
    <row r="8" spans="1:123" x14ac:dyDescent="0.2">
      <c r="A8" s="922" t="s">
        <v>115</v>
      </c>
      <c r="B8" s="923">
        <v>145067</v>
      </c>
      <c r="C8" s="923">
        <v>146346</v>
      </c>
      <c r="D8" s="923">
        <v>155462</v>
      </c>
      <c r="E8" s="923">
        <v>159748</v>
      </c>
      <c r="F8" s="923">
        <v>160593</v>
      </c>
      <c r="G8" s="923">
        <v>158683</v>
      </c>
      <c r="H8" s="923">
        <v>156469</v>
      </c>
      <c r="I8" s="923">
        <v>144793</v>
      </c>
      <c r="J8" s="923">
        <v>132141</v>
      </c>
      <c r="K8" s="923">
        <v>123906</v>
      </c>
      <c r="L8" s="923">
        <v>127771</v>
      </c>
      <c r="M8" s="923">
        <v>135046</v>
      </c>
      <c r="N8" s="923">
        <v>136437</v>
      </c>
      <c r="O8" s="923">
        <v>139545</v>
      </c>
      <c r="P8" s="923">
        <v>145483</v>
      </c>
      <c r="Q8" s="923">
        <v>153317</v>
      </c>
      <c r="R8" s="923">
        <v>151338</v>
      </c>
      <c r="S8" s="923">
        <v>151387</v>
      </c>
      <c r="T8" s="923">
        <v>143864</v>
      </c>
      <c r="U8" s="923">
        <v>140609</v>
      </c>
      <c r="V8" s="923">
        <v>137936</v>
      </c>
      <c r="W8" s="923">
        <v>132956</v>
      </c>
      <c r="X8" s="923">
        <v>116779</v>
      </c>
      <c r="Y8" s="923">
        <v>113723</v>
      </c>
      <c r="Z8" s="923">
        <v>106978</v>
      </c>
      <c r="AA8" s="923">
        <v>105767</v>
      </c>
      <c r="AB8" s="923">
        <v>102697</v>
      </c>
      <c r="AC8" s="923">
        <v>95137</v>
      </c>
      <c r="AD8" s="923">
        <v>95175</v>
      </c>
      <c r="AE8" s="923">
        <v>91531</v>
      </c>
      <c r="AF8" s="923">
        <v>81920</v>
      </c>
      <c r="AG8" s="923">
        <v>85201</v>
      </c>
      <c r="AH8" s="923">
        <v>77847</v>
      </c>
      <c r="AI8" s="923">
        <v>70185</v>
      </c>
      <c r="AJ8" s="923">
        <v>73434</v>
      </c>
      <c r="AK8" s="923">
        <v>75383</v>
      </c>
      <c r="AL8" s="923">
        <v>73193</v>
      </c>
      <c r="AM8" s="923">
        <v>69543</v>
      </c>
      <c r="AN8" s="923">
        <v>68867</v>
      </c>
      <c r="AO8" s="923">
        <v>72418</v>
      </c>
      <c r="AP8" s="923">
        <v>62751</v>
      </c>
      <c r="AQ8" s="923">
        <v>72877</v>
      </c>
      <c r="AR8" s="923">
        <v>67525</v>
      </c>
      <c r="AS8" s="923">
        <v>68110</v>
      </c>
      <c r="AT8" s="923">
        <v>56073</v>
      </c>
      <c r="AU8" s="923">
        <v>59326</v>
      </c>
      <c r="AV8" s="923">
        <v>62245</v>
      </c>
      <c r="AW8" s="923">
        <v>62322</v>
      </c>
      <c r="AX8" s="923">
        <v>63905</v>
      </c>
      <c r="AY8" s="923">
        <v>60809</v>
      </c>
      <c r="AZ8" s="923">
        <v>54711</v>
      </c>
      <c r="BA8" s="923">
        <v>66742</v>
      </c>
      <c r="BB8" s="923">
        <v>56662</v>
      </c>
      <c r="BC8" s="923">
        <v>60465</v>
      </c>
      <c r="BD8" s="923">
        <v>52226</v>
      </c>
      <c r="BE8" s="923">
        <v>50999</v>
      </c>
      <c r="BF8" s="923">
        <v>47302</v>
      </c>
      <c r="BG8" s="923">
        <v>46789</v>
      </c>
      <c r="BH8" s="923">
        <v>46958</v>
      </c>
      <c r="BI8" s="923">
        <v>50357</v>
      </c>
      <c r="BJ8" s="923">
        <v>38862</v>
      </c>
      <c r="BK8" s="923">
        <v>47425</v>
      </c>
      <c r="BL8" s="923">
        <v>37874</v>
      </c>
      <c r="BM8" s="923">
        <v>38773</v>
      </c>
      <c r="BN8" s="923">
        <v>33696</v>
      </c>
      <c r="BO8" s="923">
        <v>31612</v>
      </c>
      <c r="BP8" s="923">
        <v>29621</v>
      </c>
      <c r="BQ8" s="923">
        <v>25070</v>
      </c>
      <c r="BR8" s="923">
        <v>25729</v>
      </c>
      <c r="BS8" s="923">
        <v>28438</v>
      </c>
      <c r="BT8" s="923">
        <v>24944</v>
      </c>
      <c r="BU8" s="923">
        <v>41776</v>
      </c>
      <c r="BV8" s="923">
        <v>21327</v>
      </c>
      <c r="BW8" s="923">
        <v>20573</v>
      </c>
      <c r="BX8" s="923">
        <v>17329</v>
      </c>
      <c r="BY8" s="923">
        <v>19577</v>
      </c>
      <c r="BZ8" s="923">
        <v>16890</v>
      </c>
      <c r="CA8" s="923">
        <v>14649</v>
      </c>
      <c r="CB8" s="923">
        <v>15167</v>
      </c>
      <c r="CC8" s="923">
        <v>14952</v>
      </c>
      <c r="CD8" s="923">
        <v>11673</v>
      </c>
      <c r="CE8" s="923">
        <v>17008</v>
      </c>
      <c r="CF8" s="923">
        <v>9443</v>
      </c>
      <c r="CG8" s="923">
        <v>8661</v>
      </c>
      <c r="CH8" s="923">
        <v>6942</v>
      </c>
      <c r="CI8" s="923">
        <v>6239</v>
      </c>
      <c r="CJ8" s="923">
        <v>5523</v>
      </c>
      <c r="CK8" s="923">
        <v>4640</v>
      </c>
      <c r="CL8" s="923">
        <v>3495</v>
      </c>
      <c r="CM8" s="923">
        <v>3394</v>
      </c>
      <c r="CN8" s="923">
        <v>3383</v>
      </c>
      <c r="CO8" s="923">
        <v>3682</v>
      </c>
      <c r="CP8" s="923">
        <v>1681</v>
      </c>
      <c r="CQ8" s="923">
        <v>2956</v>
      </c>
      <c r="CR8" s="923">
        <v>662</v>
      </c>
      <c r="CS8" s="923">
        <v>634</v>
      </c>
      <c r="CT8" s="923">
        <v>612</v>
      </c>
      <c r="CU8" s="923">
        <v>688</v>
      </c>
      <c r="CV8" s="923">
        <v>398</v>
      </c>
      <c r="CW8" s="923">
        <v>397</v>
      </c>
      <c r="CX8" s="923">
        <v>280</v>
      </c>
      <c r="CY8" s="923">
        <v>438</v>
      </c>
      <c r="CZ8" s="923">
        <v>130</v>
      </c>
      <c r="DA8" s="923">
        <v>130</v>
      </c>
      <c r="DB8" s="923">
        <v>92</v>
      </c>
      <c r="DC8" s="923">
        <v>78</v>
      </c>
      <c r="DD8" s="923">
        <v>94</v>
      </c>
      <c r="DE8" s="923">
        <v>71</v>
      </c>
      <c r="DF8" s="923">
        <v>112</v>
      </c>
      <c r="DG8" s="923">
        <v>88</v>
      </c>
      <c r="DH8" s="923">
        <v>109</v>
      </c>
      <c r="DI8" s="923">
        <v>114</v>
      </c>
      <c r="DJ8" s="923">
        <v>18</v>
      </c>
      <c r="DK8" s="923">
        <v>10</v>
      </c>
      <c r="DL8" s="923">
        <v>9</v>
      </c>
      <c r="DM8" s="923">
        <v>8</v>
      </c>
      <c r="DN8" s="923">
        <v>10</v>
      </c>
      <c r="DO8" s="923">
        <v>12</v>
      </c>
      <c r="DP8" s="923">
        <v>4</v>
      </c>
      <c r="DQ8" s="923">
        <v>18</v>
      </c>
      <c r="DR8" s="923">
        <v>3</v>
      </c>
      <c r="DS8" s="924" t="s">
        <v>1663</v>
      </c>
    </row>
    <row r="9" spans="1:123" x14ac:dyDescent="0.2">
      <c r="A9" s="922" t="s">
        <v>109</v>
      </c>
      <c r="B9" s="923">
        <v>58976</v>
      </c>
      <c r="C9" s="923">
        <v>59113</v>
      </c>
      <c r="D9" s="923">
        <v>59369</v>
      </c>
      <c r="E9" s="923">
        <v>60184</v>
      </c>
      <c r="F9" s="923">
        <v>58254</v>
      </c>
      <c r="G9" s="923">
        <v>56531</v>
      </c>
      <c r="H9" s="923">
        <v>56087</v>
      </c>
      <c r="I9" s="923">
        <v>52620</v>
      </c>
      <c r="J9" s="923">
        <v>49081</v>
      </c>
      <c r="K9" s="923">
        <v>48203</v>
      </c>
      <c r="L9" s="923">
        <v>49095</v>
      </c>
      <c r="M9" s="923">
        <v>49802</v>
      </c>
      <c r="N9" s="923">
        <v>46383</v>
      </c>
      <c r="O9" s="923">
        <v>46379</v>
      </c>
      <c r="P9" s="923">
        <v>48839</v>
      </c>
      <c r="Q9" s="923">
        <v>51346</v>
      </c>
      <c r="R9" s="923">
        <v>51159</v>
      </c>
      <c r="S9" s="923">
        <v>51965</v>
      </c>
      <c r="T9" s="923">
        <v>53258</v>
      </c>
      <c r="U9" s="923">
        <v>55170</v>
      </c>
      <c r="V9" s="923">
        <v>58461</v>
      </c>
      <c r="W9" s="923">
        <v>59929</v>
      </c>
      <c r="X9" s="923">
        <v>58055</v>
      </c>
      <c r="Y9" s="923">
        <v>54655</v>
      </c>
      <c r="Z9" s="923">
        <v>51379</v>
      </c>
      <c r="AA9" s="923">
        <v>51347</v>
      </c>
      <c r="AB9" s="923">
        <v>51478</v>
      </c>
      <c r="AC9" s="923">
        <v>50406</v>
      </c>
      <c r="AD9" s="923">
        <v>49841</v>
      </c>
      <c r="AE9" s="923">
        <v>48596</v>
      </c>
      <c r="AF9" s="923">
        <v>44383</v>
      </c>
      <c r="AG9" s="923">
        <v>45058</v>
      </c>
      <c r="AH9" s="923">
        <v>40916</v>
      </c>
      <c r="AI9" s="923">
        <v>38144</v>
      </c>
      <c r="AJ9" s="923">
        <v>37240</v>
      </c>
      <c r="AK9" s="923">
        <v>36689</v>
      </c>
      <c r="AL9" s="923">
        <v>36858</v>
      </c>
      <c r="AM9" s="923">
        <v>34743</v>
      </c>
      <c r="AN9" s="923">
        <v>35148</v>
      </c>
      <c r="AO9" s="923">
        <v>35541</v>
      </c>
      <c r="AP9" s="923">
        <v>32375</v>
      </c>
      <c r="AQ9" s="923">
        <v>34750</v>
      </c>
      <c r="AR9" s="923">
        <v>32943</v>
      </c>
      <c r="AS9" s="923">
        <v>32633</v>
      </c>
      <c r="AT9" s="923">
        <v>28677</v>
      </c>
      <c r="AU9" s="923">
        <v>28964</v>
      </c>
      <c r="AV9" s="923">
        <v>29290</v>
      </c>
      <c r="AW9" s="923">
        <v>30298</v>
      </c>
      <c r="AX9" s="923">
        <v>29902</v>
      </c>
      <c r="AY9" s="923">
        <v>28536</v>
      </c>
      <c r="AZ9" s="923">
        <v>24624</v>
      </c>
      <c r="BA9" s="923">
        <v>27576</v>
      </c>
      <c r="BB9" s="923">
        <v>24884</v>
      </c>
      <c r="BC9" s="923">
        <v>25289</v>
      </c>
      <c r="BD9" s="923">
        <v>22957</v>
      </c>
      <c r="BE9" s="923">
        <v>21837</v>
      </c>
      <c r="BF9" s="923">
        <v>21207</v>
      </c>
      <c r="BG9" s="923">
        <v>20020</v>
      </c>
      <c r="BH9" s="923">
        <v>19614</v>
      </c>
      <c r="BI9" s="923">
        <v>19744</v>
      </c>
      <c r="BJ9" s="923">
        <v>16426</v>
      </c>
      <c r="BK9" s="923">
        <v>17542</v>
      </c>
      <c r="BL9" s="923">
        <v>15158</v>
      </c>
      <c r="BM9" s="923">
        <v>15094</v>
      </c>
      <c r="BN9" s="923">
        <v>13813</v>
      </c>
      <c r="BO9" s="923">
        <v>12193</v>
      </c>
      <c r="BP9" s="923">
        <v>11206</v>
      </c>
      <c r="BQ9" s="923">
        <v>10815</v>
      </c>
      <c r="BR9" s="923">
        <v>9594</v>
      </c>
      <c r="BS9" s="923">
        <v>10294</v>
      </c>
      <c r="BT9" s="923">
        <v>8406</v>
      </c>
      <c r="BU9" s="923">
        <v>9666</v>
      </c>
      <c r="BV9" s="923">
        <v>7930</v>
      </c>
      <c r="BW9" s="923">
        <v>7401</v>
      </c>
      <c r="BX9" s="923">
        <v>6680</v>
      </c>
      <c r="BY9" s="923">
        <v>6172</v>
      </c>
      <c r="BZ9" s="923">
        <v>5255</v>
      </c>
      <c r="CA9" s="923">
        <v>5218</v>
      </c>
      <c r="CB9" s="923">
        <v>6808</v>
      </c>
      <c r="CC9" s="923">
        <v>4005</v>
      </c>
      <c r="CD9" s="923">
        <v>3508</v>
      </c>
      <c r="CE9" s="923">
        <v>3997</v>
      </c>
      <c r="CF9" s="923">
        <v>3141</v>
      </c>
      <c r="CG9" s="923">
        <v>2799</v>
      </c>
      <c r="CH9" s="923">
        <v>2310</v>
      </c>
      <c r="CI9" s="923">
        <v>1993</v>
      </c>
      <c r="CJ9" s="923">
        <v>1777</v>
      </c>
      <c r="CK9" s="923">
        <v>1552</v>
      </c>
      <c r="CL9" s="923">
        <v>1033</v>
      </c>
      <c r="CM9" s="923">
        <v>1048</v>
      </c>
      <c r="CN9" s="923">
        <v>904</v>
      </c>
      <c r="CO9" s="923">
        <v>1042</v>
      </c>
      <c r="CP9" s="923">
        <v>717</v>
      </c>
      <c r="CQ9" s="923">
        <v>955</v>
      </c>
      <c r="CR9" s="923">
        <v>302</v>
      </c>
      <c r="CS9" s="923">
        <v>248</v>
      </c>
      <c r="CT9" s="923">
        <v>295</v>
      </c>
      <c r="CU9" s="923">
        <v>378</v>
      </c>
      <c r="CV9" s="923">
        <v>129</v>
      </c>
      <c r="CW9" s="923">
        <v>152</v>
      </c>
      <c r="CX9" s="923">
        <v>113</v>
      </c>
      <c r="CY9" s="923">
        <v>130</v>
      </c>
      <c r="CZ9" s="923">
        <v>73</v>
      </c>
      <c r="DA9" s="923">
        <v>54</v>
      </c>
      <c r="DB9" s="923">
        <v>49</v>
      </c>
      <c r="DC9" s="923">
        <v>53</v>
      </c>
      <c r="DD9" s="923">
        <v>44</v>
      </c>
      <c r="DE9" s="923">
        <v>53</v>
      </c>
      <c r="DF9" s="923">
        <v>49</v>
      </c>
      <c r="DG9" s="923">
        <v>69</v>
      </c>
      <c r="DH9" s="923">
        <v>52</v>
      </c>
      <c r="DI9" s="923">
        <v>64</v>
      </c>
      <c r="DJ9" s="923">
        <v>2</v>
      </c>
      <c r="DK9" s="923">
        <v>9</v>
      </c>
      <c r="DL9" s="923">
        <v>2</v>
      </c>
      <c r="DM9" s="923">
        <v>7</v>
      </c>
      <c r="DN9" s="923">
        <v>2</v>
      </c>
      <c r="DO9" s="924" t="s">
        <v>1663</v>
      </c>
      <c r="DP9" s="923">
        <v>1</v>
      </c>
      <c r="DQ9" s="923">
        <v>2</v>
      </c>
      <c r="DR9" s="923">
        <v>3</v>
      </c>
      <c r="DS9" s="924" t="s">
        <v>1663</v>
      </c>
    </row>
    <row r="10" spans="1:123" x14ac:dyDescent="0.2">
      <c r="A10" s="922" t="s">
        <v>103</v>
      </c>
      <c r="B10" s="923">
        <v>255863</v>
      </c>
      <c r="C10" s="923">
        <v>245540</v>
      </c>
      <c r="D10" s="923">
        <v>241270</v>
      </c>
      <c r="E10" s="923">
        <v>231135</v>
      </c>
      <c r="F10" s="923">
        <v>217611</v>
      </c>
      <c r="G10" s="923">
        <v>203198</v>
      </c>
      <c r="H10" s="923">
        <v>191937</v>
      </c>
      <c r="I10" s="923">
        <v>178570</v>
      </c>
      <c r="J10" s="923">
        <v>168285</v>
      </c>
      <c r="K10" s="923">
        <v>163512</v>
      </c>
      <c r="L10" s="923">
        <v>168115</v>
      </c>
      <c r="M10" s="923">
        <v>168628</v>
      </c>
      <c r="N10" s="923">
        <v>156883</v>
      </c>
      <c r="O10" s="923">
        <v>156540</v>
      </c>
      <c r="P10" s="923">
        <v>161846</v>
      </c>
      <c r="Q10" s="923">
        <v>167629</v>
      </c>
      <c r="R10" s="923">
        <v>169408</v>
      </c>
      <c r="S10" s="923">
        <v>177242</v>
      </c>
      <c r="T10" s="923">
        <v>191186</v>
      </c>
      <c r="U10" s="923">
        <v>219123</v>
      </c>
      <c r="V10" s="923">
        <v>256815</v>
      </c>
      <c r="W10" s="923">
        <v>280609</v>
      </c>
      <c r="X10" s="923">
        <v>273050</v>
      </c>
      <c r="Y10" s="923">
        <v>280543</v>
      </c>
      <c r="Z10" s="923">
        <v>283607</v>
      </c>
      <c r="AA10" s="923">
        <v>296976</v>
      </c>
      <c r="AB10" s="923">
        <v>303976</v>
      </c>
      <c r="AC10" s="923">
        <v>295247</v>
      </c>
      <c r="AD10" s="923">
        <v>295638</v>
      </c>
      <c r="AE10" s="923">
        <v>289009</v>
      </c>
      <c r="AF10" s="923">
        <v>267832</v>
      </c>
      <c r="AG10" s="923">
        <v>265500</v>
      </c>
      <c r="AH10" s="923">
        <v>244490</v>
      </c>
      <c r="AI10" s="923">
        <v>223597</v>
      </c>
      <c r="AJ10" s="923">
        <v>223353</v>
      </c>
      <c r="AK10" s="923">
        <v>218313</v>
      </c>
      <c r="AL10" s="923">
        <v>211775</v>
      </c>
      <c r="AM10" s="923">
        <v>197965</v>
      </c>
      <c r="AN10" s="923">
        <v>193597</v>
      </c>
      <c r="AO10" s="923">
        <v>190371</v>
      </c>
      <c r="AP10" s="923">
        <v>173092</v>
      </c>
      <c r="AQ10" s="923">
        <v>178171</v>
      </c>
      <c r="AR10" s="923">
        <v>169005</v>
      </c>
      <c r="AS10" s="923">
        <v>163063</v>
      </c>
      <c r="AT10" s="923">
        <v>136523</v>
      </c>
      <c r="AU10" s="923">
        <v>140810</v>
      </c>
      <c r="AV10" s="923">
        <v>138544</v>
      </c>
      <c r="AW10" s="923">
        <v>139165</v>
      </c>
      <c r="AX10" s="923">
        <v>136008</v>
      </c>
      <c r="AY10" s="923">
        <v>128566</v>
      </c>
      <c r="AZ10" s="923">
        <v>117806</v>
      </c>
      <c r="BA10" s="923">
        <v>121413</v>
      </c>
      <c r="BB10" s="923">
        <v>111583</v>
      </c>
      <c r="BC10" s="923">
        <v>111370</v>
      </c>
      <c r="BD10" s="923">
        <v>100680</v>
      </c>
      <c r="BE10" s="923">
        <v>95593</v>
      </c>
      <c r="BF10" s="923">
        <v>91496</v>
      </c>
      <c r="BG10" s="923">
        <v>86004</v>
      </c>
      <c r="BH10" s="923">
        <v>84223</v>
      </c>
      <c r="BI10" s="923">
        <v>81085</v>
      </c>
      <c r="BJ10" s="923">
        <v>67714</v>
      </c>
      <c r="BK10" s="923">
        <v>67967</v>
      </c>
      <c r="BL10" s="923">
        <v>60501</v>
      </c>
      <c r="BM10" s="923">
        <v>59594</v>
      </c>
      <c r="BN10" s="923">
        <v>53898</v>
      </c>
      <c r="BO10" s="923">
        <v>47897</v>
      </c>
      <c r="BP10" s="923">
        <v>41338</v>
      </c>
      <c r="BQ10" s="923">
        <v>39412</v>
      </c>
      <c r="BR10" s="923">
        <v>36774</v>
      </c>
      <c r="BS10" s="923">
        <v>36207</v>
      </c>
      <c r="BT10" s="923">
        <v>31473</v>
      </c>
      <c r="BU10" s="923">
        <v>32565</v>
      </c>
      <c r="BV10" s="923">
        <v>29072</v>
      </c>
      <c r="BW10" s="923">
        <v>26158</v>
      </c>
      <c r="BX10" s="923">
        <v>23641</v>
      </c>
      <c r="BY10" s="923">
        <v>22662</v>
      </c>
      <c r="BZ10" s="923">
        <v>19004</v>
      </c>
      <c r="CA10" s="923">
        <v>16742</v>
      </c>
      <c r="CB10" s="923">
        <v>16157</v>
      </c>
      <c r="CC10" s="923">
        <v>14791</v>
      </c>
      <c r="CD10" s="923">
        <v>13051</v>
      </c>
      <c r="CE10" s="923">
        <v>13205</v>
      </c>
      <c r="CF10" s="923">
        <v>11178</v>
      </c>
      <c r="CG10" s="923">
        <v>9686</v>
      </c>
      <c r="CH10" s="923">
        <v>8340</v>
      </c>
      <c r="CI10" s="923">
        <v>7192</v>
      </c>
      <c r="CJ10" s="923">
        <v>6262</v>
      </c>
      <c r="CK10" s="923">
        <v>5324</v>
      </c>
      <c r="CL10" s="923">
        <v>4261</v>
      </c>
      <c r="CM10" s="923">
        <v>3676</v>
      </c>
      <c r="CN10" s="923">
        <v>3178</v>
      </c>
      <c r="CO10" s="923">
        <v>2913</v>
      </c>
      <c r="CP10" s="923">
        <v>1985</v>
      </c>
      <c r="CQ10" s="923">
        <v>2051</v>
      </c>
      <c r="CR10" s="923">
        <v>879</v>
      </c>
      <c r="CS10" s="923">
        <v>766</v>
      </c>
      <c r="CT10" s="923">
        <v>636</v>
      </c>
      <c r="CU10" s="923">
        <v>673</v>
      </c>
      <c r="CV10" s="923">
        <v>459</v>
      </c>
      <c r="CW10" s="923">
        <v>402</v>
      </c>
      <c r="CX10" s="923">
        <v>282</v>
      </c>
      <c r="CY10" s="923">
        <v>272</v>
      </c>
      <c r="CZ10" s="923">
        <v>227</v>
      </c>
      <c r="DA10" s="923">
        <v>186</v>
      </c>
      <c r="DB10" s="923">
        <v>206</v>
      </c>
      <c r="DC10" s="923">
        <v>168</v>
      </c>
      <c r="DD10" s="923">
        <v>180</v>
      </c>
      <c r="DE10" s="923">
        <v>170</v>
      </c>
      <c r="DF10" s="923">
        <v>161</v>
      </c>
      <c r="DG10" s="923">
        <v>191</v>
      </c>
      <c r="DH10" s="923">
        <v>227</v>
      </c>
      <c r="DI10" s="923">
        <v>238</v>
      </c>
      <c r="DJ10" s="923">
        <v>15</v>
      </c>
      <c r="DK10" s="923">
        <v>12</v>
      </c>
      <c r="DL10" s="923">
        <v>10</v>
      </c>
      <c r="DM10" s="923">
        <v>17</v>
      </c>
      <c r="DN10" s="923">
        <v>6</v>
      </c>
      <c r="DO10" s="923">
        <v>8</v>
      </c>
      <c r="DP10" s="923">
        <v>7</v>
      </c>
      <c r="DQ10" s="923">
        <v>11</v>
      </c>
      <c r="DR10" s="923">
        <v>5</v>
      </c>
      <c r="DS10" s="924" t="s">
        <v>1663</v>
      </c>
    </row>
    <row r="11" spans="1:123" x14ac:dyDescent="0.2">
      <c r="A11" s="922" t="s">
        <v>91</v>
      </c>
      <c r="B11" s="923">
        <v>237444</v>
      </c>
      <c r="C11" s="923">
        <v>237346</v>
      </c>
      <c r="D11" s="923">
        <v>242731</v>
      </c>
      <c r="E11" s="923">
        <v>242335</v>
      </c>
      <c r="F11" s="923">
        <v>238278</v>
      </c>
      <c r="G11" s="923">
        <v>225549</v>
      </c>
      <c r="H11" s="923">
        <v>225627</v>
      </c>
      <c r="I11" s="923">
        <v>205009</v>
      </c>
      <c r="J11" s="923">
        <v>193221</v>
      </c>
      <c r="K11" s="923">
        <v>193122</v>
      </c>
      <c r="L11" s="923">
        <v>204290</v>
      </c>
      <c r="M11" s="923">
        <v>211441</v>
      </c>
      <c r="N11" s="923">
        <v>204349</v>
      </c>
      <c r="O11" s="923">
        <v>206326</v>
      </c>
      <c r="P11" s="923">
        <v>212450</v>
      </c>
      <c r="Q11" s="923">
        <v>227005</v>
      </c>
      <c r="R11" s="923">
        <v>223250</v>
      </c>
      <c r="S11" s="923">
        <v>226954</v>
      </c>
      <c r="T11" s="923">
        <v>219854</v>
      </c>
      <c r="U11" s="923">
        <v>222472</v>
      </c>
      <c r="V11" s="923">
        <v>232767</v>
      </c>
      <c r="W11" s="923">
        <v>233872</v>
      </c>
      <c r="X11" s="923">
        <v>213234</v>
      </c>
      <c r="Y11" s="923">
        <v>214085</v>
      </c>
      <c r="Z11" s="923">
        <v>208431</v>
      </c>
      <c r="AA11" s="923">
        <v>208646</v>
      </c>
      <c r="AB11" s="923">
        <v>209079</v>
      </c>
      <c r="AC11" s="923">
        <v>191976</v>
      </c>
      <c r="AD11" s="923">
        <v>189537</v>
      </c>
      <c r="AE11" s="923">
        <v>181690</v>
      </c>
      <c r="AF11" s="923">
        <v>158636</v>
      </c>
      <c r="AG11" s="923">
        <v>157653</v>
      </c>
      <c r="AH11" s="923">
        <v>150379</v>
      </c>
      <c r="AI11" s="923">
        <v>129280</v>
      </c>
      <c r="AJ11" s="923">
        <v>133283</v>
      </c>
      <c r="AK11" s="923">
        <v>132812</v>
      </c>
      <c r="AL11" s="923">
        <v>129118</v>
      </c>
      <c r="AM11" s="923">
        <v>118625</v>
      </c>
      <c r="AN11" s="923">
        <v>116022</v>
      </c>
      <c r="AO11" s="923">
        <v>116039</v>
      </c>
      <c r="AP11" s="923">
        <v>103399</v>
      </c>
      <c r="AQ11" s="923">
        <v>107668</v>
      </c>
      <c r="AR11" s="923">
        <v>105725</v>
      </c>
      <c r="AS11" s="923">
        <v>98231</v>
      </c>
      <c r="AT11" s="923">
        <v>84078</v>
      </c>
      <c r="AU11" s="923">
        <v>90823</v>
      </c>
      <c r="AV11" s="923">
        <v>91420</v>
      </c>
      <c r="AW11" s="923">
        <v>92715</v>
      </c>
      <c r="AX11" s="923">
        <v>91995</v>
      </c>
      <c r="AY11" s="923">
        <v>87685</v>
      </c>
      <c r="AZ11" s="923">
        <v>79161</v>
      </c>
      <c r="BA11" s="923">
        <v>82388</v>
      </c>
      <c r="BB11" s="923">
        <v>78462</v>
      </c>
      <c r="BC11" s="923">
        <v>76749</v>
      </c>
      <c r="BD11" s="923">
        <v>67637</v>
      </c>
      <c r="BE11" s="923">
        <v>68214</v>
      </c>
      <c r="BF11" s="923">
        <v>66198</v>
      </c>
      <c r="BG11" s="923">
        <v>63648</v>
      </c>
      <c r="BH11" s="923">
        <v>63273</v>
      </c>
      <c r="BI11" s="923">
        <v>64238</v>
      </c>
      <c r="BJ11" s="923">
        <v>56947</v>
      </c>
      <c r="BK11" s="923">
        <v>60400</v>
      </c>
      <c r="BL11" s="923">
        <v>58062</v>
      </c>
      <c r="BM11" s="923">
        <v>50363</v>
      </c>
      <c r="BN11" s="923">
        <v>45554</v>
      </c>
      <c r="BO11" s="923">
        <v>40544</v>
      </c>
      <c r="BP11" s="923">
        <v>34215</v>
      </c>
      <c r="BQ11" s="923">
        <v>32914</v>
      </c>
      <c r="BR11" s="923">
        <v>32848</v>
      </c>
      <c r="BS11" s="923">
        <v>35151</v>
      </c>
      <c r="BT11" s="923">
        <v>30152</v>
      </c>
      <c r="BU11" s="923">
        <v>33982</v>
      </c>
      <c r="BV11" s="923">
        <v>28340</v>
      </c>
      <c r="BW11" s="923">
        <v>24276</v>
      </c>
      <c r="BX11" s="923">
        <v>21071</v>
      </c>
      <c r="BY11" s="923">
        <v>21534</v>
      </c>
      <c r="BZ11" s="923">
        <v>17459</v>
      </c>
      <c r="CA11" s="923">
        <v>16434</v>
      </c>
      <c r="CB11" s="923">
        <v>16111</v>
      </c>
      <c r="CC11" s="923">
        <v>14839</v>
      </c>
      <c r="CD11" s="923">
        <v>13306</v>
      </c>
      <c r="CE11" s="923">
        <v>17477</v>
      </c>
      <c r="CF11" s="923">
        <v>12729</v>
      </c>
      <c r="CG11" s="923">
        <v>10140</v>
      </c>
      <c r="CH11" s="923">
        <v>8474</v>
      </c>
      <c r="CI11" s="923">
        <v>7719</v>
      </c>
      <c r="CJ11" s="923">
        <v>6562</v>
      </c>
      <c r="CK11" s="923">
        <v>5519</v>
      </c>
      <c r="CL11" s="923">
        <v>3738</v>
      </c>
      <c r="CM11" s="923">
        <v>3645</v>
      </c>
      <c r="CN11" s="923">
        <v>3387</v>
      </c>
      <c r="CO11" s="923">
        <v>3860</v>
      </c>
      <c r="CP11" s="923">
        <v>2070</v>
      </c>
      <c r="CQ11" s="923">
        <v>2388</v>
      </c>
      <c r="CR11" s="923">
        <v>810</v>
      </c>
      <c r="CS11" s="923">
        <v>787</v>
      </c>
      <c r="CT11" s="923">
        <v>654</v>
      </c>
      <c r="CU11" s="923">
        <v>856</v>
      </c>
      <c r="CV11" s="923">
        <v>559</v>
      </c>
      <c r="CW11" s="923">
        <v>456</v>
      </c>
      <c r="CX11" s="923">
        <v>306</v>
      </c>
      <c r="CY11" s="923">
        <v>371</v>
      </c>
      <c r="CZ11" s="923">
        <v>302</v>
      </c>
      <c r="DA11" s="923">
        <v>208</v>
      </c>
      <c r="DB11" s="923">
        <v>186</v>
      </c>
      <c r="DC11" s="923">
        <v>234</v>
      </c>
      <c r="DD11" s="923">
        <v>202</v>
      </c>
      <c r="DE11" s="923">
        <v>201</v>
      </c>
      <c r="DF11" s="923">
        <v>203</v>
      </c>
      <c r="DG11" s="923">
        <v>230</v>
      </c>
      <c r="DH11" s="923">
        <v>205</v>
      </c>
      <c r="DI11" s="923">
        <v>222</v>
      </c>
      <c r="DJ11" s="923">
        <v>21</v>
      </c>
      <c r="DK11" s="923">
        <v>15</v>
      </c>
      <c r="DL11" s="923">
        <v>16</v>
      </c>
      <c r="DM11" s="923">
        <v>26</v>
      </c>
      <c r="DN11" s="923">
        <v>19</v>
      </c>
      <c r="DO11" s="923">
        <v>21</v>
      </c>
      <c r="DP11" s="923">
        <v>11</v>
      </c>
      <c r="DQ11" s="923">
        <v>14</v>
      </c>
      <c r="DR11" s="923">
        <v>30</v>
      </c>
      <c r="DS11" s="924" t="s">
        <v>1663</v>
      </c>
    </row>
    <row r="12" spans="1:123" x14ac:dyDescent="0.2">
      <c r="A12" s="922" t="s">
        <v>85</v>
      </c>
      <c r="B12" s="923">
        <v>141124</v>
      </c>
      <c r="C12" s="923">
        <v>134335</v>
      </c>
      <c r="D12" s="923">
        <v>135357</v>
      </c>
      <c r="E12" s="923">
        <v>135501</v>
      </c>
      <c r="F12" s="923">
        <v>133846</v>
      </c>
      <c r="G12" s="923">
        <v>128869</v>
      </c>
      <c r="H12" s="923">
        <v>127300</v>
      </c>
      <c r="I12" s="923">
        <v>114223</v>
      </c>
      <c r="J12" s="923">
        <v>108056</v>
      </c>
      <c r="K12" s="923">
        <v>105516</v>
      </c>
      <c r="L12" s="923">
        <v>110829</v>
      </c>
      <c r="M12" s="923">
        <v>116278</v>
      </c>
      <c r="N12" s="923">
        <v>111274</v>
      </c>
      <c r="O12" s="923">
        <v>114298</v>
      </c>
      <c r="P12" s="923">
        <v>118206</v>
      </c>
      <c r="Q12" s="923">
        <v>124232</v>
      </c>
      <c r="R12" s="923">
        <v>127117</v>
      </c>
      <c r="S12" s="923">
        <v>130096</v>
      </c>
      <c r="T12" s="923">
        <v>124675</v>
      </c>
      <c r="U12" s="923">
        <v>121214</v>
      </c>
      <c r="V12" s="923">
        <v>121750</v>
      </c>
      <c r="W12" s="923">
        <v>119067</v>
      </c>
      <c r="X12" s="923">
        <v>108462</v>
      </c>
      <c r="Y12" s="923">
        <v>103538</v>
      </c>
      <c r="Z12" s="923">
        <v>94748</v>
      </c>
      <c r="AA12" s="923">
        <v>95607</v>
      </c>
      <c r="AB12" s="923">
        <v>96128</v>
      </c>
      <c r="AC12" s="923">
        <v>87352</v>
      </c>
      <c r="AD12" s="923">
        <v>81610</v>
      </c>
      <c r="AE12" s="923">
        <v>81191</v>
      </c>
      <c r="AF12" s="923">
        <v>71494</v>
      </c>
      <c r="AG12" s="923">
        <v>74512</v>
      </c>
      <c r="AH12" s="923">
        <v>69155</v>
      </c>
      <c r="AI12" s="923">
        <v>63419</v>
      </c>
      <c r="AJ12" s="923">
        <v>65259</v>
      </c>
      <c r="AK12" s="923">
        <v>62072</v>
      </c>
      <c r="AL12" s="923">
        <v>64523</v>
      </c>
      <c r="AM12" s="923">
        <v>58211</v>
      </c>
      <c r="AN12" s="923">
        <v>57321</v>
      </c>
      <c r="AO12" s="923">
        <v>58113</v>
      </c>
      <c r="AP12" s="923">
        <v>47007</v>
      </c>
      <c r="AQ12" s="923">
        <v>57708</v>
      </c>
      <c r="AR12" s="923">
        <v>51437</v>
      </c>
      <c r="AS12" s="923">
        <v>55129</v>
      </c>
      <c r="AT12" s="923">
        <v>44442</v>
      </c>
      <c r="AU12" s="923">
        <v>45068</v>
      </c>
      <c r="AV12" s="923">
        <v>48418</v>
      </c>
      <c r="AW12" s="923">
        <v>47974</v>
      </c>
      <c r="AX12" s="923">
        <v>48814</v>
      </c>
      <c r="AY12" s="923">
        <v>46041</v>
      </c>
      <c r="AZ12" s="923">
        <v>37642</v>
      </c>
      <c r="BA12" s="923">
        <v>43672</v>
      </c>
      <c r="BB12" s="923">
        <v>37148</v>
      </c>
      <c r="BC12" s="923">
        <v>39019</v>
      </c>
      <c r="BD12" s="923">
        <v>33514</v>
      </c>
      <c r="BE12" s="923">
        <v>33541</v>
      </c>
      <c r="BF12" s="923">
        <v>31083</v>
      </c>
      <c r="BG12" s="923">
        <v>30951</v>
      </c>
      <c r="BH12" s="923">
        <v>31107</v>
      </c>
      <c r="BI12" s="923">
        <v>31914</v>
      </c>
      <c r="BJ12" s="923">
        <v>24535</v>
      </c>
      <c r="BK12" s="923">
        <v>30523</v>
      </c>
      <c r="BL12" s="923">
        <v>25197</v>
      </c>
      <c r="BM12" s="923">
        <v>25276</v>
      </c>
      <c r="BN12" s="923">
        <v>23416</v>
      </c>
      <c r="BO12" s="923">
        <v>21364</v>
      </c>
      <c r="BP12" s="923">
        <v>20141</v>
      </c>
      <c r="BQ12" s="923">
        <v>19820</v>
      </c>
      <c r="BR12" s="923">
        <v>19311</v>
      </c>
      <c r="BS12" s="923">
        <v>20387</v>
      </c>
      <c r="BT12" s="923">
        <v>16606</v>
      </c>
      <c r="BU12" s="923">
        <v>23683</v>
      </c>
      <c r="BV12" s="923">
        <v>17721</v>
      </c>
      <c r="BW12" s="923">
        <v>16030</v>
      </c>
      <c r="BX12" s="923">
        <v>13618</v>
      </c>
      <c r="BY12" s="923">
        <v>15912</v>
      </c>
      <c r="BZ12" s="923">
        <v>11976</v>
      </c>
      <c r="CA12" s="923">
        <v>12315</v>
      </c>
      <c r="CB12" s="923">
        <v>9175</v>
      </c>
      <c r="CC12" s="923">
        <v>10615</v>
      </c>
      <c r="CD12" s="923">
        <v>8872</v>
      </c>
      <c r="CE12" s="923">
        <v>15802</v>
      </c>
      <c r="CF12" s="923">
        <v>9999</v>
      </c>
      <c r="CG12" s="923">
        <v>7435</v>
      </c>
      <c r="CH12" s="923">
        <v>5787</v>
      </c>
      <c r="CI12" s="923">
        <v>5648</v>
      </c>
      <c r="CJ12" s="923">
        <v>4628</v>
      </c>
      <c r="CK12" s="923">
        <v>4773</v>
      </c>
      <c r="CL12" s="923">
        <v>2676</v>
      </c>
      <c r="CM12" s="923">
        <v>2801</v>
      </c>
      <c r="CN12" s="923">
        <v>3382</v>
      </c>
      <c r="CO12" s="923">
        <v>5119</v>
      </c>
      <c r="CP12" s="923">
        <v>2653</v>
      </c>
      <c r="CQ12" s="923">
        <v>2549</v>
      </c>
      <c r="CR12" s="923">
        <v>915</v>
      </c>
      <c r="CS12" s="923">
        <v>916</v>
      </c>
      <c r="CT12" s="923">
        <v>780</v>
      </c>
      <c r="CU12" s="923">
        <v>1263</v>
      </c>
      <c r="CV12" s="923">
        <v>554</v>
      </c>
      <c r="CW12" s="923">
        <v>614</v>
      </c>
      <c r="CX12" s="923">
        <v>434</v>
      </c>
      <c r="CY12" s="923">
        <v>631</v>
      </c>
      <c r="CZ12" s="923">
        <v>347</v>
      </c>
      <c r="DA12" s="923">
        <v>157</v>
      </c>
      <c r="DB12" s="923">
        <v>121</v>
      </c>
      <c r="DC12" s="923">
        <v>135</v>
      </c>
      <c r="DD12" s="923">
        <v>95</v>
      </c>
      <c r="DE12" s="923">
        <v>150</v>
      </c>
      <c r="DF12" s="923">
        <v>74</v>
      </c>
      <c r="DG12" s="923">
        <v>119</v>
      </c>
      <c r="DH12" s="923">
        <v>121</v>
      </c>
      <c r="DI12" s="923">
        <v>135</v>
      </c>
      <c r="DJ12" s="923">
        <v>17</v>
      </c>
      <c r="DK12" s="923">
        <v>4</v>
      </c>
      <c r="DL12" s="923">
        <v>4</v>
      </c>
      <c r="DM12" s="923">
        <v>14</v>
      </c>
      <c r="DN12" s="923">
        <v>7</v>
      </c>
      <c r="DO12" s="923">
        <v>2</v>
      </c>
      <c r="DP12" s="923">
        <v>1</v>
      </c>
      <c r="DQ12" s="923">
        <v>3</v>
      </c>
      <c r="DR12" s="923">
        <v>6</v>
      </c>
      <c r="DS12" s="924" t="s">
        <v>1663</v>
      </c>
    </row>
    <row r="13" spans="1:123" x14ac:dyDescent="0.2">
      <c r="A13" s="922" t="s">
        <v>81</v>
      </c>
      <c r="B13" s="923">
        <v>94420</v>
      </c>
      <c r="C13" s="923">
        <v>91426</v>
      </c>
      <c r="D13" s="923">
        <v>94473</v>
      </c>
      <c r="E13" s="923">
        <v>91901</v>
      </c>
      <c r="F13" s="923">
        <v>89339</v>
      </c>
      <c r="G13" s="923">
        <v>86155</v>
      </c>
      <c r="H13" s="923">
        <v>86967</v>
      </c>
      <c r="I13" s="923">
        <v>79547</v>
      </c>
      <c r="J13" s="923">
        <v>75908</v>
      </c>
      <c r="K13" s="923">
        <v>74194</v>
      </c>
      <c r="L13" s="923">
        <v>79544</v>
      </c>
      <c r="M13" s="923">
        <v>81932</v>
      </c>
      <c r="N13" s="923">
        <v>76619</v>
      </c>
      <c r="O13" s="923">
        <v>78007</v>
      </c>
      <c r="P13" s="923">
        <v>80245</v>
      </c>
      <c r="Q13" s="923">
        <v>83594</v>
      </c>
      <c r="R13" s="923">
        <v>83743</v>
      </c>
      <c r="S13" s="923">
        <v>87390</v>
      </c>
      <c r="T13" s="923">
        <v>84945</v>
      </c>
      <c r="U13" s="923">
        <v>84608</v>
      </c>
      <c r="V13" s="923">
        <v>86775</v>
      </c>
      <c r="W13" s="923">
        <v>89991</v>
      </c>
      <c r="X13" s="923">
        <v>84589</v>
      </c>
      <c r="Y13" s="923">
        <v>84886</v>
      </c>
      <c r="Z13" s="923">
        <v>81300</v>
      </c>
      <c r="AA13" s="923">
        <v>83573</v>
      </c>
      <c r="AB13" s="923">
        <v>82031</v>
      </c>
      <c r="AC13" s="923">
        <v>77334</v>
      </c>
      <c r="AD13" s="923">
        <v>75947</v>
      </c>
      <c r="AE13" s="923">
        <v>74210</v>
      </c>
      <c r="AF13" s="923">
        <v>64365</v>
      </c>
      <c r="AG13" s="923">
        <v>65618</v>
      </c>
      <c r="AH13" s="923">
        <v>60498</v>
      </c>
      <c r="AI13" s="923">
        <v>52862</v>
      </c>
      <c r="AJ13" s="923">
        <v>54220</v>
      </c>
      <c r="AK13" s="923">
        <v>53597</v>
      </c>
      <c r="AL13" s="923">
        <v>54481</v>
      </c>
      <c r="AM13" s="923">
        <v>50015</v>
      </c>
      <c r="AN13" s="923">
        <v>48876</v>
      </c>
      <c r="AO13" s="923">
        <v>48939</v>
      </c>
      <c r="AP13" s="923">
        <v>42771</v>
      </c>
      <c r="AQ13" s="923">
        <v>48356</v>
      </c>
      <c r="AR13" s="923">
        <v>45708</v>
      </c>
      <c r="AS13" s="923">
        <v>43833</v>
      </c>
      <c r="AT13" s="923">
        <v>36171</v>
      </c>
      <c r="AU13" s="923">
        <v>38589</v>
      </c>
      <c r="AV13" s="923">
        <v>39228</v>
      </c>
      <c r="AW13" s="923">
        <v>39550</v>
      </c>
      <c r="AX13" s="923">
        <v>39676</v>
      </c>
      <c r="AY13" s="923">
        <v>36796</v>
      </c>
      <c r="AZ13" s="923">
        <v>30818</v>
      </c>
      <c r="BA13" s="923">
        <v>33823</v>
      </c>
      <c r="BB13" s="923">
        <v>30695</v>
      </c>
      <c r="BC13" s="923">
        <v>32082</v>
      </c>
      <c r="BD13" s="923">
        <v>29263</v>
      </c>
      <c r="BE13" s="923">
        <v>27597</v>
      </c>
      <c r="BF13" s="923">
        <v>26623</v>
      </c>
      <c r="BG13" s="923">
        <v>25379</v>
      </c>
      <c r="BH13" s="923">
        <v>24468</v>
      </c>
      <c r="BI13" s="923">
        <v>25295</v>
      </c>
      <c r="BJ13" s="923">
        <v>20928</v>
      </c>
      <c r="BK13" s="923">
        <v>21916</v>
      </c>
      <c r="BL13" s="923">
        <v>17909</v>
      </c>
      <c r="BM13" s="923">
        <v>17559</v>
      </c>
      <c r="BN13" s="923">
        <v>16130</v>
      </c>
      <c r="BO13" s="923">
        <v>13828</v>
      </c>
      <c r="BP13" s="923">
        <v>12460</v>
      </c>
      <c r="BQ13" s="923">
        <v>12329</v>
      </c>
      <c r="BR13" s="923">
        <v>12678</v>
      </c>
      <c r="BS13" s="923">
        <v>12921</v>
      </c>
      <c r="BT13" s="923">
        <v>10817</v>
      </c>
      <c r="BU13" s="923">
        <v>13212</v>
      </c>
      <c r="BV13" s="923">
        <v>9971</v>
      </c>
      <c r="BW13" s="923">
        <v>9638</v>
      </c>
      <c r="BX13" s="923">
        <v>8125</v>
      </c>
      <c r="BY13" s="923">
        <v>8320</v>
      </c>
      <c r="BZ13" s="923">
        <v>6381</v>
      </c>
      <c r="CA13" s="923">
        <v>6211</v>
      </c>
      <c r="CB13" s="923">
        <v>5148</v>
      </c>
      <c r="CC13" s="923">
        <v>5154</v>
      </c>
      <c r="CD13" s="923">
        <v>4811</v>
      </c>
      <c r="CE13" s="923">
        <v>7396</v>
      </c>
      <c r="CF13" s="923">
        <v>4523</v>
      </c>
      <c r="CG13" s="923">
        <v>3780</v>
      </c>
      <c r="CH13" s="923">
        <v>3040</v>
      </c>
      <c r="CI13" s="923">
        <v>2642</v>
      </c>
      <c r="CJ13" s="923">
        <v>2283</v>
      </c>
      <c r="CK13" s="923">
        <v>2046</v>
      </c>
      <c r="CL13" s="923">
        <v>1470</v>
      </c>
      <c r="CM13" s="923">
        <v>1349</v>
      </c>
      <c r="CN13" s="923">
        <v>1546</v>
      </c>
      <c r="CO13" s="923">
        <v>2005</v>
      </c>
      <c r="CP13" s="923">
        <v>1183</v>
      </c>
      <c r="CQ13" s="923">
        <v>1238</v>
      </c>
      <c r="CR13" s="923">
        <v>440</v>
      </c>
      <c r="CS13" s="923">
        <v>342</v>
      </c>
      <c r="CT13" s="923">
        <v>298</v>
      </c>
      <c r="CU13" s="923">
        <v>479</v>
      </c>
      <c r="CV13" s="923">
        <v>246</v>
      </c>
      <c r="CW13" s="923">
        <v>211</v>
      </c>
      <c r="CX13" s="923">
        <v>162</v>
      </c>
      <c r="CY13" s="923">
        <v>216</v>
      </c>
      <c r="CZ13" s="923">
        <v>108</v>
      </c>
      <c r="DA13" s="923">
        <v>76</v>
      </c>
      <c r="DB13" s="923">
        <v>76</v>
      </c>
      <c r="DC13" s="923">
        <v>64</v>
      </c>
      <c r="DD13" s="923">
        <v>73</v>
      </c>
      <c r="DE13" s="923">
        <v>60</v>
      </c>
      <c r="DF13" s="923">
        <v>59</v>
      </c>
      <c r="DG13" s="923">
        <v>72</v>
      </c>
      <c r="DH13" s="923">
        <v>71</v>
      </c>
      <c r="DI13" s="923">
        <v>112</v>
      </c>
      <c r="DJ13" s="923">
        <v>7</v>
      </c>
      <c r="DK13" s="923">
        <v>3</v>
      </c>
      <c r="DL13" s="923">
        <v>5</v>
      </c>
      <c r="DM13" s="923">
        <v>6</v>
      </c>
      <c r="DN13" s="923">
        <v>6</v>
      </c>
      <c r="DO13" s="923">
        <v>12</v>
      </c>
      <c r="DP13" s="923">
        <v>2</v>
      </c>
      <c r="DQ13" s="924" t="s">
        <v>1663</v>
      </c>
      <c r="DR13" s="923">
        <v>2</v>
      </c>
      <c r="DS13" s="924" t="s">
        <v>1663</v>
      </c>
    </row>
    <row r="14" spans="1:123" x14ac:dyDescent="0.2">
      <c r="A14" s="922" t="s">
        <v>76</v>
      </c>
      <c r="B14" s="923">
        <v>83901</v>
      </c>
      <c r="C14" s="923">
        <v>81181</v>
      </c>
      <c r="D14" s="923">
        <v>81729</v>
      </c>
      <c r="E14" s="923">
        <v>80449</v>
      </c>
      <c r="F14" s="923">
        <v>77087</v>
      </c>
      <c r="G14" s="923">
        <v>71620</v>
      </c>
      <c r="H14" s="923">
        <v>71920</v>
      </c>
      <c r="I14" s="923">
        <v>65875</v>
      </c>
      <c r="J14" s="923">
        <v>62078</v>
      </c>
      <c r="K14" s="923">
        <v>60811</v>
      </c>
      <c r="L14" s="923">
        <v>63005</v>
      </c>
      <c r="M14" s="923">
        <v>63692</v>
      </c>
      <c r="N14" s="923">
        <v>58440</v>
      </c>
      <c r="O14" s="923">
        <v>57620</v>
      </c>
      <c r="P14" s="923">
        <v>60956</v>
      </c>
      <c r="Q14" s="923">
        <v>62504</v>
      </c>
      <c r="R14" s="923">
        <v>62251</v>
      </c>
      <c r="S14" s="923">
        <v>63953</v>
      </c>
      <c r="T14" s="923">
        <v>62896</v>
      </c>
      <c r="U14" s="923">
        <v>64929</v>
      </c>
      <c r="V14" s="923">
        <v>68896</v>
      </c>
      <c r="W14" s="923">
        <v>72280</v>
      </c>
      <c r="X14" s="923">
        <v>68991</v>
      </c>
      <c r="Y14" s="923">
        <v>68346</v>
      </c>
      <c r="Z14" s="923">
        <v>64879</v>
      </c>
      <c r="AA14" s="923">
        <v>66517</v>
      </c>
      <c r="AB14" s="923">
        <v>66848</v>
      </c>
      <c r="AC14" s="923">
        <v>64302</v>
      </c>
      <c r="AD14" s="923">
        <v>65191</v>
      </c>
      <c r="AE14" s="923">
        <v>64804</v>
      </c>
      <c r="AF14" s="923">
        <v>56663</v>
      </c>
      <c r="AG14" s="923">
        <v>59209</v>
      </c>
      <c r="AH14" s="923">
        <v>54782</v>
      </c>
      <c r="AI14" s="923">
        <v>50175</v>
      </c>
      <c r="AJ14" s="923">
        <v>50853</v>
      </c>
      <c r="AK14" s="923">
        <v>48702</v>
      </c>
      <c r="AL14" s="923">
        <v>49359</v>
      </c>
      <c r="AM14" s="923">
        <v>46375</v>
      </c>
      <c r="AN14" s="923">
        <v>45955</v>
      </c>
      <c r="AO14" s="923">
        <v>46348</v>
      </c>
      <c r="AP14" s="923">
        <v>39894</v>
      </c>
      <c r="AQ14" s="923">
        <v>45566</v>
      </c>
      <c r="AR14" s="923">
        <v>42225</v>
      </c>
      <c r="AS14" s="923">
        <v>41728</v>
      </c>
      <c r="AT14" s="923">
        <v>35512</v>
      </c>
      <c r="AU14" s="923">
        <v>36601</v>
      </c>
      <c r="AV14" s="923">
        <v>37408</v>
      </c>
      <c r="AW14" s="923">
        <v>37948</v>
      </c>
      <c r="AX14" s="923">
        <v>38503</v>
      </c>
      <c r="AY14" s="923">
        <v>36659</v>
      </c>
      <c r="AZ14" s="923">
        <v>31823</v>
      </c>
      <c r="BA14" s="923">
        <v>35534</v>
      </c>
      <c r="BB14" s="923">
        <v>31627</v>
      </c>
      <c r="BC14" s="923">
        <v>32334</v>
      </c>
      <c r="BD14" s="923">
        <v>29249</v>
      </c>
      <c r="BE14" s="923">
        <v>27704</v>
      </c>
      <c r="BF14" s="923">
        <v>26781</v>
      </c>
      <c r="BG14" s="923">
        <v>24920</v>
      </c>
      <c r="BH14" s="923">
        <v>24852</v>
      </c>
      <c r="BI14" s="923">
        <v>24322</v>
      </c>
      <c r="BJ14" s="923">
        <v>19486</v>
      </c>
      <c r="BK14" s="923">
        <v>21455</v>
      </c>
      <c r="BL14" s="923">
        <v>18299</v>
      </c>
      <c r="BM14" s="923">
        <v>18219</v>
      </c>
      <c r="BN14" s="923">
        <v>17079</v>
      </c>
      <c r="BO14" s="923">
        <v>15869</v>
      </c>
      <c r="BP14" s="923">
        <v>14647</v>
      </c>
      <c r="BQ14" s="923">
        <v>14536</v>
      </c>
      <c r="BR14" s="923">
        <v>13163</v>
      </c>
      <c r="BS14" s="923">
        <v>13477</v>
      </c>
      <c r="BT14" s="923">
        <v>10742</v>
      </c>
      <c r="BU14" s="923">
        <v>12833</v>
      </c>
      <c r="BV14" s="923">
        <v>10274</v>
      </c>
      <c r="BW14" s="923">
        <v>9249</v>
      </c>
      <c r="BX14" s="923">
        <v>8612</v>
      </c>
      <c r="BY14" s="923">
        <v>8407</v>
      </c>
      <c r="BZ14" s="923">
        <v>7298</v>
      </c>
      <c r="CA14" s="923">
        <v>6328</v>
      </c>
      <c r="CB14" s="923">
        <v>6603</v>
      </c>
      <c r="CC14" s="923">
        <v>5580</v>
      </c>
      <c r="CD14" s="923">
        <v>4580</v>
      </c>
      <c r="CE14" s="923">
        <v>5660</v>
      </c>
      <c r="CF14" s="923">
        <v>4152</v>
      </c>
      <c r="CG14" s="923">
        <v>3799</v>
      </c>
      <c r="CH14" s="923">
        <v>3291</v>
      </c>
      <c r="CI14" s="923">
        <v>2919</v>
      </c>
      <c r="CJ14" s="923">
        <v>3437</v>
      </c>
      <c r="CK14" s="923">
        <v>1871</v>
      </c>
      <c r="CL14" s="923">
        <v>1529</v>
      </c>
      <c r="CM14" s="923">
        <v>1397</v>
      </c>
      <c r="CN14" s="923">
        <v>1402</v>
      </c>
      <c r="CO14" s="923">
        <v>1290</v>
      </c>
      <c r="CP14" s="923">
        <v>898</v>
      </c>
      <c r="CQ14" s="923">
        <v>1197</v>
      </c>
      <c r="CR14" s="923">
        <v>399</v>
      </c>
      <c r="CS14" s="923">
        <v>378</v>
      </c>
      <c r="CT14" s="923">
        <v>306</v>
      </c>
      <c r="CU14" s="923">
        <v>382</v>
      </c>
      <c r="CV14" s="923">
        <v>197</v>
      </c>
      <c r="CW14" s="923">
        <v>174</v>
      </c>
      <c r="CX14" s="923">
        <v>121</v>
      </c>
      <c r="CY14" s="923">
        <v>131</v>
      </c>
      <c r="CZ14" s="923">
        <v>83</v>
      </c>
      <c r="DA14" s="923">
        <v>74</v>
      </c>
      <c r="DB14" s="923">
        <v>66</v>
      </c>
      <c r="DC14" s="923">
        <v>68</v>
      </c>
      <c r="DD14" s="923">
        <v>69</v>
      </c>
      <c r="DE14" s="923">
        <v>61</v>
      </c>
      <c r="DF14" s="923">
        <v>61</v>
      </c>
      <c r="DG14" s="923">
        <v>72</v>
      </c>
      <c r="DH14" s="923">
        <v>87</v>
      </c>
      <c r="DI14" s="923">
        <v>58</v>
      </c>
      <c r="DJ14" s="923">
        <v>5</v>
      </c>
      <c r="DK14" s="923">
        <v>1</v>
      </c>
      <c r="DL14" s="923">
        <v>5</v>
      </c>
      <c r="DM14" s="923">
        <v>4</v>
      </c>
      <c r="DN14" s="923">
        <v>4</v>
      </c>
      <c r="DO14" s="923">
        <v>3</v>
      </c>
      <c r="DP14" s="923">
        <v>1</v>
      </c>
      <c r="DQ14" s="923">
        <v>1</v>
      </c>
      <c r="DR14" s="923">
        <v>1</v>
      </c>
      <c r="DS14" s="924" t="s">
        <v>1663</v>
      </c>
    </row>
    <row r="15" spans="1:123" x14ac:dyDescent="0.2">
      <c r="A15" s="922" t="s">
        <v>70</v>
      </c>
      <c r="B15" s="923">
        <v>24679</v>
      </c>
      <c r="C15" s="923">
        <v>24457</v>
      </c>
      <c r="D15" s="923">
        <v>24753</v>
      </c>
      <c r="E15" s="923">
        <v>24190</v>
      </c>
      <c r="F15" s="923">
        <v>23839</v>
      </c>
      <c r="G15" s="923">
        <v>23881</v>
      </c>
      <c r="H15" s="923">
        <v>23608</v>
      </c>
      <c r="I15" s="923">
        <v>22889</v>
      </c>
      <c r="J15" s="923">
        <v>22288</v>
      </c>
      <c r="K15" s="923">
        <v>21341</v>
      </c>
      <c r="L15" s="923">
        <v>22030</v>
      </c>
      <c r="M15" s="923">
        <v>22981</v>
      </c>
      <c r="N15" s="923">
        <v>21436</v>
      </c>
      <c r="O15" s="923">
        <v>21253</v>
      </c>
      <c r="P15" s="923">
        <v>21748</v>
      </c>
      <c r="Q15" s="923">
        <v>21666</v>
      </c>
      <c r="R15" s="923">
        <v>21844</v>
      </c>
      <c r="S15" s="923">
        <v>21874</v>
      </c>
      <c r="T15" s="923">
        <v>21465</v>
      </c>
      <c r="U15" s="923">
        <v>20827</v>
      </c>
      <c r="V15" s="923">
        <v>21885</v>
      </c>
      <c r="W15" s="923">
        <v>21733</v>
      </c>
      <c r="X15" s="923">
        <v>20774</v>
      </c>
      <c r="Y15" s="923">
        <v>20512</v>
      </c>
      <c r="Z15" s="923">
        <v>19727</v>
      </c>
      <c r="AA15" s="923">
        <v>20003</v>
      </c>
      <c r="AB15" s="923">
        <v>20511</v>
      </c>
      <c r="AC15" s="923">
        <v>19789</v>
      </c>
      <c r="AD15" s="923">
        <v>20233</v>
      </c>
      <c r="AE15" s="923">
        <v>19836</v>
      </c>
      <c r="AF15" s="923">
        <v>18273</v>
      </c>
      <c r="AG15" s="923">
        <v>18378</v>
      </c>
      <c r="AH15" s="923">
        <v>17276</v>
      </c>
      <c r="AI15" s="923">
        <v>16146</v>
      </c>
      <c r="AJ15" s="923">
        <v>15923</v>
      </c>
      <c r="AK15" s="923">
        <v>15242</v>
      </c>
      <c r="AL15" s="923">
        <v>15145</v>
      </c>
      <c r="AM15" s="923">
        <v>14712</v>
      </c>
      <c r="AN15" s="923">
        <v>14926</v>
      </c>
      <c r="AO15" s="923">
        <v>15196</v>
      </c>
      <c r="AP15" s="923">
        <v>14073</v>
      </c>
      <c r="AQ15" s="923">
        <v>14606</v>
      </c>
      <c r="AR15" s="923">
        <v>14085</v>
      </c>
      <c r="AS15" s="923">
        <v>13677</v>
      </c>
      <c r="AT15" s="923">
        <v>11983</v>
      </c>
      <c r="AU15" s="923">
        <v>12415</v>
      </c>
      <c r="AV15" s="923">
        <v>12441</v>
      </c>
      <c r="AW15" s="923">
        <v>12237</v>
      </c>
      <c r="AX15" s="923">
        <v>12691</v>
      </c>
      <c r="AY15" s="923">
        <v>12034</v>
      </c>
      <c r="AZ15" s="923">
        <v>11176</v>
      </c>
      <c r="BA15" s="923">
        <v>11457</v>
      </c>
      <c r="BB15" s="923">
        <v>10558</v>
      </c>
      <c r="BC15" s="923">
        <v>10956</v>
      </c>
      <c r="BD15" s="923">
        <v>9831</v>
      </c>
      <c r="BE15" s="923">
        <v>9394</v>
      </c>
      <c r="BF15" s="923">
        <v>9156</v>
      </c>
      <c r="BG15" s="923">
        <v>8479</v>
      </c>
      <c r="BH15" s="923">
        <v>8626</v>
      </c>
      <c r="BI15" s="923">
        <v>8320</v>
      </c>
      <c r="BJ15" s="923">
        <v>7274</v>
      </c>
      <c r="BK15" s="923">
        <v>7431</v>
      </c>
      <c r="BL15" s="923">
        <v>6582</v>
      </c>
      <c r="BM15" s="923">
        <v>6437</v>
      </c>
      <c r="BN15" s="923">
        <v>5898</v>
      </c>
      <c r="BO15" s="923">
        <v>5374</v>
      </c>
      <c r="BP15" s="923">
        <v>4969</v>
      </c>
      <c r="BQ15" s="923">
        <v>4661</v>
      </c>
      <c r="BR15" s="923">
        <v>4400</v>
      </c>
      <c r="BS15" s="923">
        <v>4387</v>
      </c>
      <c r="BT15" s="923">
        <v>3759</v>
      </c>
      <c r="BU15" s="923">
        <v>4105</v>
      </c>
      <c r="BV15" s="923">
        <v>3375</v>
      </c>
      <c r="BW15" s="923">
        <v>3160</v>
      </c>
      <c r="BX15" s="923">
        <v>2844</v>
      </c>
      <c r="BY15" s="923">
        <v>2696</v>
      </c>
      <c r="BZ15" s="923">
        <v>2404</v>
      </c>
      <c r="CA15" s="923">
        <v>2146</v>
      </c>
      <c r="CB15" s="923">
        <v>2452</v>
      </c>
      <c r="CC15" s="923">
        <v>1775</v>
      </c>
      <c r="CD15" s="923">
        <v>1589</v>
      </c>
      <c r="CE15" s="923">
        <v>1582</v>
      </c>
      <c r="CF15" s="923">
        <v>1252</v>
      </c>
      <c r="CG15" s="923">
        <v>1116</v>
      </c>
      <c r="CH15" s="923">
        <v>948</v>
      </c>
      <c r="CI15" s="923">
        <v>815</v>
      </c>
      <c r="CJ15" s="923">
        <v>834</v>
      </c>
      <c r="CK15" s="923">
        <v>652</v>
      </c>
      <c r="CL15" s="923">
        <v>505</v>
      </c>
      <c r="CM15" s="923">
        <v>478</v>
      </c>
      <c r="CN15" s="923">
        <v>403</v>
      </c>
      <c r="CO15" s="923">
        <v>395</v>
      </c>
      <c r="CP15" s="923">
        <v>285</v>
      </c>
      <c r="CQ15" s="923">
        <v>275</v>
      </c>
      <c r="CR15" s="923">
        <v>152</v>
      </c>
      <c r="CS15" s="923">
        <v>111</v>
      </c>
      <c r="CT15" s="923">
        <v>104</v>
      </c>
      <c r="CU15" s="923">
        <v>108</v>
      </c>
      <c r="CV15" s="923">
        <v>52</v>
      </c>
      <c r="CW15" s="923">
        <v>77</v>
      </c>
      <c r="CX15" s="923">
        <v>45</v>
      </c>
      <c r="CY15" s="923">
        <v>60</v>
      </c>
      <c r="CZ15" s="923">
        <v>57</v>
      </c>
      <c r="DA15" s="923">
        <v>38</v>
      </c>
      <c r="DB15" s="923">
        <v>45</v>
      </c>
      <c r="DC15" s="923">
        <v>27</v>
      </c>
      <c r="DD15" s="923">
        <v>31</v>
      </c>
      <c r="DE15" s="923">
        <v>47</v>
      </c>
      <c r="DF15" s="923">
        <v>44</v>
      </c>
      <c r="DG15" s="923">
        <v>49</v>
      </c>
      <c r="DH15" s="923">
        <v>43</v>
      </c>
      <c r="DI15" s="923">
        <v>30</v>
      </c>
      <c r="DJ15" s="923">
        <v>1</v>
      </c>
      <c r="DK15" s="923">
        <v>1</v>
      </c>
      <c r="DL15" s="923">
        <v>4</v>
      </c>
      <c r="DM15" s="923">
        <v>1</v>
      </c>
      <c r="DN15" s="924" t="s">
        <v>1663</v>
      </c>
      <c r="DO15" s="923">
        <v>1</v>
      </c>
      <c r="DP15" s="923">
        <v>1</v>
      </c>
      <c r="DQ15" s="923">
        <v>1</v>
      </c>
      <c r="DR15" s="924" t="s">
        <v>1663</v>
      </c>
      <c r="DS15" s="924" t="s">
        <v>1663</v>
      </c>
    </row>
    <row r="16" spans="1:123" x14ac:dyDescent="0.2">
      <c r="A16" s="925" t="s">
        <v>63</v>
      </c>
      <c r="B16" s="926">
        <v>117651</v>
      </c>
      <c r="C16" s="926">
        <v>114638</v>
      </c>
      <c r="D16" s="926">
        <v>115388</v>
      </c>
      <c r="E16" s="926">
        <v>110466</v>
      </c>
      <c r="F16" s="926">
        <v>106657</v>
      </c>
      <c r="G16" s="926">
        <v>101491</v>
      </c>
      <c r="H16" s="926">
        <v>96121</v>
      </c>
      <c r="I16" s="926">
        <v>91136</v>
      </c>
      <c r="J16" s="926">
        <v>87008</v>
      </c>
      <c r="K16" s="926">
        <v>84406</v>
      </c>
      <c r="L16" s="926">
        <v>89546</v>
      </c>
      <c r="M16" s="926">
        <v>90406</v>
      </c>
      <c r="N16" s="926">
        <v>85444</v>
      </c>
      <c r="O16" s="926">
        <v>85311</v>
      </c>
      <c r="P16" s="926">
        <v>88136</v>
      </c>
      <c r="Q16" s="926">
        <v>89943</v>
      </c>
      <c r="R16" s="926">
        <v>91378</v>
      </c>
      <c r="S16" s="926">
        <v>94299</v>
      </c>
      <c r="T16" s="926">
        <v>98868</v>
      </c>
      <c r="U16" s="926">
        <v>105633</v>
      </c>
      <c r="V16" s="926">
        <v>114202</v>
      </c>
      <c r="W16" s="926">
        <v>120817</v>
      </c>
      <c r="X16" s="926">
        <v>116132</v>
      </c>
      <c r="Y16" s="926">
        <v>116493</v>
      </c>
      <c r="Z16" s="926">
        <v>115907</v>
      </c>
      <c r="AA16" s="926">
        <v>121354</v>
      </c>
      <c r="AB16" s="926">
        <v>122273</v>
      </c>
      <c r="AC16" s="926">
        <v>117302</v>
      </c>
      <c r="AD16" s="926">
        <v>118208</v>
      </c>
      <c r="AE16" s="926">
        <v>113411</v>
      </c>
      <c r="AF16" s="926">
        <v>105368</v>
      </c>
      <c r="AG16" s="926">
        <v>104251</v>
      </c>
      <c r="AH16" s="926">
        <v>94565</v>
      </c>
      <c r="AI16" s="926">
        <v>87742</v>
      </c>
      <c r="AJ16" s="926">
        <v>89675</v>
      </c>
      <c r="AK16" s="926">
        <v>89544</v>
      </c>
      <c r="AL16" s="926">
        <v>89069</v>
      </c>
      <c r="AM16" s="926">
        <v>84349</v>
      </c>
      <c r="AN16" s="926">
        <v>85207</v>
      </c>
      <c r="AO16" s="926">
        <v>88470</v>
      </c>
      <c r="AP16" s="926">
        <v>82843</v>
      </c>
      <c r="AQ16" s="926">
        <v>83171</v>
      </c>
      <c r="AR16" s="926">
        <v>81329</v>
      </c>
      <c r="AS16" s="926">
        <v>77798</v>
      </c>
      <c r="AT16" s="926">
        <v>69895</v>
      </c>
      <c r="AU16" s="926">
        <v>72159</v>
      </c>
      <c r="AV16" s="926">
        <v>70431</v>
      </c>
      <c r="AW16" s="926">
        <v>69799</v>
      </c>
      <c r="AX16" s="926">
        <v>68807</v>
      </c>
      <c r="AY16" s="926">
        <v>66671</v>
      </c>
      <c r="AZ16" s="926">
        <v>63718</v>
      </c>
      <c r="BA16" s="926">
        <v>62681</v>
      </c>
      <c r="BB16" s="926">
        <v>57941</v>
      </c>
      <c r="BC16" s="926">
        <v>56647</v>
      </c>
      <c r="BD16" s="926">
        <v>51699</v>
      </c>
      <c r="BE16" s="926">
        <v>48950</v>
      </c>
      <c r="BF16" s="926">
        <v>47439</v>
      </c>
      <c r="BG16" s="926">
        <v>44779</v>
      </c>
      <c r="BH16" s="926">
        <v>43871</v>
      </c>
      <c r="BI16" s="926">
        <v>43060</v>
      </c>
      <c r="BJ16" s="926">
        <v>39207</v>
      </c>
      <c r="BK16" s="926">
        <v>37291</v>
      </c>
      <c r="BL16" s="926">
        <v>35034</v>
      </c>
      <c r="BM16" s="926">
        <v>34787</v>
      </c>
      <c r="BN16" s="926">
        <v>32239</v>
      </c>
      <c r="BO16" s="926">
        <v>29553</v>
      </c>
      <c r="BP16" s="926">
        <v>26102</v>
      </c>
      <c r="BQ16" s="926">
        <v>24942</v>
      </c>
      <c r="BR16" s="926">
        <v>22701</v>
      </c>
      <c r="BS16" s="926">
        <v>21914</v>
      </c>
      <c r="BT16" s="926">
        <v>20506</v>
      </c>
      <c r="BU16" s="926">
        <v>20680</v>
      </c>
      <c r="BV16" s="926">
        <v>18645</v>
      </c>
      <c r="BW16" s="926">
        <v>17261</v>
      </c>
      <c r="BX16" s="926">
        <v>16102</v>
      </c>
      <c r="BY16" s="926">
        <v>15183</v>
      </c>
      <c r="BZ16" s="926">
        <v>12684</v>
      </c>
      <c r="CA16" s="926">
        <v>11311</v>
      </c>
      <c r="CB16" s="926">
        <v>10705</v>
      </c>
      <c r="CC16" s="926">
        <v>10057</v>
      </c>
      <c r="CD16" s="926">
        <v>9088</v>
      </c>
      <c r="CE16" s="926">
        <v>8589</v>
      </c>
      <c r="CF16" s="926">
        <v>7206</v>
      </c>
      <c r="CG16" s="926">
        <v>6138</v>
      </c>
      <c r="CH16" s="926">
        <v>5414</v>
      </c>
      <c r="CI16" s="926">
        <v>4590</v>
      </c>
      <c r="CJ16" s="926">
        <v>3987</v>
      </c>
      <c r="CK16" s="926">
        <v>3514</v>
      </c>
      <c r="CL16" s="926">
        <v>2851</v>
      </c>
      <c r="CM16" s="926">
        <v>2445</v>
      </c>
      <c r="CN16" s="926">
        <v>1976</v>
      </c>
      <c r="CO16" s="926">
        <v>1588</v>
      </c>
      <c r="CP16" s="926">
        <v>1038</v>
      </c>
      <c r="CQ16" s="926">
        <v>969</v>
      </c>
      <c r="CR16" s="926">
        <v>658</v>
      </c>
      <c r="CS16" s="926">
        <v>514</v>
      </c>
      <c r="CT16" s="926">
        <v>480</v>
      </c>
      <c r="CU16" s="926">
        <v>348</v>
      </c>
      <c r="CV16" s="926">
        <v>243</v>
      </c>
      <c r="CW16" s="926">
        <v>221</v>
      </c>
      <c r="CX16" s="926">
        <v>160</v>
      </c>
      <c r="CY16" s="926">
        <v>151</v>
      </c>
      <c r="CZ16" s="926">
        <v>183</v>
      </c>
      <c r="DA16" s="926">
        <v>177</v>
      </c>
      <c r="DB16" s="926">
        <v>177</v>
      </c>
      <c r="DC16" s="926">
        <v>145</v>
      </c>
      <c r="DD16" s="926">
        <v>148</v>
      </c>
      <c r="DE16" s="926">
        <v>159</v>
      </c>
      <c r="DF16" s="926">
        <v>159</v>
      </c>
      <c r="DG16" s="926">
        <v>165</v>
      </c>
      <c r="DH16" s="926">
        <v>188</v>
      </c>
      <c r="DI16" s="926">
        <v>150</v>
      </c>
      <c r="DJ16" s="926">
        <v>10</v>
      </c>
      <c r="DK16" s="926">
        <v>5</v>
      </c>
      <c r="DL16" s="926">
        <v>6</v>
      </c>
      <c r="DM16" s="926">
        <v>11</v>
      </c>
      <c r="DN16" s="926">
        <v>3</v>
      </c>
      <c r="DO16" s="926">
        <v>6</v>
      </c>
      <c r="DP16" s="926">
        <v>7</v>
      </c>
      <c r="DQ16" s="926">
        <v>7</v>
      </c>
      <c r="DR16" s="926">
        <v>6</v>
      </c>
      <c r="DS16" s="927" t="s">
        <v>1663</v>
      </c>
    </row>
    <row r="18" spans="1:1" x14ac:dyDescent="0.2">
      <c r="A18" s="919" t="s">
        <v>1664</v>
      </c>
    </row>
    <row r="19" spans="1:1" x14ac:dyDescent="0.2">
      <c r="A19" s="919" t="s">
        <v>1665</v>
      </c>
    </row>
    <row r="20" spans="1:1" x14ac:dyDescent="0.2">
      <c r="A20" s="919" t="s">
        <v>1666</v>
      </c>
    </row>
    <row r="21" spans="1:1" x14ac:dyDescent="0.2">
      <c r="A21" s="919" t="s">
        <v>1667</v>
      </c>
    </row>
  </sheetData>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2:M62"/>
  <sheetViews>
    <sheetView showGridLines="0" topLeftCell="E1" zoomScaleNormal="100" workbookViewId="0">
      <selection activeCell="K26" sqref="K26"/>
    </sheetView>
  </sheetViews>
  <sheetFormatPr defaultRowHeight="15" x14ac:dyDescent="0.25"/>
  <cols>
    <col min="2" max="2" width="33.28515625" bestFit="1" customWidth="1"/>
    <col min="3" max="3" width="13.42578125" bestFit="1" customWidth="1"/>
    <col min="4" max="4" width="19.140625" bestFit="1" customWidth="1"/>
    <col min="5" max="6" width="15.85546875" bestFit="1" customWidth="1"/>
    <col min="7" max="7" width="18" bestFit="1" customWidth="1"/>
    <col min="8" max="8" width="20.42578125" bestFit="1" customWidth="1"/>
    <col min="9" max="9" width="22.5703125" bestFit="1" customWidth="1"/>
    <col min="11" max="11" width="40.42578125" customWidth="1"/>
    <col min="12" max="12" width="12.42578125" bestFit="1" customWidth="1"/>
    <col min="13" max="13" width="14.28515625" bestFit="1" customWidth="1"/>
  </cols>
  <sheetData>
    <row r="2" spans="2:13" x14ac:dyDescent="0.25">
      <c r="D2" t="s">
        <v>1772</v>
      </c>
      <c r="E2" t="s">
        <v>1771</v>
      </c>
    </row>
    <row r="3" spans="2:13" x14ac:dyDescent="0.25">
      <c r="B3" t="s">
        <v>669</v>
      </c>
      <c r="C3" s="1028">
        <v>291.16790171513946</v>
      </c>
      <c r="D3" s="1028">
        <v>1000000</v>
      </c>
      <c r="E3" s="679">
        <f>D3/C3</f>
        <v>3434.4445047323165</v>
      </c>
      <c r="F3" s="575">
        <v>1000</v>
      </c>
      <c r="G3" s="679">
        <f>F3*C3</f>
        <v>291167.90171513945</v>
      </c>
    </row>
    <row r="4" spans="2:13" x14ac:dyDescent="0.25">
      <c r="B4" t="s">
        <v>1144</v>
      </c>
      <c r="C4" s="1028">
        <v>1384.9586193488369</v>
      </c>
      <c r="D4" s="1028">
        <v>1000000</v>
      </c>
      <c r="E4" s="679">
        <f>D4/C4</f>
        <v>722.04323366005542</v>
      </c>
      <c r="F4" s="575">
        <v>1000</v>
      </c>
      <c r="G4" s="679">
        <f>F4*C4</f>
        <v>1384958.6193488368</v>
      </c>
    </row>
    <row r="5" spans="2:13" x14ac:dyDescent="0.25">
      <c r="B5" t="s">
        <v>1104</v>
      </c>
      <c r="C5" s="1028">
        <v>11612.815427932816</v>
      </c>
      <c r="D5" s="1028">
        <v>1000000</v>
      </c>
      <c r="E5" s="679">
        <f>D5/C5</f>
        <v>86.111762148105456</v>
      </c>
      <c r="F5" s="575">
        <v>1000</v>
      </c>
      <c r="G5" s="679">
        <f>F5*C5</f>
        <v>11612815.427932816</v>
      </c>
    </row>
    <row r="6" spans="2:13" x14ac:dyDescent="0.25">
      <c r="B6" t="s">
        <v>1241</v>
      </c>
      <c r="C6" s="1028">
        <v>13692.183601484141</v>
      </c>
      <c r="D6" s="1028">
        <v>1000000</v>
      </c>
      <c r="E6" s="679">
        <f>D6/C6</f>
        <v>73.034369762001049</v>
      </c>
      <c r="F6" s="575">
        <v>1000</v>
      </c>
      <c r="G6" s="679">
        <f>F6*C6</f>
        <v>13692183.60148414</v>
      </c>
      <c r="K6" s="694" t="s">
        <v>1505</v>
      </c>
    </row>
    <row r="7" spans="2:13" x14ac:dyDescent="0.25">
      <c r="B7" t="s">
        <v>1389</v>
      </c>
      <c r="C7" s="1028">
        <v>65825.868271912143</v>
      </c>
      <c r="D7" s="1028">
        <v>1000000</v>
      </c>
      <c r="E7" s="679">
        <f>D7/C7</f>
        <v>15.191596043507099</v>
      </c>
      <c r="F7" s="575">
        <v>1000</v>
      </c>
      <c r="G7" s="679">
        <f>F7*C7</f>
        <v>65825868.271912143</v>
      </c>
      <c r="K7" s="1056"/>
      <c r="L7" s="1057" t="s">
        <v>1781</v>
      </c>
      <c r="M7" s="1057" t="s">
        <v>1782</v>
      </c>
    </row>
    <row r="8" spans="2:13" x14ac:dyDescent="0.25">
      <c r="C8" s="1028"/>
      <c r="D8" s="1028" t="s">
        <v>1761</v>
      </c>
      <c r="E8" s="1028" t="s">
        <v>382</v>
      </c>
      <c r="F8" s="1028" t="s">
        <v>1770</v>
      </c>
      <c r="G8" s="679"/>
      <c r="K8" s="1058" t="s">
        <v>1777</v>
      </c>
      <c r="L8" s="1061"/>
      <c r="M8" s="1062">
        <f>C10</f>
        <v>5685452</v>
      </c>
    </row>
    <row r="9" spans="2:13" x14ac:dyDescent="0.25">
      <c r="C9" s="1028"/>
      <c r="D9" s="1025">
        <v>0.83</v>
      </c>
      <c r="E9" s="1025">
        <v>0.43</v>
      </c>
      <c r="F9" s="1025">
        <v>0.77</v>
      </c>
      <c r="G9" s="679"/>
      <c r="K9" s="1059" t="s">
        <v>1783</v>
      </c>
      <c r="L9" s="1063">
        <v>0.6</v>
      </c>
      <c r="M9" s="1064">
        <f>L9*$M$8</f>
        <v>3411271.1999999997</v>
      </c>
    </row>
    <row r="10" spans="2:13" x14ac:dyDescent="0.25">
      <c r="B10" t="s">
        <v>1787</v>
      </c>
      <c r="C10" s="1029">
        <f>'H&amp;S Demand'!B13</f>
        <v>5685452</v>
      </c>
      <c r="D10" s="1020">
        <v>0.65</v>
      </c>
      <c r="E10" s="1025">
        <v>0.7</v>
      </c>
      <c r="F10" s="1027">
        <f>E10+5%</f>
        <v>0.75</v>
      </c>
      <c r="G10" s="1027">
        <f>F10+5%</f>
        <v>0.8</v>
      </c>
      <c r="H10" s="1027">
        <f>G10+5%</f>
        <v>0.85000000000000009</v>
      </c>
      <c r="I10" s="1027">
        <f>H10+5%</f>
        <v>0.90000000000000013</v>
      </c>
      <c r="K10" s="5" t="s">
        <v>1792</v>
      </c>
      <c r="L10" s="1065"/>
      <c r="M10" s="1066"/>
    </row>
    <row r="11" spans="2:13" x14ac:dyDescent="0.25">
      <c r="B11" t="s">
        <v>13</v>
      </c>
      <c r="C11" s="1034">
        <f>D10*C10</f>
        <v>3695543.8000000003</v>
      </c>
      <c r="D11" s="1031" t="s">
        <v>1773</v>
      </c>
      <c r="E11" s="1025"/>
      <c r="F11" s="1027"/>
      <c r="G11" s="1027"/>
      <c r="H11" s="1027"/>
      <c r="I11" s="1027"/>
      <c r="K11" s="1055" t="str">
        <f>B13</f>
        <v>Growth Faltering</v>
      </c>
      <c r="L11" s="1067">
        <f>C13</f>
        <v>0.1</v>
      </c>
      <c r="M11" s="1066">
        <f>L11*$M$9</f>
        <v>341127.12</v>
      </c>
    </row>
    <row r="12" spans="2:13" x14ac:dyDescent="0.25">
      <c r="B12" s="1009" t="s">
        <v>1769</v>
      </c>
      <c r="C12" s="1009"/>
      <c r="D12" s="1032">
        <f t="shared" ref="D12:I12" si="0">D10*$C$10*$C$3</f>
        <v>1076023733.9423931</v>
      </c>
      <c r="E12" s="1026">
        <f t="shared" si="0"/>
        <v>1158794790.3995001</v>
      </c>
      <c r="F12" s="1026">
        <f t="shared" si="0"/>
        <v>1241565846.8566074</v>
      </c>
      <c r="G12" s="1026">
        <f t="shared" si="0"/>
        <v>1324336903.3137147</v>
      </c>
      <c r="H12" s="1026">
        <f t="shared" si="0"/>
        <v>1407107959.7708216</v>
      </c>
      <c r="I12" s="1026">
        <f t="shared" si="0"/>
        <v>1489879016.2279291</v>
      </c>
      <c r="K12" s="1055" t="s">
        <v>1104</v>
      </c>
      <c r="L12" s="1067">
        <f t="shared" ref="L12:L14" si="1">C14</f>
        <v>0.04</v>
      </c>
      <c r="M12" s="1066">
        <f t="shared" ref="M12:M14" si="2">L12*$M$9</f>
        <v>136450.848</v>
      </c>
    </row>
    <row r="13" spans="2:13" x14ac:dyDescent="0.25">
      <c r="B13" t="s">
        <v>1388</v>
      </c>
      <c r="C13" s="1025">
        <v>0.1</v>
      </c>
      <c r="D13" s="503">
        <f>C13*$C$11</f>
        <v>369554.38000000006</v>
      </c>
      <c r="E13" s="575">
        <f>$D$13*$C$4</f>
        <v>511817523.8991155</v>
      </c>
      <c r="F13" s="575">
        <f>$D$13*$C$4</f>
        <v>511817523.8991155</v>
      </c>
      <c r="G13" s="575">
        <f>$D$13*$C$4</f>
        <v>511817523.8991155</v>
      </c>
      <c r="H13" s="575">
        <f>$D$13*$C$4</f>
        <v>511817523.8991155</v>
      </c>
      <c r="I13" s="575">
        <f>$D$13*$C$4</f>
        <v>511817523.8991155</v>
      </c>
      <c r="K13" s="1055" t="s">
        <v>1779</v>
      </c>
      <c r="L13" s="1067">
        <f t="shared" si="1"/>
        <v>8.0000000000000002E-3</v>
      </c>
      <c r="M13" s="1066">
        <f t="shared" si="2"/>
        <v>27290.169599999997</v>
      </c>
    </row>
    <row r="14" spans="2:13" x14ac:dyDescent="0.25">
      <c r="B14" t="s">
        <v>1362</v>
      </c>
      <c r="C14" s="1025">
        <v>0.04</v>
      </c>
      <c r="D14" s="503">
        <f t="shared" ref="D14:D16" si="3">C14*$C$11</f>
        <v>147821.75200000001</v>
      </c>
      <c r="E14" s="575">
        <f>$D$14*$C$5</f>
        <v>1716626722.2096586</v>
      </c>
      <c r="F14" s="575">
        <f>$D$14*$C$5</f>
        <v>1716626722.2096586</v>
      </c>
      <c r="G14" s="575">
        <f>$D$14*$C$5</f>
        <v>1716626722.2096586</v>
      </c>
      <c r="H14" s="575">
        <f>$D$14*$C$5</f>
        <v>1716626722.2096586</v>
      </c>
      <c r="I14" s="575">
        <f>$D$14*$C$5</f>
        <v>1716626722.2096586</v>
      </c>
      <c r="K14" s="1060" t="s">
        <v>1780</v>
      </c>
      <c r="L14" s="1068">
        <f t="shared" si="1"/>
        <v>2E-3</v>
      </c>
      <c r="M14" s="1069">
        <f t="shared" si="2"/>
        <v>6822.5423999999994</v>
      </c>
    </row>
    <row r="15" spans="2:13" x14ac:dyDescent="0.25">
      <c r="B15" t="s">
        <v>1766</v>
      </c>
      <c r="C15" s="1024">
        <v>8.0000000000000002E-3</v>
      </c>
      <c r="D15" s="503">
        <f t="shared" si="3"/>
        <v>29564.350400000003</v>
      </c>
      <c r="E15" s="575">
        <f>$D$15*$C$6</f>
        <v>404800513.73541117</v>
      </c>
      <c r="F15" s="575">
        <f>$D$15*$C$6</f>
        <v>404800513.73541117</v>
      </c>
      <c r="G15" s="575">
        <f>$D$15*$C$6</f>
        <v>404800513.73541117</v>
      </c>
      <c r="H15" s="575">
        <f>$D$15*$C$6</f>
        <v>404800513.73541117</v>
      </c>
      <c r="I15" s="575">
        <f>$D$15*$C$6</f>
        <v>404800513.73541117</v>
      </c>
    </row>
    <row r="16" spans="2:13" x14ac:dyDescent="0.25">
      <c r="B16" t="s">
        <v>1765</v>
      </c>
      <c r="C16" s="1024">
        <v>2E-3</v>
      </c>
      <c r="D16" s="503">
        <f t="shared" si="3"/>
        <v>7391.0876000000007</v>
      </c>
      <c r="E16" s="575">
        <f>$D$16*$C$7</f>
        <v>486524758.74376333</v>
      </c>
      <c r="F16" s="575">
        <f>$D$16*$C$7</f>
        <v>486524758.74376333</v>
      </c>
      <c r="G16" s="575">
        <f>$D$16*$C$7</f>
        <v>486524758.74376333</v>
      </c>
      <c r="H16" s="575">
        <f>$D$16*$C$7</f>
        <v>486524758.74376333</v>
      </c>
      <c r="I16" s="575">
        <f>$D$16*$C$7</f>
        <v>486524758.74376333</v>
      </c>
    </row>
    <row r="17" spans="2:9" x14ac:dyDescent="0.25">
      <c r="C17" s="1024"/>
      <c r="D17" s="503"/>
      <c r="E17" s="575"/>
      <c r="F17" s="575"/>
      <c r="G17" s="575"/>
      <c r="H17" s="575"/>
      <c r="I17" s="575"/>
    </row>
    <row r="18" spans="2:9" x14ac:dyDescent="0.25">
      <c r="C18" s="1024"/>
      <c r="D18" s="503"/>
      <c r="E18" s="575"/>
      <c r="F18" s="575"/>
      <c r="G18" s="575"/>
      <c r="H18" s="575"/>
      <c r="I18" s="575"/>
    </row>
    <row r="19" spans="2:9" x14ac:dyDescent="0.25">
      <c r="C19" s="1024"/>
      <c r="D19" s="503"/>
      <c r="E19" s="575"/>
      <c r="F19" s="575"/>
      <c r="G19" s="575"/>
      <c r="H19" s="575"/>
      <c r="I19" s="575"/>
    </row>
    <row r="20" spans="2:9" x14ac:dyDescent="0.25">
      <c r="C20" s="1024"/>
      <c r="D20" s="503"/>
      <c r="E20" s="575"/>
      <c r="F20" s="575"/>
      <c r="G20" s="575"/>
      <c r="H20" s="575"/>
      <c r="I20" s="575"/>
    </row>
    <row r="21" spans="2:9" x14ac:dyDescent="0.25">
      <c r="C21" s="1024"/>
      <c r="D21" s="503"/>
      <c r="E21" s="575"/>
      <c r="F21" s="575"/>
      <c r="G21" s="575"/>
      <c r="H21" s="575"/>
      <c r="I21" s="575"/>
    </row>
    <row r="22" spans="2:9" x14ac:dyDescent="0.25">
      <c r="C22" s="1024"/>
      <c r="D22" s="503"/>
      <c r="E22" s="575"/>
      <c r="F22" s="575"/>
      <c r="G22" s="575"/>
      <c r="H22" s="575"/>
      <c r="I22" s="575"/>
    </row>
    <row r="23" spans="2:9" x14ac:dyDescent="0.25">
      <c r="C23" s="1024"/>
      <c r="D23" s="503"/>
      <c r="E23" s="575"/>
      <c r="F23" s="575"/>
      <c r="G23" s="575"/>
      <c r="H23" s="575"/>
      <c r="I23" s="575"/>
    </row>
    <row r="24" spans="2:9" x14ac:dyDescent="0.25">
      <c r="B24" s="1023" t="s">
        <v>1774</v>
      </c>
      <c r="C24" s="1023"/>
      <c r="D24" s="1023"/>
      <c r="E24" s="1021">
        <f>SUM(E13:E16)</f>
        <v>3119769518.5879488</v>
      </c>
      <c r="F24" s="1021">
        <f>SUM(F13:F16)</f>
        <v>3119769518.5879488</v>
      </c>
      <c r="G24" s="1021">
        <f>SUM(G13:G16)</f>
        <v>3119769518.5879488</v>
      </c>
      <c r="H24" s="1021">
        <f>SUM(H13:H16)</f>
        <v>3119769518.5879488</v>
      </c>
      <c r="I24" s="1021">
        <f>SUM(I13:I16)</f>
        <v>3119769518.5879488</v>
      </c>
    </row>
    <row r="25" spans="2:9" x14ac:dyDescent="0.25">
      <c r="B25" t="s">
        <v>1768</v>
      </c>
    </row>
    <row r="26" spans="2:9" x14ac:dyDescent="0.25">
      <c r="B26" t="s">
        <v>1388</v>
      </c>
      <c r="D26" s="1022">
        <v>0.05</v>
      </c>
      <c r="E26" s="575">
        <f>$D13*(1-$D$26)</f>
        <v>351076.66100000002</v>
      </c>
      <c r="F26" s="575">
        <f t="shared" ref="F26:I29" si="4">E26*(1-$D$26)</f>
        <v>333522.82795000001</v>
      </c>
      <c r="G26" s="575">
        <f t="shared" si="4"/>
        <v>316846.6865525</v>
      </c>
      <c r="H26" s="575">
        <f t="shared" si="4"/>
        <v>301004.35222487501</v>
      </c>
      <c r="I26" s="575">
        <f t="shared" si="4"/>
        <v>285954.13461363123</v>
      </c>
    </row>
    <row r="27" spans="2:9" x14ac:dyDescent="0.25">
      <c r="B27" t="s">
        <v>1362</v>
      </c>
      <c r="E27" s="575">
        <f>$D14*(1-$D$26)</f>
        <v>140430.66440000001</v>
      </c>
      <c r="F27" s="575">
        <f t="shared" si="4"/>
        <v>133409.13118</v>
      </c>
      <c r="G27" s="575">
        <f t="shared" si="4"/>
        <v>126738.67462099998</v>
      </c>
      <c r="H27" s="575">
        <f t="shared" si="4"/>
        <v>120401.74088994999</v>
      </c>
      <c r="I27" s="575">
        <f t="shared" si="4"/>
        <v>114381.65384545249</v>
      </c>
    </row>
    <row r="28" spans="2:9" x14ac:dyDescent="0.25">
      <c r="B28" t="s">
        <v>1766</v>
      </c>
      <c r="E28" s="575">
        <f>$D15*(1-$D$26)</f>
        <v>28086.132880000001</v>
      </c>
      <c r="F28" s="575">
        <f t="shared" si="4"/>
        <v>26681.826236000001</v>
      </c>
      <c r="G28" s="575">
        <f t="shared" si="4"/>
        <v>25347.734924199998</v>
      </c>
      <c r="H28" s="575">
        <f t="shared" si="4"/>
        <v>24080.348177989996</v>
      </c>
      <c r="I28" s="575">
        <f t="shared" si="4"/>
        <v>22876.330769090495</v>
      </c>
    </row>
    <row r="29" spans="2:9" x14ac:dyDescent="0.25">
      <c r="B29" t="s">
        <v>1765</v>
      </c>
      <c r="E29" s="575">
        <f>$D16*(1-$D$26)</f>
        <v>7021.5332200000003</v>
      </c>
      <c r="F29" s="575">
        <f t="shared" si="4"/>
        <v>6670.4565590000002</v>
      </c>
      <c r="G29" s="575">
        <f t="shared" si="4"/>
        <v>6336.9337310499996</v>
      </c>
      <c r="H29" s="575">
        <f t="shared" si="4"/>
        <v>6020.0870444974989</v>
      </c>
      <c r="I29" s="575">
        <f t="shared" si="4"/>
        <v>5719.0826922726237</v>
      </c>
    </row>
    <row r="30" spans="2:9" x14ac:dyDescent="0.25">
      <c r="B30" s="1023" t="s">
        <v>1767</v>
      </c>
      <c r="C30" s="1023"/>
      <c r="D30" s="1023"/>
      <c r="E30" s="1021">
        <f>E26*$C$4+E27*$C$5+E28*$C$6+E29*$C$7</f>
        <v>2963781042.6585512</v>
      </c>
      <c r="F30" s="1021">
        <f>F26*$C$4+F27*$C$5+F28*$C$6+F29*$C$7</f>
        <v>2815591990.5256233</v>
      </c>
      <c r="G30" s="1021">
        <f>G26*$C$4+G27*$C$5+G28*$C$6+G29*$C$7</f>
        <v>2674812390.999342</v>
      </c>
      <c r="H30" s="1021">
        <f>H26*$C$4+H27*$C$5+H28*$C$6+H29*$C$7</f>
        <v>2541071771.4493747</v>
      </c>
      <c r="I30" s="1021">
        <f>I26*$C$4+I27*$C$5+I28*$C$6+I29*$C$7</f>
        <v>2414018182.8769059</v>
      </c>
    </row>
    <row r="31" spans="2:9" x14ac:dyDescent="0.25">
      <c r="C31" t="s">
        <v>1764</v>
      </c>
      <c r="E31" s="679">
        <f>E24-E30</f>
        <v>155988475.92939758</v>
      </c>
      <c r="F31" s="679">
        <f>F24-F30</f>
        <v>304177528.06232548</v>
      </c>
      <c r="G31" s="679">
        <f>G24-G30</f>
        <v>444957127.58860683</v>
      </c>
      <c r="H31" s="679">
        <f>H24-H30</f>
        <v>578697747.13857412</v>
      </c>
      <c r="I31" s="679">
        <f>I24-I30</f>
        <v>705751335.71104288</v>
      </c>
    </row>
    <row r="32" spans="2:9" x14ac:dyDescent="0.25">
      <c r="D32" s="1022">
        <v>0.1</v>
      </c>
    </row>
    <row r="33" spans="2:9" x14ac:dyDescent="0.25">
      <c r="B33" t="s">
        <v>1388</v>
      </c>
      <c r="E33" s="575">
        <f>$D13*(1-$D$32)</f>
        <v>332598.94200000004</v>
      </c>
      <c r="F33" s="575">
        <f t="shared" ref="F33:I36" si="5">E33*(1-$D$32)</f>
        <v>299339.04780000006</v>
      </c>
      <c r="G33" s="575">
        <f t="shared" si="5"/>
        <v>269405.14302000008</v>
      </c>
      <c r="H33" s="575">
        <f t="shared" si="5"/>
        <v>242464.62871800008</v>
      </c>
      <c r="I33" s="575">
        <f t="shared" si="5"/>
        <v>218218.16584620008</v>
      </c>
    </row>
    <row r="34" spans="2:9" x14ac:dyDescent="0.25">
      <c r="B34" t="s">
        <v>1362</v>
      </c>
      <c r="E34" s="575">
        <f>$D14*(1-$D$32)</f>
        <v>133039.57680000001</v>
      </c>
      <c r="F34" s="575">
        <f t="shared" si="5"/>
        <v>119735.61912000002</v>
      </c>
      <c r="G34" s="575">
        <f t="shared" si="5"/>
        <v>107762.05720800001</v>
      </c>
      <c r="H34" s="575">
        <f t="shared" si="5"/>
        <v>96985.851487200009</v>
      </c>
      <c r="I34" s="575">
        <f t="shared" si="5"/>
        <v>87287.266338480011</v>
      </c>
    </row>
    <row r="35" spans="2:9" x14ac:dyDescent="0.25">
      <c r="B35" t="s">
        <v>1766</v>
      </c>
      <c r="E35" s="575">
        <f>$D15*(1-$D$32)</f>
        <v>26607.915360000003</v>
      </c>
      <c r="F35" s="575">
        <f t="shared" si="5"/>
        <v>23947.123824000002</v>
      </c>
      <c r="G35" s="575">
        <f t="shared" si="5"/>
        <v>21552.411441600001</v>
      </c>
      <c r="H35" s="575">
        <f t="shared" si="5"/>
        <v>19397.170297440003</v>
      </c>
      <c r="I35" s="575">
        <f t="shared" si="5"/>
        <v>17457.453267696004</v>
      </c>
    </row>
    <row r="36" spans="2:9" x14ac:dyDescent="0.25">
      <c r="B36" t="s">
        <v>1765</v>
      </c>
      <c r="E36" s="575">
        <f>$D16*(1-$D$32)</f>
        <v>6651.9788400000007</v>
      </c>
      <c r="F36" s="575">
        <f t="shared" si="5"/>
        <v>5986.7809560000005</v>
      </c>
      <c r="G36" s="575">
        <f t="shared" si="5"/>
        <v>5388.1028604000003</v>
      </c>
      <c r="H36" s="575">
        <f t="shared" si="5"/>
        <v>4849.2925743600008</v>
      </c>
      <c r="I36" s="575">
        <f t="shared" si="5"/>
        <v>4364.3633169240011</v>
      </c>
    </row>
    <row r="37" spans="2:9" x14ac:dyDescent="0.25">
      <c r="E37" s="1021">
        <f>E33*$C$4+E34*$C$5+E35*$C$6+E36*$C$7</f>
        <v>2807792566.7291541</v>
      </c>
      <c r="F37" s="1021">
        <f>F33*$C$4+F34*$C$5+F35*$C$6+F36*$C$7</f>
        <v>2527013310.0562387</v>
      </c>
      <c r="G37" s="1021">
        <f>G33*$C$4+G34*$C$5+G35*$C$6+G36*$C$7</f>
        <v>2274311979.0506144</v>
      </c>
      <c r="H37" s="1021">
        <f>H33*$C$4+H34*$C$5+H35*$C$6+H36*$C$7</f>
        <v>2046880781.1455534</v>
      </c>
      <c r="I37" s="1021">
        <f>I33*$C$4+I34*$C$5+I35*$C$6+I36*$C$7</f>
        <v>1842192703.030998</v>
      </c>
    </row>
    <row r="38" spans="2:9" x14ac:dyDescent="0.25">
      <c r="C38" t="s">
        <v>1764</v>
      </c>
      <c r="E38" s="679">
        <f>E24-E37</f>
        <v>311976951.85879469</v>
      </c>
      <c r="F38" s="679">
        <f>F24-F37</f>
        <v>592756208.53171015</v>
      </c>
      <c r="G38" s="679">
        <f>G24-G37</f>
        <v>845457539.53733444</v>
      </c>
      <c r="H38" s="679">
        <f>H24-H37</f>
        <v>1072888737.4423954</v>
      </c>
      <c r="I38" s="679">
        <f>I24-I37</f>
        <v>1277576815.5569508</v>
      </c>
    </row>
    <row r="40" spans="2:9" x14ac:dyDescent="0.25">
      <c r="D40" s="1022">
        <v>0.15</v>
      </c>
    </row>
    <row r="41" spans="2:9" x14ac:dyDescent="0.25">
      <c r="B41" t="s">
        <v>1388</v>
      </c>
      <c r="E41" s="575">
        <f>$D13*(1-$D$40)</f>
        <v>314121.22300000006</v>
      </c>
      <c r="F41" s="575">
        <f t="shared" ref="F41:I44" si="6">E41*(1-$D$40)</f>
        <v>267003.03955000004</v>
      </c>
      <c r="G41" s="575">
        <f t="shared" si="6"/>
        <v>226952.58361750003</v>
      </c>
      <c r="H41" s="575">
        <f t="shared" si="6"/>
        <v>192909.69607487501</v>
      </c>
      <c r="I41" s="575">
        <f t="shared" si="6"/>
        <v>163973.24166364377</v>
      </c>
    </row>
    <row r="42" spans="2:9" x14ac:dyDescent="0.25">
      <c r="B42" t="s">
        <v>1362</v>
      </c>
      <c r="E42" s="575">
        <f>$D14*(1-$D$40)</f>
        <v>125648.4892</v>
      </c>
      <c r="F42" s="575">
        <f t="shared" si="6"/>
        <v>106801.21582</v>
      </c>
      <c r="G42" s="575">
        <f t="shared" si="6"/>
        <v>90781.033446999994</v>
      </c>
      <c r="H42" s="575">
        <f t="shared" si="6"/>
        <v>77163.878429949997</v>
      </c>
      <c r="I42" s="575">
        <f t="shared" si="6"/>
        <v>65589.296665457499</v>
      </c>
    </row>
    <row r="43" spans="2:9" x14ac:dyDescent="0.25">
      <c r="B43" t="s">
        <v>1766</v>
      </c>
      <c r="E43" s="575">
        <f>$D15*(1-$D$40)</f>
        <v>25129.697840000001</v>
      </c>
      <c r="F43" s="575">
        <f t="shared" si="6"/>
        <v>21360.243164</v>
      </c>
      <c r="G43" s="575">
        <f t="shared" si="6"/>
        <v>18156.206689399998</v>
      </c>
      <c r="H43" s="575">
        <f t="shared" si="6"/>
        <v>15432.775685989998</v>
      </c>
      <c r="I43" s="575">
        <f t="shared" si="6"/>
        <v>13117.859333091497</v>
      </c>
    </row>
    <row r="44" spans="2:9" x14ac:dyDescent="0.25">
      <c r="B44" t="s">
        <v>1765</v>
      </c>
      <c r="E44" s="575">
        <f>$D16*(1-$D$40)</f>
        <v>6282.4244600000002</v>
      </c>
      <c r="F44" s="575">
        <f t="shared" si="6"/>
        <v>5340.0607909999999</v>
      </c>
      <c r="G44" s="575">
        <f t="shared" si="6"/>
        <v>4539.0516723499995</v>
      </c>
      <c r="H44" s="575">
        <f t="shared" si="6"/>
        <v>3858.1939214974996</v>
      </c>
      <c r="I44" s="575">
        <f t="shared" si="6"/>
        <v>3279.4648332728743</v>
      </c>
    </row>
    <row r="45" spans="2:9" x14ac:dyDescent="0.25">
      <c r="E45" s="1021">
        <f>E41*$C$4+E42*$C$5+E43*$C$6+E44*$C$7</f>
        <v>2651804090.7997561</v>
      </c>
      <c r="F45" s="1021">
        <f>F41*$C$4+F42*$C$5+F43*$C$6+F44*$C$7</f>
        <v>2254033477.1797924</v>
      </c>
      <c r="G45" s="1021">
        <f>G41*$C$4+G42*$C$5+G43*$C$6+G44*$C$7</f>
        <v>1915928455.6028237</v>
      </c>
      <c r="H45" s="1021">
        <f>H41*$C$4+H42*$C$5+H43*$C$6+H44*$C$7</f>
        <v>1628539187.2624002</v>
      </c>
      <c r="I45" s="1021">
        <f>I41*$C$4+I42*$C$5+I43*$C$6+I44*$C$7</f>
        <v>1384258309.1730402</v>
      </c>
    </row>
    <row r="46" spans="2:9" x14ac:dyDescent="0.25">
      <c r="C46" t="s">
        <v>1764</v>
      </c>
      <c r="E46" s="679">
        <f>E24-E45</f>
        <v>467965427.78819275</v>
      </c>
      <c r="F46" s="679">
        <f>F24-F45</f>
        <v>865736041.40815639</v>
      </c>
      <c r="G46" s="679">
        <f>G24-G45</f>
        <v>1203841062.9851251</v>
      </c>
      <c r="H46" s="679">
        <f>H24-H45</f>
        <v>1491230331.3255486</v>
      </c>
      <c r="I46" s="679">
        <f>I24-I45</f>
        <v>1735511209.4149086</v>
      </c>
    </row>
    <row r="49" spans="2:9" x14ac:dyDescent="0.25">
      <c r="E49" s="1020">
        <f>E55</f>
        <v>0.7</v>
      </c>
      <c r="F49" s="1020">
        <f t="shared" ref="F49:I49" si="7">F55</f>
        <v>0.75</v>
      </c>
      <c r="G49" s="1020">
        <f t="shared" si="7"/>
        <v>0.8</v>
      </c>
      <c r="H49" s="1020">
        <f t="shared" si="7"/>
        <v>0.85000000000000009</v>
      </c>
      <c r="I49" s="1020">
        <f t="shared" si="7"/>
        <v>0.90000000000000013</v>
      </c>
    </row>
    <row r="50" spans="2:9" x14ac:dyDescent="0.25">
      <c r="D50" t="s">
        <v>1776</v>
      </c>
      <c r="E50" s="679">
        <f>E12-$D$12</f>
        <v>82771056.457107067</v>
      </c>
      <c r="F50" s="679">
        <f>F12-$D$12</f>
        <v>165542112.91421437</v>
      </c>
      <c r="G50" s="679">
        <f>G12-$D$12</f>
        <v>248313169.37132168</v>
      </c>
      <c r="H50" s="679">
        <f>H12-$D$12</f>
        <v>331084225.82842851</v>
      </c>
      <c r="I50" s="679">
        <f>I12-$D$12</f>
        <v>413855282.28553605</v>
      </c>
    </row>
    <row r="51" spans="2:9" x14ac:dyDescent="0.25">
      <c r="C51" s="269" t="s">
        <v>1763</v>
      </c>
      <c r="D51" s="1022" t="s">
        <v>1799</v>
      </c>
      <c r="E51" s="679">
        <f>E31</f>
        <v>155988475.92939758</v>
      </c>
      <c r="F51" s="679">
        <f>F31</f>
        <v>304177528.06232548</v>
      </c>
      <c r="G51" s="679">
        <f>G31</f>
        <v>444957127.58860683</v>
      </c>
      <c r="H51" s="679">
        <f>H31</f>
        <v>578697747.13857412</v>
      </c>
      <c r="I51" s="679">
        <f>I31</f>
        <v>705751335.71104288</v>
      </c>
    </row>
    <row r="52" spans="2:9" x14ac:dyDescent="0.25">
      <c r="C52" s="269"/>
      <c r="D52" s="1022" t="s">
        <v>1800</v>
      </c>
      <c r="E52" s="679">
        <f>E38</f>
        <v>311976951.85879469</v>
      </c>
      <c r="F52" s="679">
        <f>F38</f>
        <v>592756208.53171015</v>
      </c>
      <c r="G52" s="1019">
        <f>G38</f>
        <v>845457539.53733444</v>
      </c>
      <c r="H52" s="679">
        <f>H38</f>
        <v>1072888737.4423954</v>
      </c>
      <c r="I52" s="679">
        <f>I38</f>
        <v>1277576815.5569508</v>
      </c>
    </row>
    <row r="53" spans="2:9" x14ac:dyDescent="0.25">
      <c r="C53" s="269"/>
      <c r="D53" s="1022" t="s">
        <v>1801</v>
      </c>
      <c r="E53" s="679">
        <f>E46</f>
        <v>467965427.78819275</v>
      </c>
      <c r="F53" s="1019">
        <f>F46</f>
        <v>865736041.40815639</v>
      </c>
      <c r="G53" s="679">
        <f>G46</f>
        <v>1203841062.9851251</v>
      </c>
      <c r="H53" s="679">
        <f>H46</f>
        <v>1491230331.3255486</v>
      </c>
      <c r="I53" s="679">
        <f>I46</f>
        <v>1735511209.4149086</v>
      </c>
    </row>
    <row r="55" spans="2:9" x14ac:dyDescent="0.25">
      <c r="E55" s="1033">
        <f>E10</f>
        <v>0.7</v>
      </c>
      <c r="F55" s="1033">
        <f>F10</f>
        <v>0.75</v>
      </c>
      <c r="G55" s="1033">
        <f>G10</f>
        <v>0.8</v>
      </c>
      <c r="H55" s="1033">
        <f>H10</f>
        <v>0.85000000000000009</v>
      </c>
      <c r="I55" s="1033">
        <f>I10</f>
        <v>0.90000000000000013</v>
      </c>
    </row>
    <row r="56" spans="2:9" x14ac:dyDescent="0.25">
      <c r="B56" t="s">
        <v>1772</v>
      </c>
    </row>
    <row r="57" spans="2:9" x14ac:dyDescent="0.25">
      <c r="D57" t="s">
        <v>1797</v>
      </c>
      <c r="E57" s="679">
        <f>$E$24</f>
        <v>3119769518.5879488</v>
      </c>
      <c r="F57" s="679">
        <f t="shared" ref="F57:I57" si="8">$E$24</f>
        <v>3119769518.5879488</v>
      </c>
      <c r="G57" s="679">
        <f t="shared" si="8"/>
        <v>3119769518.5879488</v>
      </c>
      <c r="H57" s="679">
        <f t="shared" si="8"/>
        <v>3119769518.5879488</v>
      </c>
      <c r="I57" s="679">
        <f t="shared" si="8"/>
        <v>3119769518.5879488</v>
      </c>
    </row>
    <row r="58" spans="2:9" x14ac:dyDescent="0.25">
      <c r="C58" t="s">
        <v>1775</v>
      </c>
      <c r="D58" s="1022" t="s">
        <v>1799</v>
      </c>
      <c r="E58" s="679">
        <f>E30</f>
        <v>2963781042.6585512</v>
      </c>
      <c r="F58" s="679">
        <f>F30</f>
        <v>2815591990.5256233</v>
      </c>
      <c r="G58" s="679">
        <f>G30</f>
        <v>2674812390.999342</v>
      </c>
      <c r="H58" s="679">
        <f>H30</f>
        <v>2541071771.4493747</v>
      </c>
      <c r="I58" s="679">
        <f>I30</f>
        <v>2414018182.8769059</v>
      </c>
    </row>
    <row r="59" spans="2:9" x14ac:dyDescent="0.25">
      <c r="D59" s="1022" t="s">
        <v>1800</v>
      </c>
      <c r="E59" s="679">
        <f>E37</f>
        <v>2807792566.7291541</v>
      </c>
      <c r="F59" s="679">
        <f>F37</f>
        <v>2527013310.0562387</v>
      </c>
      <c r="G59" s="679">
        <f>G37</f>
        <v>2274311979.0506144</v>
      </c>
      <c r="H59" s="679">
        <f>H37</f>
        <v>2046880781.1455534</v>
      </c>
      <c r="I59" s="679">
        <f>I37</f>
        <v>1842192703.030998</v>
      </c>
    </row>
    <row r="60" spans="2:9" x14ac:dyDescent="0.25">
      <c r="D60" s="1022" t="s">
        <v>1801</v>
      </c>
      <c r="E60" s="679">
        <f>E45</f>
        <v>2651804090.7997561</v>
      </c>
      <c r="F60" s="679">
        <f>F45</f>
        <v>2254033477.1797924</v>
      </c>
      <c r="G60" s="679">
        <f>G45</f>
        <v>1915928455.6028237</v>
      </c>
      <c r="H60" s="679">
        <f>H45</f>
        <v>1628539187.2624002</v>
      </c>
      <c r="I60" s="679">
        <f>I45</f>
        <v>1384258309.1730402</v>
      </c>
    </row>
    <row r="61" spans="2:9" x14ac:dyDescent="0.25">
      <c r="D61" s="1030" t="s">
        <v>1773</v>
      </c>
      <c r="E61" s="679">
        <f>$D$12</f>
        <v>1076023733.9423931</v>
      </c>
      <c r="F61" s="679">
        <f t="shared" ref="F61:I61" si="9">$D$12</f>
        <v>1076023733.9423931</v>
      </c>
      <c r="G61" s="679">
        <f t="shared" si="9"/>
        <v>1076023733.9423931</v>
      </c>
      <c r="H61" s="679">
        <f t="shared" si="9"/>
        <v>1076023733.9423931</v>
      </c>
      <c r="I61" s="679">
        <f t="shared" si="9"/>
        <v>1076023733.9423931</v>
      </c>
    </row>
    <row r="62" spans="2:9" x14ac:dyDescent="0.25">
      <c r="D62" t="s">
        <v>1798</v>
      </c>
      <c r="E62" s="679">
        <f>E12</f>
        <v>1158794790.3995001</v>
      </c>
      <c r="F62" s="679">
        <f>F12</f>
        <v>1241565846.8566074</v>
      </c>
      <c r="G62" s="679">
        <f>G12</f>
        <v>1324336903.3137147</v>
      </c>
      <c r="H62" s="679">
        <f>H12</f>
        <v>1407107959.7708216</v>
      </c>
      <c r="I62" s="679">
        <f>I12</f>
        <v>1489879016.2279291</v>
      </c>
    </row>
  </sheetData>
  <pageMargins left="0.7" right="0.7" top="0.75" bottom="0.75" header="0.3" footer="0.3"/>
  <pageSetup paperSize="9" orientation="portrait" horizontalDpi="0" verticalDpi="0"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3:T137"/>
  <sheetViews>
    <sheetView showGridLines="0" topLeftCell="A133" zoomScaleNormal="100" workbookViewId="0">
      <selection activeCell="G158" sqref="G158"/>
    </sheetView>
  </sheetViews>
  <sheetFormatPr defaultRowHeight="15" x14ac:dyDescent="0.25"/>
  <cols>
    <col min="2" max="2" width="33.28515625" bestFit="1" customWidth="1"/>
    <col min="3" max="3" width="25.140625" bestFit="1" customWidth="1"/>
    <col min="4" max="4" width="18.85546875" customWidth="1"/>
    <col min="5" max="5" width="18.7109375" bestFit="1" customWidth="1"/>
    <col min="6" max="6" width="15.85546875" bestFit="1" customWidth="1"/>
    <col min="7" max="7" width="18" bestFit="1" customWidth="1"/>
    <col min="8" max="8" width="20.42578125" bestFit="1" customWidth="1"/>
    <col min="9" max="9" width="22.5703125" bestFit="1" customWidth="1"/>
    <col min="10" max="10" width="15.85546875" bestFit="1" customWidth="1"/>
    <col min="11" max="11" width="49.5703125" bestFit="1" customWidth="1"/>
    <col min="12" max="13" width="12.28515625" bestFit="1" customWidth="1"/>
    <col min="15" max="15" width="12.28515625" bestFit="1" customWidth="1"/>
  </cols>
  <sheetData>
    <row r="3" spans="2:20" x14ac:dyDescent="0.25">
      <c r="B3" t="s">
        <v>669</v>
      </c>
      <c r="C3" s="1076">
        <v>291.16790171513946</v>
      </c>
    </row>
    <row r="4" spans="2:20" x14ac:dyDescent="0.25">
      <c r="B4" t="s">
        <v>1144</v>
      </c>
      <c r="C4" s="1076">
        <v>1384.9586193488369</v>
      </c>
    </row>
    <row r="5" spans="2:20" x14ac:dyDescent="0.25">
      <c r="B5" t="s">
        <v>1104</v>
      </c>
      <c r="C5" s="1076">
        <v>11612.815427932816</v>
      </c>
      <c r="D5" s="1028"/>
      <c r="E5" s="679"/>
      <c r="F5" s="575"/>
      <c r="G5" s="679"/>
    </row>
    <row r="6" spans="2:20" x14ac:dyDescent="0.25">
      <c r="B6" t="s">
        <v>1241</v>
      </c>
      <c r="C6" s="1076">
        <v>13692.183601484141</v>
      </c>
      <c r="D6" s="1028"/>
      <c r="E6" s="679"/>
      <c r="F6" s="575"/>
      <c r="G6" s="679"/>
      <c r="K6" t="s">
        <v>1505</v>
      </c>
    </row>
    <row r="7" spans="2:20" x14ac:dyDescent="0.25">
      <c r="B7" t="s">
        <v>1389</v>
      </c>
      <c r="C7" s="1076">
        <v>65825.868271912143</v>
      </c>
      <c r="D7" s="1028"/>
      <c r="E7" s="679"/>
      <c r="F7" s="575"/>
      <c r="G7" s="679"/>
      <c r="K7" s="1056"/>
      <c r="L7" s="1057" t="s">
        <v>1781</v>
      </c>
      <c r="M7" s="1057" t="s">
        <v>1782</v>
      </c>
    </row>
    <row r="8" spans="2:20" x14ac:dyDescent="0.25">
      <c r="C8" s="1028"/>
      <c r="D8" s="1028"/>
      <c r="E8" s="1028"/>
      <c r="F8" s="1028"/>
      <c r="G8" s="679"/>
      <c r="K8" s="1058" t="s">
        <v>1777</v>
      </c>
      <c r="L8" s="1061"/>
      <c r="M8" s="1062">
        <f>C10</f>
        <v>5685452</v>
      </c>
    </row>
    <row r="9" spans="2:20" x14ac:dyDescent="0.25">
      <c r="B9" s="1052" t="s">
        <v>1789</v>
      </c>
      <c r="C9" s="1028"/>
      <c r="D9" s="1025"/>
      <c r="E9" s="1025"/>
      <c r="F9" s="1025"/>
      <c r="G9" s="679"/>
      <c r="K9" s="1059" t="s">
        <v>1783</v>
      </c>
      <c r="L9" s="1063">
        <v>0.6</v>
      </c>
      <c r="M9" s="1064">
        <f>L9*$M$8</f>
        <v>3411271.1999999997</v>
      </c>
      <c r="O9" s="1020">
        <f>D10</f>
        <v>0.65</v>
      </c>
      <c r="P9" s="1020">
        <f t="shared" ref="P9:T9" si="0">E10</f>
        <v>0.7</v>
      </c>
      <c r="Q9" s="1020">
        <f t="shared" si="0"/>
        <v>0.75</v>
      </c>
      <c r="R9" s="1020">
        <f t="shared" si="0"/>
        <v>0.8</v>
      </c>
      <c r="S9" s="1020">
        <f t="shared" si="0"/>
        <v>0.85000000000000009</v>
      </c>
      <c r="T9" s="1020">
        <f t="shared" si="0"/>
        <v>0.90000000000000013</v>
      </c>
    </row>
    <row r="10" spans="2:20" x14ac:dyDescent="0.25">
      <c r="B10" s="1035" t="s">
        <v>1787</v>
      </c>
      <c r="C10" s="1036">
        <f>'H&amp;S Demand'!B13</f>
        <v>5685452</v>
      </c>
      <c r="D10" s="1037">
        <v>0.65</v>
      </c>
      <c r="E10" s="1038">
        <v>0.7</v>
      </c>
      <c r="F10" s="1039">
        <f>E10+5%</f>
        <v>0.75</v>
      </c>
      <c r="G10" s="1039">
        <f>F10+5%</f>
        <v>0.8</v>
      </c>
      <c r="H10" s="1039">
        <f>G10+5%</f>
        <v>0.85000000000000009</v>
      </c>
      <c r="I10" s="1040">
        <f>H10+5%</f>
        <v>0.90000000000000013</v>
      </c>
      <c r="K10" s="5" t="s">
        <v>1778</v>
      </c>
      <c r="L10" s="1065"/>
      <c r="M10" s="1066"/>
      <c r="O10" s="503">
        <f>O9*$M$8</f>
        <v>3695543.8000000003</v>
      </c>
      <c r="P10" s="503">
        <f t="shared" ref="P10:T10" si="1">P9*$M$8</f>
        <v>3979816.4</v>
      </c>
      <c r="Q10" s="503">
        <f t="shared" si="1"/>
        <v>4264089</v>
      </c>
      <c r="R10" s="503">
        <f t="shared" si="1"/>
        <v>4548361.6000000006</v>
      </c>
      <c r="S10" s="503">
        <f t="shared" si="1"/>
        <v>4832634.2</v>
      </c>
      <c r="T10" s="503">
        <f t="shared" si="1"/>
        <v>5116906.8000000007</v>
      </c>
    </row>
    <row r="11" spans="2:20" x14ac:dyDescent="0.25">
      <c r="B11" s="1041" t="s">
        <v>1788</v>
      </c>
      <c r="C11" s="74"/>
      <c r="D11" s="1042">
        <f>D10*$C$10</f>
        <v>3695543.8000000003</v>
      </c>
      <c r="E11" s="1042">
        <f t="shared" ref="E11:I11" si="2">E10*$C$10</f>
        <v>3979816.4</v>
      </c>
      <c r="F11" s="1042">
        <f t="shared" si="2"/>
        <v>4264089</v>
      </c>
      <c r="G11" s="1042">
        <f t="shared" si="2"/>
        <v>4548361.6000000006</v>
      </c>
      <c r="H11" s="1042">
        <f t="shared" si="2"/>
        <v>4832634.2</v>
      </c>
      <c r="I11" s="1043">
        <f t="shared" si="2"/>
        <v>5116906.8000000007</v>
      </c>
      <c r="K11" s="1055" t="str">
        <f>A38</f>
        <v>Growth Faltering</v>
      </c>
      <c r="L11" s="1067">
        <f>B38</f>
        <v>0.1</v>
      </c>
      <c r="M11" s="1066">
        <f>L11*$M$9</f>
        <v>341127.12</v>
      </c>
      <c r="O11" s="503">
        <f>$L11*O$10</f>
        <v>369554.38000000006</v>
      </c>
      <c r="P11" s="503">
        <f t="shared" ref="P11:T11" si="3">$L11*P$10</f>
        <v>397981.64</v>
      </c>
      <c r="Q11" s="503">
        <f t="shared" si="3"/>
        <v>426408.9</v>
      </c>
      <c r="R11" s="503">
        <f t="shared" si="3"/>
        <v>454836.16000000009</v>
      </c>
      <c r="S11" s="503">
        <f t="shared" si="3"/>
        <v>483263.42000000004</v>
      </c>
      <c r="T11" s="503">
        <f t="shared" si="3"/>
        <v>511690.68000000011</v>
      </c>
    </row>
    <row r="12" spans="2:20" x14ac:dyDescent="0.25">
      <c r="B12" s="1041" t="s">
        <v>1388</v>
      </c>
      <c r="C12" s="1044">
        <v>0.1</v>
      </c>
      <c r="D12" s="1045">
        <f>D$11*$C12</f>
        <v>369554.38000000006</v>
      </c>
      <c r="E12" s="1045">
        <f t="shared" ref="E12:I12" si="4">E$11*$C12</f>
        <v>397981.64</v>
      </c>
      <c r="F12" s="1045">
        <f t="shared" si="4"/>
        <v>426408.9</v>
      </c>
      <c r="G12" s="1045">
        <f t="shared" si="4"/>
        <v>454836.16000000009</v>
      </c>
      <c r="H12" s="1045">
        <f t="shared" si="4"/>
        <v>483263.42000000004</v>
      </c>
      <c r="I12" s="1046">
        <f t="shared" si="4"/>
        <v>511690.68000000011</v>
      </c>
      <c r="K12" s="1055" t="s">
        <v>1104</v>
      </c>
      <c r="L12" s="1067">
        <f>B39</f>
        <v>0.04</v>
      </c>
      <c r="M12" s="1066">
        <f t="shared" ref="M12:M14" si="5">L12*$M$9</f>
        <v>136450.848</v>
      </c>
      <c r="O12" s="503">
        <f t="shared" ref="O12:T14" si="6">$L12*O$10</f>
        <v>147821.75200000001</v>
      </c>
      <c r="P12" s="503">
        <f t="shared" si="6"/>
        <v>159192.65599999999</v>
      </c>
      <c r="Q12" s="503">
        <f t="shared" si="6"/>
        <v>170563.56</v>
      </c>
      <c r="R12" s="503">
        <f t="shared" si="6"/>
        <v>181934.46400000004</v>
      </c>
      <c r="S12" s="503">
        <f t="shared" si="6"/>
        <v>193305.36800000002</v>
      </c>
      <c r="T12" s="503">
        <f t="shared" si="6"/>
        <v>204676.27200000003</v>
      </c>
    </row>
    <row r="13" spans="2:20" x14ac:dyDescent="0.25">
      <c r="B13" s="1041" t="s">
        <v>1362</v>
      </c>
      <c r="C13" s="1044">
        <v>0.04</v>
      </c>
      <c r="D13" s="1045">
        <f t="shared" ref="D13:I15" si="7">D$11*$C13</f>
        <v>147821.75200000001</v>
      </c>
      <c r="E13" s="1045">
        <f t="shared" si="7"/>
        <v>159192.65599999999</v>
      </c>
      <c r="F13" s="1045">
        <f t="shared" si="7"/>
        <v>170563.56</v>
      </c>
      <c r="G13" s="1045">
        <f t="shared" si="7"/>
        <v>181934.46400000004</v>
      </c>
      <c r="H13" s="1045">
        <f t="shared" si="7"/>
        <v>193305.36800000002</v>
      </c>
      <c r="I13" s="1046">
        <f t="shared" si="7"/>
        <v>204676.27200000003</v>
      </c>
      <c r="K13" s="1055" t="s">
        <v>1779</v>
      </c>
      <c r="L13" s="1067">
        <f>B40</f>
        <v>8.0000000000000002E-3</v>
      </c>
      <c r="M13" s="1066">
        <f t="shared" si="5"/>
        <v>27290.169599999997</v>
      </c>
      <c r="O13" s="503">
        <f t="shared" si="6"/>
        <v>29564.350400000003</v>
      </c>
      <c r="P13" s="503">
        <f t="shared" si="6"/>
        <v>31838.531200000001</v>
      </c>
      <c r="Q13" s="503">
        <f t="shared" si="6"/>
        <v>34112.712</v>
      </c>
      <c r="R13" s="503">
        <f t="shared" si="6"/>
        <v>36386.892800000009</v>
      </c>
      <c r="S13" s="503">
        <f t="shared" si="6"/>
        <v>38661.073600000003</v>
      </c>
      <c r="T13" s="503">
        <f t="shared" si="6"/>
        <v>40935.254400000005</v>
      </c>
    </row>
    <row r="14" spans="2:20" x14ac:dyDescent="0.25">
      <c r="B14" s="1041" t="s">
        <v>1766</v>
      </c>
      <c r="C14" s="1047">
        <v>8.0000000000000002E-3</v>
      </c>
      <c r="D14" s="1045">
        <f t="shared" si="7"/>
        <v>29564.350400000003</v>
      </c>
      <c r="E14" s="1045">
        <f t="shared" si="7"/>
        <v>31838.531200000001</v>
      </c>
      <c r="F14" s="1045">
        <f t="shared" si="7"/>
        <v>34112.712</v>
      </c>
      <c r="G14" s="1045">
        <f t="shared" si="7"/>
        <v>36386.892800000009</v>
      </c>
      <c r="H14" s="1045">
        <f t="shared" si="7"/>
        <v>38661.073600000003</v>
      </c>
      <c r="I14" s="1046">
        <f t="shared" si="7"/>
        <v>40935.254400000005</v>
      </c>
      <c r="K14" s="1060" t="s">
        <v>1780</v>
      </c>
      <c r="L14" s="1068">
        <f>B41</f>
        <v>2E-3</v>
      </c>
      <c r="M14" s="1069">
        <f t="shared" si="5"/>
        <v>6822.5423999999994</v>
      </c>
      <c r="O14" s="503">
        <f t="shared" si="6"/>
        <v>7391.0876000000007</v>
      </c>
      <c r="P14" s="503">
        <f t="shared" si="6"/>
        <v>7959.6328000000003</v>
      </c>
      <c r="Q14" s="503">
        <f t="shared" si="6"/>
        <v>8528.1779999999999</v>
      </c>
      <c r="R14" s="503">
        <f t="shared" si="6"/>
        <v>9096.7232000000022</v>
      </c>
      <c r="S14" s="503">
        <f t="shared" si="6"/>
        <v>9665.2684000000008</v>
      </c>
      <c r="T14" s="503">
        <f t="shared" si="6"/>
        <v>10233.813600000001</v>
      </c>
    </row>
    <row r="15" spans="2:20" x14ac:dyDescent="0.25">
      <c r="B15" s="1048" t="s">
        <v>1765</v>
      </c>
      <c r="C15" s="1049">
        <v>2E-3</v>
      </c>
      <c r="D15" s="1050">
        <f t="shared" si="7"/>
        <v>7391.0876000000007</v>
      </c>
      <c r="E15" s="1050">
        <f t="shared" si="7"/>
        <v>7959.6328000000003</v>
      </c>
      <c r="F15" s="1050">
        <f t="shared" si="7"/>
        <v>8528.1779999999999</v>
      </c>
      <c r="G15" s="1050">
        <f t="shared" si="7"/>
        <v>9096.7232000000022</v>
      </c>
      <c r="H15" s="1050">
        <f t="shared" si="7"/>
        <v>9665.2684000000008</v>
      </c>
      <c r="I15" s="1051">
        <f t="shared" si="7"/>
        <v>10233.813600000001</v>
      </c>
    </row>
    <row r="16" spans="2:20" x14ac:dyDescent="0.25">
      <c r="B16" s="74"/>
      <c r="C16" s="1047"/>
      <c r="D16" s="1045"/>
      <c r="E16" s="1045"/>
      <c r="F16" s="1045"/>
      <c r="G16" s="1045"/>
      <c r="H16" s="1045"/>
      <c r="I16" s="1045"/>
    </row>
    <row r="17" spans="2:9" x14ac:dyDescent="0.25">
      <c r="B17" s="1070" t="s">
        <v>1790</v>
      </c>
      <c r="C17" s="1071">
        <v>0.05</v>
      </c>
      <c r="D17" s="1072"/>
      <c r="E17" s="1072"/>
      <c r="F17" s="1072"/>
      <c r="G17" s="1072"/>
      <c r="H17" s="1072"/>
      <c r="I17" s="1073"/>
    </row>
    <row r="18" spans="2:9" x14ac:dyDescent="0.25">
      <c r="B18" s="1041" t="s">
        <v>1388</v>
      </c>
      <c r="C18" s="1047"/>
      <c r="D18" s="1045">
        <f>O11*(1-$C$17)</f>
        <v>351076.66100000002</v>
      </c>
      <c r="E18" s="1045">
        <f t="shared" ref="E18:I21" si="8">P11*(1-$C$17)</f>
        <v>378082.55800000002</v>
      </c>
      <c r="F18" s="1045">
        <f t="shared" si="8"/>
        <v>405088.45500000002</v>
      </c>
      <c r="G18" s="1045">
        <f t="shared" si="8"/>
        <v>432094.35200000007</v>
      </c>
      <c r="H18" s="1045">
        <f t="shared" si="8"/>
        <v>459100.24900000001</v>
      </c>
      <c r="I18" s="1045">
        <f t="shared" si="8"/>
        <v>486106.14600000007</v>
      </c>
    </row>
    <row r="19" spans="2:9" x14ac:dyDescent="0.25">
      <c r="B19" s="1041" t="s">
        <v>1362</v>
      </c>
      <c r="C19" s="1047"/>
      <c r="D19" s="1045">
        <f t="shared" ref="D19:D21" si="9">O12*(1-$C$17)</f>
        <v>140430.66440000001</v>
      </c>
      <c r="E19" s="1045">
        <f t="shared" si="8"/>
        <v>151233.0232</v>
      </c>
      <c r="F19" s="1045">
        <f t="shared" si="8"/>
        <v>162035.38199999998</v>
      </c>
      <c r="G19" s="1045">
        <f t="shared" si="8"/>
        <v>172837.74080000003</v>
      </c>
      <c r="H19" s="1045">
        <f t="shared" si="8"/>
        <v>183640.09960000002</v>
      </c>
      <c r="I19" s="1045">
        <f t="shared" si="8"/>
        <v>194442.4584</v>
      </c>
    </row>
    <row r="20" spans="2:9" x14ac:dyDescent="0.25">
      <c r="B20" s="1041" t="s">
        <v>1766</v>
      </c>
      <c r="C20" s="1047"/>
      <c r="D20" s="1045">
        <f t="shared" si="9"/>
        <v>28086.132880000001</v>
      </c>
      <c r="E20" s="1045">
        <f t="shared" si="8"/>
        <v>30246.604640000001</v>
      </c>
      <c r="F20" s="1045">
        <f t="shared" si="8"/>
        <v>32407.076399999998</v>
      </c>
      <c r="G20" s="1045">
        <f t="shared" si="8"/>
        <v>34567.548160000006</v>
      </c>
      <c r="H20" s="1045">
        <f t="shared" si="8"/>
        <v>36728.019919999999</v>
      </c>
      <c r="I20" s="1045">
        <f t="shared" si="8"/>
        <v>38888.491680000006</v>
      </c>
    </row>
    <row r="21" spans="2:9" x14ac:dyDescent="0.25">
      <c r="B21" s="1048" t="s">
        <v>1765</v>
      </c>
      <c r="C21" s="1049"/>
      <c r="D21" s="1045">
        <f t="shared" si="9"/>
        <v>7021.5332200000003</v>
      </c>
      <c r="E21" s="1045">
        <f t="shared" si="8"/>
        <v>7561.6511600000003</v>
      </c>
      <c r="F21" s="1045">
        <f t="shared" si="8"/>
        <v>8101.7690999999995</v>
      </c>
      <c r="G21" s="1045">
        <f t="shared" si="8"/>
        <v>8641.8870400000014</v>
      </c>
      <c r="H21" s="1045">
        <f t="shared" si="8"/>
        <v>9182.0049799999997</v>
      </c>
      <c r="I21" s="1045">
        <f t="shared" si="8"/>
        <v>9722.1229200000016</v>
      </c>
    </row>
    <row r="22" spans="2:9" x14ac:dyDescent="0.25">
      <c r="B22" s="74"/>
      <c r="C22" s="1047"/>
      <c r="D22" s="1045"/>
      <c r="E22" s="1045"/>
      <c r="F22" s="1045"/>
      <c r="G22" s="1045"/>
      <c r="H22" s="1045"/>
      <c r="I22" s="1045"/>
    </row>
    <row r="23" spans="2:9" x14ac:dyDescent="0.25">
      <c r="B23" s="1070" t="s">
        <v>1790</v>
      </c>
      <c r="C23" s="1071">
        <v>0.1</v>
      </c>
      <c r="D23" s="1072"/>
      <c r="E23" s="1072"/>
      <c r="F23" s="1072"/>
      <c r="G23" s="1072"/>
      <c r="H23" s="1072"/>
      <c r="I23" s="1073"/>
    </row>
    <row r="24" spans="2:9" x14ac:dyDescent="0.25">
      <c r="B24" s="1041" t="s">
        <v>1388</v>
      </c>
      <c r="C24" s="1047"/>
      <c r="D24" s="1045">
        <f>O11*(1-$C$23)</f>
        <v>332598.94200000004</v>
      </c>
      <c r="E24" s="1045">
        <f t="shared" ref="E24:I27" si="10">P11*(1-$C$23)</f>
        <v>358183.47600000002</v>
      </c>
      <c r="F24" s="1045">
        <f t="shared" si="10"/>
        <v>383768.01</v>
      </c>
      <c r="G24" s="1045">
        <f t="shared" si="10"/>
        <v>409352.54400000011</v>
      </c>
      <c r="H24" s="1045">
        <f t="shared" si="10"/>
        <v>434937.07800000004</v>
      </c>
      <c r="I24" s="1045">
        <f>T11*(1-$C$23)</f>
        <v>460521.61200000008</v>
      </c>
    </row>
    <row r="25" spans="2:9" x14ac:dyDescent="0.25">
      <c r="B25" s="1041" t="s">
        <v>1362</v>
      </c>
      <c r="C25" s="1047"/>
      <c r="D25" s="1045">
        <f t="shared" ref="D25:D27" si="11">O12*(1-$C$23)</f>
        <v>133039.57680000001</v>
      </c>
      <c r="E25" s="1045">
        <f t="shared" si="10"/>
        <v>143273.3904</v>
      </c>
      <c r="F25" s="1045">
        <f t="shared" si="10"/>
        <v>153507.204</v>
      </c>
      <c r="G25" s="1045">
        <f t="shared" si="10"/>
        <v>163741.01760000005</v>
      </c>
      <c r="H25" s="1045">
        <f t="shared" si="10"/>
        <v>173974.83120000002</v>
      </c>
      <c r="I25" s="1045">
        <f t="shared" si="10"/>
        <v>184208.64480000004</v>
      </c>
    </row>
    <row r="26" spans="2:9" x14ac:dyDescent="0.25">
      <c r="B26" s="1041" t="s">
        <v>1766</v>
      </c>
      <c r="C26" s="1047"/>
      <c r="D26" s="1045">
        <f t="shared" si="11"/>
        <v>26607.915360000003</v>
      </c>
      <c r="E26" s="1045">
        <f t="shared" si="10"/>
        <v>28654.678080000002</v>
      </c>
      <c r="F26" s="1045">
        <f t="shared" si="10"/>
        <v>30701.4408</v>
      </c>
      <c r="G26" s="1045">
        <f t="shared" si="10"/>
        <v>32748.20352000001</v>
      </c>
      <c r="H26" s="1045">
        <f t="shared" si="10"/>
        <v>34794.966240000002</v>
      </c>
      <c r="I26" s="1045">
        <f t="shared" si="10"/>
        <v>36841.728960000008</v>
      </c>
    </row>
    <row r="27" spans="2:9" x14ac:dyDescent="0.25">
      <c r="B27" s="1048" t="s">
        <v>1765</v>
      </c>
      <c r="C27" s="1049"/>
      <c r="D27" s="1045">
        <f t="shared" si="11"/>
        <v>6651.9788400000007</v>
      </c>
      <c r="E27" s="1045">
        <f t="shared" si="10"/>
        <v>7163.6695200000004</v>
      </c>
      <c r="F27" s="1045">
        <f t="shared" si="10"/>
        <v>7675.3602000000001</v>
      </c>
      <c r="G27" s="1045">
        <f t="shared" si="10"/>
        <v>8187.0508800000025</v>
      </c>
      <c r="H27" s="1045">
        <f t="shared" si="10"/>
        <v>8698.7415600000004</v>
      </c>
      <c r="I27" s="1045">
        <f t="shared" si="10"/>
        <v>9210.4322400000019</v>
      </c>
    </row>
    <row r="28" spans="2:9" x14ac:dyDescent="0.25">
      <c r="B28" s="74"/>
      <c r="C28" s="1047"/>
      <c r="D28" s="1045"/>
      <c r="E28" s="1045"/>
      <c r="F28" s="1045"/>
      <c r="G28" s="1045"/>
      <c r="H28" s="1045"/>
      <c r="I28" s="1045"/>
    </row>
    <row r="29" spans="2:9" x14ac:dyDescent="0.25">
      <c r="B29" s="1070" t="s">
        <v>1790</v>
      </c>
      <c r="C29" s="1071">
        <v>0.15</v>
      </c>
      <c r="D29" s="1072"/>
      <c r="E29" s="1072"/>
      <c r="F29" s="1072"/>
      <c r="G29" s="1072"/>
      <c r="H29" s="1072"/>
      <c r="I29" s="1073"/>
    </row>
    <row r="30" spans="2:9" x14ac:dyDescent="0.25">
      <c r="B30" s="1041" t="s">
        <v>1388</v>
      </c>
      <c r="C30" s="1047"/>
      <c r="D30" s="1045">
        <f>O11*(1-$C$29)</f>
        <v>314121.22300000006</v>
      </c>
      <c r="E30" s="1045">
        <f t="shared" ref="E30:I33" si="12">P11*(1-$C$29)</f>
        <v>338284.39400000003</v>
      </c>
      <c r="F30" s="1045">
        <f t="shared" si="12"/>
        <v>362447.565</v>
      </c>
      <c r="G30" s="1045">
        <f t="shared" si="12"/>
        <v>386610.73600000009</v>
      </c>
      <c r="H30" s="1045">
        <f t="shared" si="12"/>
        <v>410773.90700000001</v>
      </c>
      <c r="I30" s="1045">
        <f t="shared" si="12"/>
        <v>434937.0780000001</v>
      </c>
    </row>
    <row r="31" spans="2:9" x14ac:dyDescent="0.25">
      <c r="B31" s="1041" t="s">
        <v>1362</v>
      </c>
      <c r="C31" s="1047"/>
      <c r="D31" s="1045">
        <f t="shared" ref="D31:D33" si="13">O12*(1-$C$29)</f>
        <v>125648.4892</v>
      </c>
      <c r="E31" s="1045">
        <f t="shared" si="12"/>
        <v>135313.75759999998</v>
      </c>
      <c r="F31" s="1045">
        <f t="shared" si="12"/>
        <v>144979.02599999998</v>
      </c>
      <c r="G31" s="1045">
        <f t="shared" si="12"/>
        <v>154644.29440000001</v>
      </c>
      <c r="H31" s="1045">
        <f t="shared" si="12"/>
        <v>164309.56280000001</v>
      </c>
      <c r="I31" s="1045">
        <f t="shared" si="12"/>
        <v>173974.83120000002</v>
      </c>
    </row>
    <row r="32" spans="2:9" x14ac:dyDescent="0.25">
      <c r="B32" s="1041" t="s">
        <v>1766</v>
      </c>
      <c r="C32" s="1047"/>
      <c r="D32" s="1045">
        <f t="shared" si="13"/>
        <v>25129.697840000001</v>
      </c>
      <c r="E32" s="1045">
        <f t="shared" si="12"/>
        <v>27062.751520000002</v>
      </c>
      <c r="F32" s="1045">
        <f t="shared" si="12"/>
        <v>28995.805199999999</v>
      </c>
      <c r="G32" s="1045">
        <f t="shared" si="12"/>
        <v>30928.858880000007</v>
      </c>
      <c r="H32" s="1045">
        <f t="shared" si="12"/>
        <v>32861.912560000004</v>
      </c>
      <c r="I32" s="1045">
        <f t="shared" si="12"/>
        <v>34794.966240000002</v>
      </c>
    </row>
    <row r="33" spans="1:9" x14ac:dyDescent="0.25">
      <c r="B33" s="1048" t="s">
        <v>1765</v>
      </c>
      <c r="C33" s="1049"/>
      <c r="D33" s="1045">
        <f t="shared" si="13"/>
        <v>6282.4244600000002</v>
      </c>
      <c r="E33" s="1045">
        <f t="shared" si="12"/>
        <v>6765.6878800000004</v>
      </c>
      <c r="F33" s="1045">
        <f t="shared" si="12"/>
        <v>7248.9512999999997</v>
      </c>
      <c r="G33" s="1045">
        <f t="shared" si="12"/>
        <v>7732.2147200000018</v>
      </c>
      <c r="H33" s="1045">
        <f t="shared" si="12"/>
        <v>8215.4781400000011</v>
      </c>
      <c r="I33" s="1045">
        <f t="shared" si="12"/>
        <v>8698.7415600000004</v>
      </c>
    </row>
    <row r="35" spans="1:9" x14ac:dyDescent="0.25">
      <c r="B35" s="495" t="s">
        <v>1505</v>
      </c>
      <c r="C35" s="1053">
        <v>0.6</v>
      </c>
      <c r="D35" s="1054">
        <f>C35*C10</f>
        <v>3411271.1999999997</v>
      </c>
      <c r="E35" s="575"/>
      <c r="F35" s="575"/>
      <c r="G35" s="575"/>
      <c r="H35" s="575"/>
      <c r="I35" s="575"/>
    </row>
    <row r="36" spans="1:9" x14ac:dyDescent="0.25">
      <c r="D36" s="1020">
        <f>D10</f>
        <v>0.65</v>
      </c>
      <c r="E36" s="1020">
        <f t="shared" ref="E36:I36" si="14">E10</f>
        <v>0.7</v>
      </c>
      <c r="F36" s="1020">
        <f t="shared" si="14"/>
        <v>0.75</v>
      </c>
      <c r="G36" s="1020">
        <f t="shared" si="14"/>
        <v>0.8</v>
      </c>
      <c r="H36" s="1020">
        <f t="shared" si="14"/>
        <v>0.85000000000000009</v>
      </c>
      <c r="I36" s="1020">
        <f t="shared" si="14"/>
        <v>0.90000000000000013</v>
      </c>
    </row>
    <row r="37" spans="1:9" x14ac:dyDescent="0.25">
      <c r="B37" s="1009" t="s">
        <v>1791</v>
      </c>
      <c r="C37" s="1032">
        <f>C35*$C$10*$C$3</f>
        <v>993252677.48528576</v>
      </c>
      <c r="D37" s="1032">
        <f>D36*$C$10*$C$3</f>
        <v>1076023733.9423931</v>
      </c>
      <c r="E37" s="1032">
        <f t="shared" ref="E37:I37" si="15">E36*$C$10*$C$3</f>
        <v>1158794790.3995001</v>
      </c>
      <c r="F37" s="1032">
        <f t="shared" si="15"/>
        <v>1241565846.8566074</v>
      </c>
      <c r="G37" s="1032">
        <f t="shared" si="15"/>
        <v>1324336903.3137147</v>
      </c>
      <c r="H37" s="1032">
        <f t="shared" si="15"/>
        <v>1407107959.7708216</v>
      </c>
      <c r="I37" s="1032">
        <f t="shared" si="15"/>
        <v>1489879016.2279291</v>
      </c>
    </row>
    <row r="38" spans="1:9" x14ac:dyDescent="0.25">
      <c r="A38" t="s">
        <v>1388</v>
      </c>
      <c r="B38" s="1025">
        <v>0.1</v>
      </c>
      <c r="D38" s="503">
        <f>O11*$C4</f>
        <v>511817523.8991155</v>
      </c>
      <c r="E38" s="503">
        <f t="shared" ref="E38:I41" si="16">P11*$C4</f>
        <v>551188102.66058588</v>
      </c>
      <c r="F38" s="503">
        <f t="shared" si="16"/>
        <v>590558681.42205632</v>
      </c>
      <c r="G38" s="503">
        <f t="shared" si="16"/>
        <v>629929260.18352675</v>
      </c>
      <c r="H38" s="503">
        <f t="shared" si="16"/>
        <v>669299838.94499719</v>
      </c>
      <c r="I38" s="503">
        <f t="shared" si="16"/>
        <v>708670417.70646763</v>
      </c>
    </row>
    <row r="39" spans="1:9" x14ac:dyDescent="0.25">
      <c r="A39" t="s">
        <v>1362</v>
      </c>
      <c r="B39" s="1025">
        <v>0.04</v>
      </c>
      <c r="D39" s="503">
        <f t="shared" ref="D39:D41" si="17">O12*$C5</f>
        <v>1716626722.2096586</v>
      </c>
      <c r="E39" s="503">
        <f t="shared" si="16"/>
        <v>1848674931.6104014</v>
      </c>
      <c r="F39" s="503">
        <f t="shared" si="16"/>
        <v>1980723141.0111444</v>
      </c>
      <c r="G39" s="503">
        <f t="shared" si="16"/>
        <v>2112771350.4118879</v>
      </c>
      <c r="H39" s="503">
        <f t="shared" si="16"/>
        <v>2244819559.8126307</v>
      </c>
      <c r="I39" s="503">
        <f t="shared" si="16"/>
        <v>2376867769.2133737</v>
      </c>
    </row>
    <row r="40" spans="1:9" x14ac:dyDescent="0.25">
      <c r="A40" t="s">
        <v>1766</v>
      </c>
      <c r="B40" s="1024">
        <v>8.0000000000000002E-3</v>
      </c>
      <c r="D40" s="503">
        <f t="shared" si="17"/>
        <v>404800513.73541117</v>
      </c>
      <c r="E40" s="503">
        <f t="shared" si="16"/>
        <v>435939014.79198122</v>
      </c>
      <c r="F40" s="503">
        <f t="shared" si="16"/>
        <v>467077515.84855127</v>
      </c>
      <c r="G40" s="503">
        <f t="shared" si="16"/>
        <v>498216016.90512151</v>
      </c>
      <c r="H40" s="503">
        <f t="shared" si="16"/>
        <v>529354517.9616915</v>
      </c>
      <c r="I40" s="503">
        <f t="shared" si="16"/>
        <v>560493019.01826155</v>
      </c>
    </row>
    <row r="41" spans="1:9" x14ac:dyDescent="0.25">
      <c r="A41" t="s">
        <v>1765</v>
      </c>
      <c r="B41" s="1024">
        <v>2E-3</v>
      </c>
      <c r="D41" s="503">
        <f t="shared" si="17"/>
        <v>486524758.74376333</v>
      </c>
      <c r="E41" s="503">
        <f t="shared" si="16"/>
        <v>523949740.18559122</v>
      </c>
      <c r="F41" s="503">
        <f t="shared" si="16"/>
        <v>561374721.62741911</v>
      </c>
      <c r="G41" s="503">
        <f t="shared" si="16"/>
        <v>598799703.06924725</v>
      </c>
      <c r="H41" s="503">
        <f t="shared" si="16"/>
        <v>636224684.51107514</v>
      </c>
      <c r="I41" s="503">
        <f t="shared" si="16"/>
        <v>673649665.95290303</v>
      </c>
    </row>
    <row r="42" spans="1:9" x14ac:dyDescent="0.25">
      <c r="B42" s="1023" t="s">
        <v>1774</v>
      </c>
      <c r="C42" s="1023"/>
      <c r="D42" s="1021">
        <f>SUM(D38:D41)</f>
        <v>3119769518.5879488</v>
      </c>
      <c r="E42" s="1021">
        <f t="shared" ref="E42:I42" si="18">SUM(E38:E41)</f>
        <v>3359751789.24856</v>
      </c>
      <c r="F42" s="1021">
        <f t="shared" si="18"/>
        <v>3599734059.9091711</v>
      </c>
      <c r="G42" s="1021">
        <f t="shared" si="18"/>
        <v>3839716330.5697832</v>
      </c>
      <c r="H42" s="1021">
        <f t="shared" si="18"/>
        <v>4079698601.2303944</v>
      </c>
      <c r="I42" s="1021">
        <f t="shared" si="18"/>
        <v>4319680871.8910055</v>
      </c>
    </row>
    <row r="43" spans="1:9" x14ac:dyDescent="0.25">
      <c r="B43" s="367" t="s">
        <v>1772</v>
      </c>
      <c r="C43" s="367"/>
      <c r="D43" s="1074">
        <v>0.05</v>
      </c>
    </row>
    <row r="44" spans="1:9" x14ac:dyDescent="0.25">
      <c r="B44" t="s">
        <v>1388</v>
      </c>
      <c r="D44" s="575">
        <f>D18*$C4</f>
        <v>486226647.70415968</v>
      </c>
      <c r="E44" s="575">
        <f t="shared" ref="E44:I44" si="19">E18*$C4</f>
        <v>523628697.5275566</v>
      </c>
      <c r="F44" s="575">
        <f t="shared" si="19"/>
        <v>561030747.35095346</v>
      </c>
      <c r="G44" s="575">
        <f t="shared" si="19"/>
        <v>598432797.1743505</v>
      </c>
      <c r="H44" s="575">
        <f t="shared" si="19"/>
        <v>635834846.9977473</v>
      </c>
      <c r="I44" s="575">
        <f t="shared" si="19"/>
        <v>673236896.82114422</v>
      </c>
    </row>
    <row r="45" spans="1:9" x14ac:dyDescent="0.25">
      <c r="B45" t="s">
        <v>1362</v>
      </c>
      <c r="D45" s="575">
        <f>D19*$C5</f>
        <v>1630795386.0991757</v>
      </c>
      <c r="E45" s="575">
        <f t="shared" ref="D45:I47" si="20">E19*$C5</f>
        <v>1756241185.0298815</v>
      </c>
      <c r="F45" s="575">
        <f t="shared" si="20"/>
        <v>1881686983.960587</v>
      </c>
      <c r="G45" s="575">
        <f t="shared" si="20"/>
        <v>2007132782.8912933</v>
      </c>
      <c r="H45" s="575">
        <f t="shared" si="20"/>
        <v>2132578581.8219991</v>
      </c>
      <c r="I45" s="575">
        <f t="shared" si="20"/>
        <v>2258024380.7527046</v>
      </c>
    </row>
    <row r="46" spans="1:9" x14ac:dyDescent="0.25">
      <c r="B46" t="s">
        <v>1766</v>
      </c>
      <c r="D46" s="575">
        <f t="shared" si="20"/>
        <v>384560488.04864055</v>
      </c>
      <c r="E46" s="575">
        <f t="shared" si="20"/>
        <v>414142064.05238217</v>
      </c>
      <c r="F46" s="575">
        <f t="shared" si="20"/>
        <v>443723640.05612367</v>
      </c>
      <c r="G46" s="575">
        <f t="shared" si="20"/>
        <v>473305216.05986536</v>
      </c>
      <c r="H46" s="575">
        <f t="shared" si="20"/>
        <v>502886792.06360686</v>
      </c>
      <c r="I46" s="575">
        <f t="shared" si="20"/>
        <v>532468368.06734854</v>
      </c>
    </row>
    <row r="47" spans="1:9" x14ac:dyDescent="0.25">
      <c r="B47" t="s">
        <v>1765</v>
      </c>
      <c r="D47" s="575">
        <f t="shared" si="20"/>
        <v>462198520.80657512</v>
      </c>
      <c r="E47" s="575">
        <f t="shared" si="20"/>
        <v>497752253.17631167</v>
      </c>
      <c r="F47" s="575">
        <f t="shared" si="20"/>
        <v>533305985.54604816</v>
      </c>
      <c r="G47" s="575">
        <f t="shared" si="20"/>
        <v>568859717.91578484</v>
      </c>
      <c r="H47" s="575">
        <f t="shared" si="20"/>
        <v>604413450.28552127</v>
      </c>
      <c r="I47" s="575">
        <f t="shared" si="20"/>
        <v>639967182.65525794</v>
      </c>
    </row>
    <row r="48" spans="1:9" x14ac:dyDescent="0.25">
      <c r="B48" s="1023" t="s">
        <v>1767</v>
      </c>
      <c r="C48" s="1023"/>
      <c r="D48" s="1021">
        <f>SUM(D44:D47)</f>
        <v>2963781042.6585512</v>
      </c>
      <c r="E48" s="1021">
        <f t="shared" ref="E48:I48" si="21">SUM(E44:E47)</f>
        <v>3191764199.7861314</v>
      </c>
      <c r="F48" s="1021">
        <f t="shared" si="21"/>
        <v>3419747356.9137125</v>
      </c>
      <c r="G48" s="1021">
        <f t="shared" si="21"/>
        <v>3647730514.0412941</v>
      </c>
      <c r="H48" s="1021">
        <f t="shared" si="21"/>
        <v>3875713671.1688747</v>
      </c>
      <c r="I48" s="1021">
        <f t="shared" si="21"/>
        <v>4103696828.2964554</v>
      </c>
    </row>
    <row r="49" spans="2:9" x14ac:dyDescent="0.25">
      <c r="C49" s="1009" t="s">
        <v>1763</v>
      </c>
      <c r="D49" s="679">
        <f>D42-D48</f>
        <v>155988475.92939758</v>
      </c>
      <c r="E49" s="679">
        <f t="shared" ref="E49:I49" si="22">E42-E48</f>
        <v>167987589.46242857</v>
      </c>
      <c r="F49" s="679">
        <f t="shared" si="22"/>
        <v>179986702.9954586</v>
      </c>
      <c r="G49" s="679">
        <f t="shared" si="22"/>
        <v>191985816.52848911</v>
      </c>
      <c r="H49" s="679">
        <f t="shared" si="22"/>
        <v>203984930.06151962</v>
      </c>
      <c r="I49" s="679">
        <f t="shared" si="22"/>
        <v>215984043.59455013</v>
      </c>
    </row>
    <row r="50" spans="2:9" x14ac:dyDescent="0.25">
      <c r="B50" s="367" t="s">
        <v>1772</v>
      </c>
      <c r="C50" s="367"/>
      <c r="D50" s="1074">
        <v>0.1</v>
      </c>
    </row>
    <row r="51" spans="2:9" x14ac:dyDescent="0.25">
      <c r="B51" t="s">
        <v>1388</v>
      </c>
      <c r="D51" s="575">
        <f>D24*$C4</f>
        <v>460635771.50920397</v>
      </c>
      <c r="E51" s="575">
        <f t="shared" ref="E51:I51" si="23">E24*$C4</f>
        <v>496069292.39452732</v>
      </c>
      <c r="F51" s="575">
        <f t="shared" si="23"/>
        <v>531502813.27985066</v>
      </c>
      <c r="G51" s="575">
        <f t="shared" si="23"/>
        <v>566936334.16517413</v>
      </c>
      <c r="H51" s="575">
        <f t="shared" si="23"/>
        <v>602369855.05049741</v>
      </c>
      <c r="I51" s="575">
        <f t="shared" si="23"/>
        <v>637803375.93582094</v>
      </c>
    </row>
    <row r="52" spans="2:9" x14ac:dyDescent="0.25">
      <c r="B52" t="s">
        <v>1362</v>
      </c>
      <c r="D52" s="575">
        <f t="shared" ref="D52:I54" si="24">D25*$C5</f>
        <v>1544964049.9886928</v>
      </c>
      <c r="E52" s="575">
        <f t="shared" si="24"/>
        <v>1663807438.4493613</v>
      </c>
      <c r="F52" s="575">
        <f t="shared" si="24"/>
        <v>1782650826.9100299</v>
      </c>
      <c r="G52" s="575">
        <f t="shared" si="24"/>
        <v>1901494215.3706992</v>
      </c>
      <c r="H52" s="575">
        <f t="shared" si="24"/>
        <v>2020337603.8313675</v>
      </c>
      <c r="I52" s="575">
        <f t="shared" si="24"/>
        <v>2139180992.2920365</v>
      </c>
    </row>
    <row r="53" spans="2:9" x14ac:dyDescent="0.25">
      <c r="B53" t="s">
        <v>1766</v>
      </c>
      <c r="D53" s="575">
        <f t="shared" si="24"/>
        <v>364320462.36187005</v>
      </c>
      <c r="E53" s="575">
        <f t="shared" si="24"/>
        <v>392345113.31278306</v>
      </c>
      <c r="F53" s="575">
        <f t="shared" si="24"/>
        <v>420369764.26369613</v>
      </c>
      <c r="G53" s="575">
        <f t="shared" si="24"/>
        <v>448394415.21460938</v>
      </c>
      <c r="H53" s="575">
        <f t="shared" si="24"/>
        <v>476419066.16552234</v>
      </c>
      <c r="I53" s="575">
        <f t="shared" si="24"/>
        <v>504443717.11643547</v>
      </c>
    </row>
    <row r="54" spans="2:9" x14ac:dyDescent="0.25">
      <c r="B54" t="s">
        <v>1765</v>
      </c>
      <c r="D54" s="575">
        <f t="shared" si="24"/>
        <v>437872282.86938697</v>
      </c>
      <c r="E54" s="575">
        <f t="shared" si="24"/>
        <v>471554766.16703212</v>
      </c>
      <c r="F54" s="575">
        <f t="shared" si="24"/>
        <v>505237249.46467721</v>
      </c>
      <c r="G54" s="575">
        <f t="shared" si="24"/>
        <v>538919732.76232255</v>
      </c>
      <c r="H54" s="575">
        <f t="shared" si="24"/>
        <v>572602216.05996752</v>
      </c>
      <c r="I54" s="575">
        <f t="shared" si="24"/>
        <v>606284699.35761285</v>
      </c>
    </row>
    <row r="55" spans="2:9" x14ac:dyDescent="0.25">
      <c r="B55" s="1023" t="s">
        <v>1793</v>
      </c>
      <c r="C55" s="1023"/>
      <c r="D55" s="1021">
        <f>SUM(D51:D54)</f>
        <v>2807792566.7291541</v>
      </c>
      <c r="E55" s="1021">
        <f t="shared" ref="E55:I55" si="25">SUM(E51:E54)</f>
        <v>3023776610.3237042</v>
      </c>
      <c r="F55" s="1021">
        <f t="shared" si="25"/>
        <v>3239760653.9182539</v>
      </c>
      <c r="G55" s="1021">
        <f t="shared" si="25"/>
        <v>3455744697.512805</v>
      </c>
      <c r="H55" s="1021">
        <f t="shared" si="25"/>
        <v>3671728741.1073546</v>
      </c>
      <c r="I55" s="1021">
        <f t="shared" si="25"/>
        <v>3887712784.7019062</v>
      </c>
    </row>
    <row r="56" spans="2:9" x14ac:dyDescent="0.25">
      <c r="C56" s="1009" t="s">
        <v>1763</v>
      </c>
      <c r="D56" s="679">
        <f>D42-D55</f>
        <v>311976951.85879469</v>
      </c>
      <c r="E56" s="679">
        <f t="shared" ref="E56:I56" si="26">E42-E55</f>
        <v>335975178.92485571</v>
      </c>
      <c r="F56" s="679">
        <f t="shared" si="26"/>
        <v>359973405.99091721</v>
      </c>
      <c r="G56" s="679">
        <f t="shared" si="26"/>
        <v>383971633.05697823</v>
      </c>
      <c r="H56" s="679">
        <f t="shared" si="26"/>
        <v>407969860.12303972</v>
      </c>
      <c r="I56" s="679">
        <f t="shared" si="26"/>
        <v>431968087.18909931</v>
      </c>
    </row>
    <row r="58" spans="2:9" x14ac:dyDescent="0.25">
      <c r="B58" s="367" t="s">
        <v>1772</v>
      </c>
      <c r="C58" s="367"/>
      <c r="D58" s="1074">
        <v>0.15</v>
      </c>
    </row>
    <row r="59" spans="2:9" x14ac:dyDescent="0.25">
      <c r="B59" t="s">
        <v>1388</v>
      </c>
      <c r="D59" s="575">
        <f>D30*$C4</f>
        <v>435044895.3142482</v>
      </c>
      <c r="E59" s="575">
        <f t="shared" ref="E59:I59" si="27">E30*$C4</f>
        <v>468509887.26149803</v>
      </c>
      <c r="F59" s="575">
        <f t="shared" si="27"/>
        <v>501974879.2087478</v>
      </c>
      <c r="G59" s="575">
        <f t="shared" si="27"/>
        <v>535439871.15599781</v>
      </c>
      <c r="H59" s="575">
        <f t="shared" si="27"/>
        <v>568904863.10324752</v>
      </c>
      <c r="I59" s="575">
        <f t="shared" si="27"/>
        <v>602369855.05049753</v>
      </c>
    </row>
    <row r="60" spans="2:9" x14ac:dyDescent="0.25">
      <c r="B60" t="s">
        <v>1362</v>
      </c>
      <c r="D60" s="575">
        <f t="shared" ref="D60:I62" si="28">D31*$C5</f>
        <v>1459132713.8782096</v>
      </c>
      <c r="E60" s="575">
        <f t="shared" si="28"/>
        <v>1571373691.8688412</v>
      </c>
      <c r="F60" s="575">
        <f t="shared" si="28"/>
        <v>1683614669.8594725</v>
      </c>
      <c r="G60" s="575">
        <f t="shared" si="28"/>
        <v>1795855647.8501046</v>
      </c>
      <c r="H60" s="575">
        <f t="shared" si="28"/>
        <v>1908096625.8407359</v>
      </c>
      <c r="I60" s="575">
        <f t="shared" si="28"/>
        <v>2020337603.8313675</v>
      </c>
    </row>
    <row r="61" spans="2:9" x14ac:dyDescent="0.25">
      <c r="B61" t="s">
        <v>1766</v>
      </c>
      <c r="D61" s="575">
        <f>D32*$C6</f>
        <v>344080436.67509943</v>
      </c>
      <c r="E61" s="575">
        <f t="shared" si="28"/>
        <v>370548162.57318401</v>
      </c>
      <c r="F61" s="575">
        <f t="shared" si="28"/>
        <v>397015888.47126859</v>
      </c>
      <c r="G61" s="575">
        <f t="shared" si="28"/>
        <v>423483614.36935323</v>
      </c>
      <c r="H61" s="575">
        <f t="shared" si="28"/>
        <v>449951340.26743782</v>
      </c>
      <c r="I61" s="575">
        <f t="shared" si="28"/>
        <v>476419066.16552234</v>
      </c>
    </row>
    <row r="62" spans="2:9" x14ac:dyDescent="0.25">
      <c r="B62" t="s">
        <v>1765</v>
      </c>
      <c r="D62" s="575">
        <f t="shared" si="28"/>
        <v>413546044.93219876</v>
      </c>
      <c r="E62" s="575">
        <f t="shared" si="28"/>
        <v>445357279.15775257</v>
      </c>
      <c r="F62" s="575">
        <f t="shared" si="28"/>
        <v>477168513.38330626</v>
      </c>
      <c r="G62" s="575">
        <f t="shared" si="28"/>
        <v>508979747.60886014</v>
      </c>
      <c r="H62" s="575">
        <f t="shared" si="28"/>
        <v>540790981.83441389</v>
      </c>
      <c r="I62" s="575">
        <f t="shared" si="28"/>
        <v>572602216.05996752</v>
      </c>
    </row>
    <row r="63" spans="2:9" x14ac:dyDescent="0.25">
      <c r="B63" s="1023" t="s">
        <v>1793</v>
      </c>
      <c r="C63" s="1023"/>
      <c r="D63" s="1021">
        <f>SUM(D59:D62)</f>
        <v>2651804090.7997561</v>
      </c>
      <c r="E63" s="1021">
        <f t="shared" ref="E63:I63" si="29">SUM(E59:E62)</f>
        <v>2855789020.8612757</v>
      </c>
      <c r="F63" s="1021">
        <f t="shared" si="29"/>
        <v>3059773950.9227953</v>
      </c>
      <c r="G63" s="1021">
        <f t="shared" si="29"/>
        <v>3263758880.9843159</v>
      </c>
      <c r="H63" s="1021">
        <f t="shared" si="29"/>
        <v>3467743811.0458355</v>
      </c>
      <c r="I63" s="1021">
        <f t="shared" si="29"/>
        <v>3671728741.1073546</v>
      </c>
    </row>
    <row r="64" spans="2:9" x14ac:dyDescent="0.25">
      <c r="C64" s="1009" t="s">
        <v>1763</v>
      </c>
      <c r="D64" s="679">
        <f>D42-D63</f>
        <v>467965427.78819275</v>
      </c>
      <c r="E64" s="679">
        <f t="shared" ref="E64:I64" si="30">E42-E63</f>
        <v>503962768.38728428</v>
      </c>
      <c r="F64" s="679">
        <f t="shared" si="30"/>
        <v>539960108.98637581</v>
      </c>
      <c r="G64" s="679">
        <f t="shared" si="30"/>
        <v>575957449.58546734</v>
      </c>
      <c r="H64" s="679">
        <f t="shared" si="30"/>
        <v>611954790.18455887</v>
      </c>
      <c r="I64" s="679">
        <f t="shared" si="30"/>
        <v>647952130.78365088</v>
      </c>
    </row>
    <row r="67" spans="2:9" x14ac:dyDescent="0.25">
      <c r="D67" s="1033">
        <f>D73</f>
        <v>0.65</v>
      </c>
      <c r="E67" s="1033">
        <f>E73</f>
        <v>0.7</v>
      </c>
      <c r="F67" s="1033">
        <f t="shared" ref="F67:I67" si="31">F73</f>
        <v>0.75</v>
      </c>
      <c r="G67" s="1033">
        <f t="shared" si="31"/>
        <v>0.8</v>
      </c>
      <c r="H67" s="1033">
        <f t="shared" si="31"/>
        <v>0.85000000000000009</v>
      </c>
      <c r="I67" s="1033">
        <f t="shared" si="31"/>
        <v>0.90000000000000013</v>
      </c>
    </row>
    <row r="68" spans="2:9" x14ac:dyDescent="0.25">
      <c r="C68" t="s">
        <v>1776</v>
      </c>
      <c r="D68" s="679">
        <f>D37-$C$37</f>
        <v>82771056.457107306</v>
      </c>
      <c r="E68" s="679">
        <f t="shared" ref="E68:I68" si="32">E37-$C$37</f>
        <v>165542112.91421437</v>
      </c>
      <c r="F68" s="679">
        <f t="shared" si="32"/>
        <v>248313169.37132168</v>
      </c>
      <c r="G68" s="679">
        <f t="shared" si="32"/>
        <v>331084225.82842898</v>
      </c>
      <c r="H68" s="679">
        <f t="shared" si="32"/>
        <v>413855282.28553581</v>
      </c>
      <c r="I68" s="679">
        <f t="shared" si="32"/>
        <v>496626338.74264336</v>
      </c>
    </row>
    <row r="69" spans="2:9" x14ac:dyDescent="0.25">
      <c r="B69" s="269" t="s">
        <v>1763</v>
      </c>
      <c r="C69" s="1022" t="s">
        <v>1799</v>
      </c>
      <c r="D69" s="679">
        <f t="shared" ref="D69:I69" si="33">D49</f>
        <v>155988475.92939758</v>
      </c>
      <c r="E69" s="679">
        <f t="shared" si="33"/>
        <v>167987589.46242857</v>
      </c>
      <c r="F69" s="679">
        <f t="shared" si="33"/>
        <v>179986702.9954586</v>
      </c>
      <c r="G69" s="679">
        <f t="shared" si="33"/>
        <v>191985816.52848911</v>
      </c>
      <c r="H69" s="679">
        <f t="shared" si="33"/>
        <v>203984930.06151962</v>
      </c>
      <c r="I69" s="679">
        <f t="shared" si="33"/>
        <v>215984043.59455013</v>
      </c>
    </row>
    <row r="70" spans="2:9" x14ac:dyDescent="0.25">
      <c r="B70" s="269"/>
      <c r="C70" s="1022" t="s">
        <v>1800</v>
      </c>
      <c r="D70" s="679">
        <f t="shared" ref="D70:I70" si="34">D56</f>
        <v>311976951.85879469</v>
      </c>
      <c r="E70" s="679">
        <f t="shared" si="34"/>
        <v>335975178.92485571</v>
      </c>
      <c r="F70" s="679">
        <f t="shared" si="34"/>
        <v>359973405.99091721</v>
      </c>
      <c r="G70" s="1019">
        <f t="shared" si="34"/>
        <v>383971633.05697823</v>
      </c>
      <c r="H70" s="679">
        <f t="shared" si="34"/>
        <v>407969860.12303972</v>
      </c>
      <c r="I70" s="679">
        <f t="shared" si="34"/>
        <v>431968087.18909931</v>
      </c>
    </row>
    <row r="71" spans="2:9" x14ac:dyDescent="0.25">
      <c r="B71" s="269"/>
      <c r="C71" s="1022" t="s">
        <v>1801</v>
      </c>
      <c r="D71" s="679">
        <f t="shared" ref="D71:I71" si="35">D64</f>
        <v>467965427.78819275</v>
      </c>
      <c r="E71" s="679">
        <f t="shared" si="35"/>
        <v>503962768.38728428</v>
      </c>
      <c r="F71" s="1019">
        <f t="shared" si="35"/>
        <v>539960108.98637581</v>
      </c>
      <c r="G71" s="679">
        <f t="shared" si="35"/>
        <v>575957449.58546734</v>
      </c>
      <c r="H71" s="679">
        <f t="shared" si="35"/>
        <v>611954790.18455887</v>
      </c>
      <c r="I71" s="679">
        <f t="shared" si="35"/>
        <v>647952130.78365088</v>
      </c>
    </row>
    <row r="73" spans="2:9" x14ac:dyDescent="0.25">
      <c r="D73" s="1033">
        <f t="shared" ref="D73:I73" si="36">D10</f>
        <v>0.65</v>
      </c>
      <c r="E73" s="1033">
        <f t="shared" si="36"/>
        <v>0.7</v>
      </c>
      <c r="F73" s="1033">
        <f t="shared" si="36"/>
        <v>0.75</v>
      </c>
      <c r="G73" s="1033">
        <f t="shared" si="36"/>
        <v>0.8</v>
      </c>
      <c r="H73" s="1033">
        <f t="shared" si="36"/>
        <v>0.85000000000000009</v>
      </c>
      <c r="I73" s="1033">
        <f t="shared" si="36"/>
        <v>0.90000000000000013</v>
      </c>
    </row>
    <row r="74" spans="2:9" x14ac:dyDescent="0.25">
      <c r="B74" t="s">
        <v>1772</v>
      </c>
    </row>
    <row r="75" spans="2:9" x14ac:dyDescent="0.25">
      <c r="C75" t="s">
        <v>1786</v>
      </c>
      <c r="D75" s="679">
        <f t="shared" ref="D75:I75" si="37">$D$42</f>
        <v>3119769518.5879488</v>
      </c>
      <c r="E75" s="679">
        <f t="shared" si="37"/>
        <v>3119769518.5879488</v>
      </c>
      <c r="F75" s="679">
        <f t="shared" si="37"/>
        <v>3119769518.5879488</v>
      </c>
      <c r="G75" s="679">
        <f t="shared" si="37"/>
        <v>3119769518.5879488</v>
      </c>
      <c r="H75" s="679">
        <f t="shared" si="37"/>
        <v>3119769518.5879488</v>
      </c>
      <c r="I75" s="679">
        <f t="shared" si="37"/>
        <v>3119769518.5879488</v>
      </c>
    </row>
    <row r="76" spans="2:9" x14ac:dyDescent="0.25">
      <c r="B76" t="s">
        <v>1775</v>
      </c>
      <c r="C76" s="1022" t="s">
        <v>1799</v>
      </c>
      <c r="D76" s="679">
        <f t="shared" ref="D76:I76" si="38">D48</f>
        <v>2963781042.6585512</v>
      </c>
      <c r="E76" s="679">
        <f t="shared" si="38"/>
        <v>3191764199.7861314</v>
      </c>
      <c r="F76" s="679">
        <f t="shared" si="38"/>
        <v>3419747356.9137125</v>
      </c>
      <c r="G76" s="679">
        <f t="shared" si="38"/>
        <v>3647730514.0412941</v>
      </c>
      <c r="H76" s="679">
        <f t="shared" si="38"/>
        <v>3875713671.1688747</v>
      </c>
      <c r="I76" s="679">
        <f t="shared" si="38"/>
        <v>4103696828.2964554</v>
      </c>
    </row>
    <row r="77" spans="2:9" x14ac:dyDescent="0.25">
      <c r="C77" s="1022" t="s">
        <v>1800</v>
      </c>
      <c r="D77" s="679">
        <f t="shared" ref="D77:I77" si="39">D55</f>
        <v>2807792566.7291541</v>
      </c>
      <c r="E77" s="679">
        <f t="shared" si="39"/>
        <v>3023776610.3237042</v>
      </c>
      <c r="F77" s="679">
        <f t="shared" si="39"/>
        <v>3239760653.9182539</v>
      </c>
      <c r="G77" s="679">
        <f t="shared" si="39"/>
        <v>3455744697.512805</v>
      </c>
      <c r="H77" s="679">
        <f t="shared" si="39"/>
        <v>3671728741.1073546</v>
      </c>
      <c r="I77" s="679">
        <f t="shared" si="39"/>
        <v>3887712784.7019062</v>
      </c>
    </row>
    <row r="78" spans="2:9" x14ac:dyDescent="0.25">
      <c r="C78" s="1022" t="s">
        <v>1801</v>
      </c>
      <c r="D78" s="679">
        <f t="shared" ref="D78:I78" si="40">D63</f>
        <v>2651804090.7997561</v>
      </c>
      <c r="E78" s="679">
        <f t="shared" si="40"/>
        <v>2855789020.8612757</v>
      </c>
      <c r="F78" s="679">
        <f t="shared" si="40"/>
        <v>3059773950.9227953</v>
      </c>
      <c r="G78" s="679">
        <f t="shared" si="40"/>
        <v>3263758880.9843159</v>
      </c>
      <c r="H78" s="679">
        <f t="shared" si="40"/>
        <v>3467743811.0458355</v>
      </c>
      <c r="I78" s="679">
        <f t="shared" si="40"/>
        <v>3671728741.1073546</v>
      </c>
    </row>
    <row r="79" spans="2:9" x14ac:dyDescent="0.25">
      <c r="C79" s="1030" t="s">
        <v>1784</v>
      </c>
      <c r="E79" s="679">
        <f>$D$37</f>
        <v>1076023733.9423931</v>
      </c>
      <c r="F79" s="679">
        <f>$D$37</f>
        <v>1076023733.9423931</v>
      </c>
      <c r="G79" s="679">
        <f>$D$37</f>
        <v>1076023733.9423931</v>
      </c>
      <c r="H79" s="679">
        <f>$D$37</f>
        <v>1076023733.9423931</v>
      </c>
      <c r="I79" s="679">
        <f>$D$37</f>
        <v>1076023733.9423931</v>
      </c>
    </row>
    <row r="80" spans="2:9" x14ac:dyDescent="0.25">
      <c r="C80" t="s">
        <v>1785</v>
      </c>
      <c r="D80" s="679">
        <f t="shared" ref="D80:I80" si="41">D37</f>
        <v>1076023733.9423931</v>
      </c>
      <c r="E80" s="679">
        <f t="shared" si="41"/>
        <v>1158794790.3995001</v>
      </c>
      <c r="F80" s="679">
        <f t="shared" si="41"/>
        <v>1241565846.8566074</v>
      </c>
      <c r="G80" s="679">
        <f t="shared" si="41"/>
        <v>1324336903.3137147</v>
      </c>
      <c r="H80" s="679">
        <f t="shared" si="41"/>
        <v>1407107959.7708216</v>
      </c>
      <c r="I80" s="679">
        <f t="shared" si="41"/>
        <v>1489879016.2279291</v>
      </c>
    </row>
    <row r="84" spans="2:10" x14ac:dyDescent="0.25">
      <c r="B84" s="1035"/>
      <c r="C84" s="1078" t="s">
        <v>1804</v>
      </c>
      <c r="D84" s="1079" t="s">
        <v>1805</v>
      </c>
    </row>
    <row r="85" spans="2:10" x14ac:dyDescent="0.25">
      <c r="B85" s="1048" t="s">
        <v>1802</v>
      </c>
      <c r="C85" s="1080">
        <v>0.7</v>
      </c>
      <c r="D85" s="1051">
        <f>C85*C10</f>
        <v>3979816.4</v>
      </c>
    </row>
    <row r="86" spans="2:10" x14ac:dyDescent="0.25">
      <c r="B86" s="1028" t="s">
        <v>1806</v>
      </c>
      <c r="C86" s="1077">
        <v>0.05</v>
      </c>
      <c r="D86" s="1083" t="s">
        <v>1365</v>
      </c>
      <c r="E86" s="1025">
        <f>C86</f>
        <v>0.05</v>
      </c>
      <c r="F86" s="1025">
        <f>E86+$C$86</f>
        <v>0.1</v>
      </c>
      <c r="G86" s="1025">
        <f t="shared" ref="G86:I86" si="42">F86+$C$86</f>
        <v>0.15000000000000002</v>
      </c>
      <c r="H86" s="1025">
        <f t="shared" si="42"/>
        <v>0.2</v>
      </c>
      <c r="I86" s="1025">
        <f t="shared" si="42"/>
        <v>0.25</v>
      </c>
      <c r="J86" s="1025">
        <f>I86+$C$86</f>
        <v>0.3</v>
      </c>
    </row>
    <row r="87" spans="2:10" x14ac:dyDescent="0.25">
      <c r="B87" s="1028"/>
      <c r="C87" s="679" t="s">
        <v>1803</v>
      </c>
      <c r="D87" s="1081">
        <f>D85*C3</f>
        <v>1158794790.3995001</v>
      </c>
      <c r="E87" s="503">
        <f t="shared" ref="E87:J87" si="43">$D$87*(1+E86)</f>
        <v>1216734529.9194751</v>
      </c>
      <c r="F87" s="503">
        <f t="shared" si="43"/>
        <v>1274674269.4394503</v>
      </c>
      <c r="G87" s="503">
        <f t="shared" si="43"/>
        <v>1332614008.959425</v>
      </c>
      <c r="H87" s="503">
        <f t="shared" si="43"/>
        <v>1390553748.4794002</v>
      </c>
      <c r="I87" s="503">
        <f t="shared" si="43"/>
        <v>1448493487.9993751</v>
      </c>
      <c r="J87" s="503">
        <f t="shared" si="43"/>
        <v>1506433227.5193503</v>
      </c>
    </row>
    <row r="88" spans="2:10" x14ac:dyDescent="0.25">
      <c r="C88" t="s">
        <v>1807</v>
      </c>
      <c r="D88" s="1082"/>
    </row>
    <row r="89" spans="2:10" x14ac:dyDescent="0.25">
      <c r="B89" t="s">
        <v>1761</v>
      </c>
      <c r="C89" s="1077">
        <v>0.05</v>
      </c>
      <c r="D89" s="1082"/>
      <c r="E89" s="1025">
        <f>C89</f>
        <v>0.05</v>
      </c>
      <c r="F89" s="1025">
        <f>E89+$C$89</f>
        <v>0.1</v>
      </c>
      <c r="G89" s="1025">
        <f t="shared" ref="G89:J89" si="44">F89+$C$89</f>
        <v>0.15000000000000002</v>
      </c>
      <c r="H89" s="1025">
        <f t="shared" si="44"/>
        <v>0.2</v>
      </c>
      <c r="I89" s="1025">
        <f t="shared" si="44"/>
        <v>0.25</v>
      </c>
      <c r="J89" s="1025">
        <f t="shared" si="44"/>
        <v>0.3</v>
      </c>
    </row>
    <row r="90" spans="2:10" x14ac:dyDescent="0.25">
      <c r="D90" s="1082"/>
    </row>
    <row r="91" spans="2:10" x14ac:dyDescent="0.25">
      <c r="B91" t="s">
        <v>382</v>
      </c>
      <c r="C91" s="1077">
        <v>0.1</v>
      </c>
      <c r="D91" s="1082"/>
      <c r="E91" s="1025">
        <f>C91</f>
        <v>0.1</v>
      </c>
      <c r="F91" s="1025">
        <f>E91+$C$91</f>
        <v>0.2</v>
      </c>
      <c r="G91" s="1025">
        <f t="shared" ref="G91:J91" si="45">F91+$C$91</f>
        <v>0.30000000000000004</v>
      </c>
      <c r="H91" s="1025">
        <f t="shared" si="45"/>
        <v>0.4</v>
      </c>
      <c r="I91" s="1025">
        <f t="shared" si="45"/>
        <v>0.5</v>
      </c>
      <c r="J91" s="1025">
        <f t="shared" si="45"/>
        <v>0.6</v>
      </c>
    </row>
    <row r="92" spans="2:10" x14ac:dyDescent="0.25">
      <c r="D92" s="1082"/>
    </row>
    <row r="93" spans="2:10" x14ac:dyDescent="0.25">
      <c r="B93" t="s">
        <v>382</v>
      </c>
      <c r="C93" s="1077">
        <v>0.15</v>
      </c>
      <c r="D93" s="1082"/>
      <c r="E93" s="1025">
        <f>C93</f>
        <v>0.15</v>
      </c>
      <c r="F93" s="1025">
        <f>E93+$C$93</f>
        <v>0.3</v>
      </c>
      <c r="G93" s="1025">
        <f t="shared" ref="G93:J93" si="46">F93+$C$93</f>
        <v>0.44999999999999996</v>
      </c>
      <c r="H93" s="1025">
        <f t="shared" si="46"/>
        <v>0.6</v>
      </c>
      <c r="I93" s="1025">
        <f t="shared" si="46"/>
        <v>0.75</v>
      </c>
      <c r="J93" s="1025">
        <f t="shared" si="46"/>
        <v>0.9</v>
      </c>
    </row>
    <row r="94" spans="2:10" x14ac:dyDescent="0.25">
      <c r="D94" s="1082"/>
    </row>
    <row r="95" spans="2:10" x14ac:dyDescent="0.25">
      <c r="D95" s="1082"/>
    </row>
    <row r="96" spans="2:10" x14ac:dyDescent="0.25">
      <c r="B96" s="1052" t="s">
        <v>1808</v>
      </c>
    </row>
    <row r="97" spans="2:10" x14ac:dyDescent="0.25">
      <c r="B97" t="s">
        <v>1388</v>
      </c>
      <c r="D97" s="1084">
        <f>$D$85*B38</f>
        <v>397981.64</v>
      </c>
      <c r="E97" s="575">
        <f>$D97*(1-E$89)</f>
        <v>378082.55800000002</v>
      </c>
      <c r="F97" s="575">
        <f t="shared" ref="F97:J97" si="47">$D97*(1-F$89)</f>
        <v>358183.47600000002</v>
      </c>
      <c r="G97" s="575">
        <f t="shared" si="47"/>
        <v>338284.39400000003</v>
      </c>
      <c r="H97" s="575">
        <f t="shared" si="47"/>
        <v>318385.31200000003</v>
      </c>
      <c r="I97" s="575">
        <f t="shared" si="47"/>
        <v>298486.23</v>
      </c>
      <c r="J97" s="575">
        <f t="shared" si="47"/>
        <v>278587.14799999999</v>
      </c>
    </row>
    <row r="98" spans="2:10" x14ac:dyDescent="0.25">
      <c r="B98" t="s">
        <v>1362</v>
      </c>
      <c r="D98" s="1084">
        <f t="shared" ref="D98:D100" si="48">$D$85*B39</f>
        <v>159192.65599999999</v>
      </c>
      <c r="E98" s="575">
        <f t="shared" ref="E98:J100" si="49">$D98*(1-E$89)</f>
        <v>151233.0232</v>
      </c>
      <c r="F98" s="575">
        <f t="shared" si="49"/>
        <v>143273.3904</v>
      </c>
      <c r="G98" s="575">
        <f t="shared" si="49"/>
        <v>135313.75759999998</v>
      </c>
      <c r="H98" s="575">
        <f t="shared" si="49"/>
        <v>127354.12479999999</v>
      </c>
      <c r="I98" s="575">
        <f t="shared" si="49"/>
        <v>119394.492</v>
      </c>
      <c r="J98" s="575">
        <f t="shared" si="49"/>
        <v>111434.85919999999</v>
      </c>
    </row>
    <row r="99" spans="2:10" x14ac:dyDescent="0.25">
      <c r="B99" t="s">
        <v>1766</v>
      </c>
      <c r="D99" s="1084">
        <f t="shared" si="48"/>
        <v>31838.531200000001</v>
      </c>
      <c r="E99" s="575">
        <f t="shared" si="49"/>
        <v>30246.604640000001</v>
      </c>
      <c r="F99" s="575">
        <f t="shared" si="49"/>
        <v>28654.678080000002</v>
      </c>
      <c r="G99" s="575">
        <f t="shared" si="49"/>
        <v>27062.751520000002</v>
      </c>
      <c r="H99" s="575">
        <f t="shared" si="49"/>
        <v>25470.824960000002</v>
      </c>
      <c r="I99" s="575">
        <f t="shared" si="49"/>
        <v>23878.898400000002</v>
      </c>
      <c r="J99" s="575">
        <f t="shared" si="49"/>
        <v>22286.971839999998</v>
      </c>
    </row>
    <row r="100" spans="2:10" x14ac:dyDescent="0.25">
      <c r="B100" t="s">
        <v>1765</v>
      </c>
      <c r="D100" s="1084">
        <f t="shared" si="48"/>
        <v>7959.6328000000003</v>
      </c>
      <c r="E100" s="575">
        <f t="shared" si="49"/>
        <v>7561.6511600000003</v>
      </c>
      <c r="F100" s="575">
        <f t="shared" si="49"/>
        <v>7163.6695200000004</v>
      </c>
      <c r="G100" s="575">
        <f t="shared" si="49"/>
        <v>6765.6878800000004</v>
      </c>
      <c r="H100" s="575">
        <f t="shared" si="49"/>
        <v>6367.7062400000004</v>
      </c>
      <c r="I100" s="575">
        <f t="shared" si="49"/>
        <v>5969.7246000000005</v>
      </c>
      <c r="J100" s="575">
        <f t="shared" si="49"/>
        <v>5571.7429599999996</v>
      </c>
    </row>
    <row r="101" spans="2:10" x14ac:dyDescent="0.25">
      <c r="B101" s="1052" t="s">
        <v>1809</v>
      </c>
      <c r="E101" s="575"/>
      <c r="F101" s="575"/>
      <c r="G101" s="575"/>
      <c r="H101" s="575"/>
      <c r="I101" s="575"/>
      <c r="J101" s="575"/>
    </row>
    <row r="102" spans="2:10" x14ac:dyDescent="0.25">
      <c r="B102" t="s">
        <v>1388</v>
      </c>
      <c r="D102" s="1084">
        <f>$D$85*B38</f>
        <v>397981.64</v>
      </c>
      <c r="E102" s="575">
        <f>$D102*(1-E$91)</f>
        <v>358183.47600000002</v>
      </c>
      <c r="F102" s="575">
        <f t="shared" ref="F102:J102" si="50">$D102*(1-F$91)</f>
        <v>318385.31200000003</v>
      </c>
      <c r="G102" s="575">
        <f t="shared" si="50"/>
        <v>278587.14799999999</v>
      </c>
      <c r="H102" s="575">
        <f t="shared" si="50"/>
        <v>238788.984</v>
      </c>
      <c r="I102" s="575">
        <f t="shared" si="50"/>
        <v>198990.82</v>
      </c>
      <c r="J102" s="575">
        <f t="shared" si="50"/>
        <v>159192.65600000002</v>
      </c>
    </row>
    <row r="103" spans="2:10" x14ac:dyDescent="0.25">
      <c r="B103" t="s">
        <v>1362</v>
      </c>
      <c r="D103" s="1084">
        <f t="shared" ref="D103:D105" si="51">$D$85*B39</f>
        <v>159192.65599999999</v>
      </c>
      <c r="E103" s="575">
        <f t="shared" ref="E103:J105" si="52">$D103*(1-E$91)</f>
        <v>143273.3904</v>
      </c>
      <c r="F103" s="575">
        <f t="shared" si="52"/>
        <v>127354.12479999999</v>
      </c>
      <c r="G103" s="575">
        <f t="shared" si="52"/>
        <v>111434.85919999999</v>
      </c>
      <c r="H103" s="575">
        <f t="shared" si="52"/>
        <v>95515.593599999993</v>
      </c>
      <c r="I103" s="575">
        <f t="shared" si="52"/>
        <v>79596.327999999994</v>
      </c>
      <c r="J103" s="575">
        <f t="shared" si="52"/>
        <v>63677.062399999995</v>
      </c>
    </row>
    <row r="104" spans="2:10" x14ac:dyDescent="0.25">
      <c r="B104" t="s">
        <v>1766</v>
      </c>
      <c r="D104" s="1084">
        <f t="shared" si="51"/>
        <v>31838.531200000001</v>
      </c>
      <c r="E104" s="575">
        <f t="shared" si="52"/>
        <v>28654.678080000002</v>
      </c>
      <c r="F104" s="575">
        <f t="shared" si="52"/>
        <v>25470.824960000002</v>
      </c>
      <c r="G104" s="575">
        <f t="shared" si="52"/>
        <v>22286.971839999998</v>
      </c>
      <c r="H104" s="575">
        <f t="shared" si="52"/>
        <v>19103.118719999999</v>
      </c>
      <c r="I104" s="575">
        <f t="shared" si="52"/>
        <v>15919.265600000001</v>
      </c>
      <c r="J104" s="575">
        <f t="shared" si="52"/>
        <v>12735.412480000001</v>
      </c>
    </row>
    <row r="105" spans="2:10" x14ac:dyDescent="0.25">
      <c r="B105" t="s">
        <v>1765</v>
      </c>
      <c r="D105" s="1084">
        <f t="shared" si="51"/>
        <v>7959.6328000000003</v>
      </c>
      <c r="E105" s="575">
        <f t="shared" si="52"/>
        <v>7163.6695200000004</v>
      </c>
      <c r="F105" s="575">
        <f t="shared" si="52"/>
        <v>6367.7062400000004</v>
      </c>
      <c r="G105" s="575">
        <f t="shared" si="52"/>
        <v>5571.7429599999996</v>
      </c>
      <c r="H105" s="575">
        <f t="shared" si="52"/>
        <v>4775.7796799999996</v>
      </c>
      <c r="I105" s="575">
        <f t="shared" si="52"/>
        <v>3979.8164000000002</v>
      </c>
      <c r="J105" s="575">
        <f t="shared" si="52"/>
        <v>3183.8531200000002</v>
      </c>
    </row>
    <row r="106" spans="2:10" x14ac:dyDescent="0.25">
      <c r="B106" s="1052" t="s">
        <v>1810</v>
      </c>
      <c r="E106" s="575"/>
      <c r="F106" s="575"/>
      <c r="G106" s="575"/>
      <c r="H106" s="575"/>
      <c r="I106" s="575"/>
      <c r="J106" s="575"/>
    </row>
    <row r="107" spans="2:10" x14ac:dyDescent="0.25">
      <c r="B107" t="s">
        <v>1388</v>
      </c>
      <c r="D107" s="1084">
        <f>$D$85*B38</f>
        <v>397981.64</v>
      </c>
      <c r="E107" s="575">
        <f>$D107*(1-E$93)</f>
        <v>338284.39400000003</v>
      </c>
      <c r="F107" s="575">
        <f t="shared" ref="F107:J107" si="53">$D107*(1-F$93)</f>
        <v>278587.14799999999</v>
      </c>
      <c r="G107" s="575">
        <f t="shared" si="53"/>
        <v>218889.90200000003</v>
      </c>
      <c r="H107" s="575">
        <f t="shared" si="53"/>
        <v>159192.65600000002</v>
      </c>
      <c r="I107" s="575">
        <f t="shared" si="53"/>
        <v>99495.41</v>
      </c>
      <c r="J107" s="575">
        <f t="shared" si="53"/>
        <v>39798.16399999999</v>
      </c>
    </row>
    <row r="108" spans="2:10" x14ac:dyDescent="0.25">
      <c r="B108" t="s">
        <v>1362</v>
      </c>
      <c r="D108" s="1084">
        <f t="shared" ref="D108:D110" si="54">$D$85*B39</f>
        <v>159192.65599999999</v>
      </c>
      <c r="E108" s="575">
        <f t="shared" ref="E108:J110" si="55">$D108*(1-E$93)</f>
        <v>135313.75759999998</v>
      </c>
      <c r="F108" s="575">
        <f t="shared" si="55"/>
        <v>111434.85919999999</v>
      </c>
      <c r="G108" s="575">
        <f t="shared" si="55"/>
        <v>87555.960800000001</v>
      </c>
      <c r="H108" s="575">
        <f t="shared" si="55"/>
        <v>63677.062399999995</v>
      </c>
      <c r="I108" s="575">
        <f t="shared" si="55"/>
        <v>39798.163999999997</v>
      </c>
      <c r="J108" s="575">
        <f t="shared" si="55"/>
        <v>15919.265599999995</v>
      </c>
    </row>
    <row r="109" spans="2:10" x14ac:dyDescent="0.25">
      <c r="B109" t="s">
        <v>1766</v>
      </c>
      <c r="D109" s="1084">
        <f t="shared" si="54"/>
        <v>31838.531200000001</v>
      </c>
      <c r="E109" s="575">
        <f t="shared" si="55"/>
        <v>27062.751520000002</v>
      </c>
      <c r="F109" s="575">
        <f t="shared" si="55"/>
        <v>22286.971839999998</v>
      </c>
      <c r="G109" s="575">
        <f t="shared" si="55"/>
        <v>17511.192160000002</v>
      </c>
      <c r="H109" s="575">
        <f t="shared" si="55"/>
        <v>12735.412480000001</v>
      </c>
      <c r="I109" s="575">
        <f t="shared" si="55"/>
        <v>7959.6328000000003</v>
      </c>
      <c r="J109" s="575">
        <f t="shared" si="55"/>
        <v>3183.8531199999993</v>
      </c>
    </row>
    <row r="110" spans="2:10" x14ac:dyDescent="0.25">
      <c r="B110" t="s">
        <v>1765</v>
      </c>
      <c r="D110" s="1084">
        <f t="shared" si="54"/>
        <v>7959.6328000000003</v>
      </c>
      <c r="E110" s="575">
        <f t="shared" si="55"/>
        <v>6765.6878800000004</v>
      </c>
      <c r="F110" s="575">
        <f t="shared" si="55"/>
        <v>5571.7429599999996</v>
      </c>
      <c r="G110" s="575">
        <f t="shared" si="55"/>
        <v>4377.7980400000006</v>
      </c>
      <c r="H110" s="575">
        <f t="shared" si="55"/>
        <v>3183.8531200000002</v>
      </c>
      <c r="I110" s="575">
        <f t="shared" si="55"/>
        <v>1989.9082000000001</v>
      </c>
      <c r="J110" s="575">
        <f>$D110*(1-J$93)</f>
        <v>795.96327999999983</v>
      </c>
    </row>
    <row r="112" spans="2:10" x14ac:dyDescent="0.25">
      <c r="B112" s="1085" t="s">
        <v>1811</v>
      </c>
      <c r="C112" s="454"/>
      <c r="D112" s="1086">
        <f>SUM(D113:D116)</f>
        <v>3359751789.24856</v>
      </c>
      <c r="E112" s="1086">
        <f t="shared" ref="E112:J112" si="56">SUM(E113:E116)</f>
        <v>3191764199.7861314</v>
      </c>
      <c r="F112" s="1086">
        <f t="shared" si="56"/>
        <v>3023776610.3237042</v>
      </c>
      <c r="G112" s="1086">
        <f t="shared" si="56"/>
        <v>2855789020.8612757</v>
      </c>
      <c r="H112" s="1086">
        <f t="shared" si="56"/>
        <v>2687801431.3988476</v>
      </c>
      <c r="I112" s="1086">
        <f t="shared" si="56"/>
        <v>2519813841.93642</v>
      </c>
      <c r="J112" s="1086">
        <f t="shared" si="56"/>
        <v>2351826252.4739914</v>
      </c>
    </row>
    <row r="113" spans="2:10" x14ac:dyDescent="0.25">
      <c r="B113" t="s">
        <v>1388</v>
      </c>
      <c r="D113" s="575">
        <f>D97*$C4</f>
        <v>551188102.66058588</v>
      </c>
      <c r="E113" s="575">
        <f t="shared" ref="E113:J113" si="57">E97*$C4</f>
        <v>523628697.5275566</v>
      </c>
      <c r="F113" s="575">
        <f t="shared" si="57"/>
        <v>496069292.39452732</v>
      </c>
      <c r="G113" s="575">
        <f t="shared" si="57"/>
        <v>468509887.26149803</v>
      </c>
      <c r="H113" s="575">
        <f t="shared" si="57"/>
        <v>440950482.12846875</v>
      </c>
      <c r="I113" s="575">
        <f t="shared" si="57"/>
        <v>413391076.99543935</v>
      </c>
      <c r="J113" s="575">
        <f t="shared" si="57"/>
        <v>385831671.86241007</v>
      </c>
    </row>
    <row r="114" spans="2:10" x14ac:dyDescent="0.25">
      <c r="B114" t="s">
        <v>1362</v>
      </c>
      <c r="D114" s="575">
        <f t="shared" ref="D114:J116" si="58">D98*$C5</f>
        <v>1848674931.6104014</v>
      </c>
      <c r="E114" s="575">
        <f t="shared" si="58"/>
        <v>1756241185.0298815</v>
      </c>
      <c r="F114" s="575">
        <f t="shared" si="58"/>
        <v>1663807438.4493613</v>
      </c>
      <c r="G114" s="575">
        <f t="shared" si="58"/>
        <v>1571373691.8688412</v>
      </c>
      <c r="H114" s="575">
        <f t="shared" si="58"/>
        <v>1478939945.288321</v>
      </c>
      <c r="I114" s="575">
        <f t="shared" si="58"/>
        <v>1386506198.7078011</v>
      </c>
      <c r="J114" s="575">
        <f t="shared" si="58"/>
        <v>1294072452.127281</v>
      </c>
    </row>
    <row r="115" spans="2:10" x14ac:dyDescent="0.25">
      <c r="B115" t="s">
        <v>1766</v>
      </c>
      <c r="D115" s="575">
        <f t="shared" si="58"/>
        <v>435939014.79198122</v>
      </c>
      <c r="E115" s="575">
        <f t="shared" si="58"/>
        <v>414142064.05238217</v>
      </c>
      <c r="F115" s="575">
        <f t="shared" si="58"/>
        <v>392345113.31278306</v>
      </c>
      <c r="G115" s="575">
        <f t="shared" si="58"/>
        <v>370548162.57318401</v>
      </c>
      <c r="H115" s="575">
        <f t="shared" si="58"/>
        <v>348751211.83358496</v>
      </c>
      <c r="I115" s="575">
        <f t="shared" si="58"/>
        <v>326954261.09398592</v>
      </c>
      <c r="J115" s="575">
        <f t="shared" si="58"/>
        <v>305157310.35438681</v>
      </c>
    </row>
    <row r="116" spans="2:10" x14ac:dyDescent="0.25">
      <c r="B116" t="s">
        <v>1765</v>
      </c>
      <c r="D116" s="575">
        <f t="shared" si="58"/>
        <v>523949740.18559122</v>
      </c>
      <c r="E116" s="575">
        <f t="shared" si="58"/>
        <v>497752253.17631167</v>
      </c>
      <c r="F116" s="575">
        <f t="shared" si="58"/>
        <v>471554766.16703212</v>
      </c>
      <c r="G116" s="575">
        <f t="shared" si="58"/>
        <v>445357279.15775257</v>
      </c>
      <c r="H116" s="575">
        <f t="shared" si="58"/>
        <v>419159792.14847302</v>
      </c>
      <c r="I116" s="575">
        <f t="shared" si="58"/>
        <v>392962305.13919342</v>
      </c>
      <c r="J116" s="575">
        <f t="shared" si="58"/>
        <v>366764818.12991381</v>
      </c>
    </row>
    <row r="117" spans="2:10" x14ac:dyDescent="0.25">
      <c r="B117" s="1085" t="s">
        <v>1812</v>
      </c>
      <c r="C117" s="454"/>
      <c r="D117" s="1086">
        <f>SUM(D118:D121)</f>
        <v>3359751789.24856</v>
      </c>
      <c r="E117" s="1086">
        <f t="shared" ref="E117" si="59">SUM(E118:E121)</f>
        <v>3023776610.3237042</v>
      </c>
      <c r="F117" s="1086">
        <f t="shared" ref="F117" si="60">SUM(F118:F121)</f>
        <v>2687801431.3988476</v>
      </c>
      <c r="G117" s="1086">
        <f t="shared" ref="G117" si="61">SUM(G118:G121)</f>
        <v>2351826252.4739914</v>
      </c>
      <c r="H117" s="1086">
        <f t="shared" ref="H117" si="62">SUM(H118:H121)</f>
        <v>2015851073.5491362</v>
      </c>
      <c r="I117" s="1086">
        <f t="shared" ref="I117" si="63">SUM(I118:I121)</f>
        <v>1679875894.62428</v>
      </c>
      <c r="J117" s="1086">
        <f t="shared" ref="J117" si="64">SUM(J118:J121)</f>
        <v>1343900715.6994238</v>
      </c>
    </row>
    <row r="118" spans="2:10" x14ac:dyDescent="0.25">
      <c r="B118" t="s">
        <v>1388</v>
      </c>
      <c r="D118">
        <f>D102*$C4</f>
        <v>551188102.66058588</v>
      </c>
      <c r="E118">
        <f t="shared" ref="E118:J118" si="65">E102*$C4</f>
        <v>496069292.39452732</v>
      </c>
      <c r="F118">
        <f t="shared" si="65"/>
        <v>440950482.12846875</v>
      </c>
      <c r="G118">
        <f t="shared" si="65"/>
        <v>385831671.86241007</v>
      </c>
      <c r="H118">
        <f t="shared" si="65"/>
        <v>330712861.5963515</v>
      </c>
      <c r="I118">
        <f t="shared" si="65"/>
        <v>275594051.33029294</v>
      </c>
      <c r="J118">
        <f t="shared" si="65"/>
        <v>220475241.06423438</v>
      </c>
    </row>
    <row r="119" spans="2:10" x14ac:dyDescent="0.25">
      <c r="B119" t="s">
        <v>1362</v>
      </c>
      <c r="D119">
        <f t="shared" ref="D119:J121" si="66">D103*$C5</f>
        <v>1848674931.6104014</v>
      </c>
      <c r="E119">
        <f t="shared" si="66"/>
        <v>1663807438.4493613</v>
      </c>
      <c r="F119">
        <f t="shared" si="66"/>
        <v>1478939945.288321</v>
      </c>
      <c r="G119">
        <f t="shared" si="66"/>
        <v>1294072452.127281</v>
      </c>
      <c r="H119">
        <f t="shared" si="66"/>
        <v>1109204958.9662409</v>
      </c>
      <c r="I119">
        <f t="shared" si="66"/>
        <v>924337465.8052007</v>
      </c>
      <c r="J119">
        <f t="shared" si="66"/>
        <v>739469972.64416051</v>
      </c>
    </row>
    <row r="120" spans="2:10" x14ac:dyDescent="0.25">
      <c r="B120" t="s">
        <v>1766</v>
      </c>
      <c r="D120">
        <f t="shared" si="66"/>
        <v>435939014.79198122</v>
      </c>
      <c r="E120">
        <f t="shared" si="66"/>
        <v>392345113.31278306</v>
      </c>
      <c r="F120">
        <f t="shared" si="66"/>
        <v>348751211.83358496</v>
      </c>
      <c r="G120">
        <f t="shared" si="66"/>
        <v>305157310.35438681</v>
      </c>
      <c r="H120">
        <f t="shared" si="66"/>
        <v>261563408.87518871</v>
      </c>
      <c r="I120">
        <f t="shared" si="66"/>
        <v>217969507.39599061</v>
      </c>
      <c r="J120">
        <f t="shared" si="66"/>
        <v>174375605.91679248</v>
      </c>
    </row>
    <row r="121" spans="2:10" x14ac:dyDescent="0.25">
      <c r="B121" t="s">
        <v>1765</v>
      </c>
      <c r="D121">
        <f t="shared" si="66"/>
        <v>523949740.18559122</v>
      </c>
      <c r="E121">
        <f t="shared" si="66"/>
        <v>471554766.16703212</v>
      </c>
      <c r="F121">
        <f t="shared" si="66"/>
        <v>419159792.14847302</v>
      </c>
      <c r="G121">
        <f t="shared" si="66"/>
        <v>366764818.12991381</v>
      </c>
      <c r="H121">
        <f t="shared" si="66"/>
        <v>314369844.11135471</v>
      </c>
      <c r="I121">
        <f t="shared" si="66"/>
        <v>261974870.09279561</v>
      </c>
      <c r="J121">
        <f t="shared" si="66"/>
        <v>209579896.07423651</v>
      </c>
    </row>
    <row r="122" spans="2:10" x14ac:dyDescent="0.25">
      <c r="B122" s="1085" t="s">
        <v>1813</v>
      </c>
      <c r="C122" s="454"/>
      <c r="D122" s="1086">
        <f>SUM(D123:D126)</f>
        <v>3359751789.24856</v>
      </c>
      <c r="E122" s="1086">
        <f t="shared" ref="E122" si="67">SUM(E123:E126)</f>
        <v>2855789020.8612757</v>
      </c>
      <c r="F122" s="1086">
        <f t="shared" ref="F122" si="68">SUM(F123:F126)</f>
        <v>2351826252.4739914</v>
      </c>
      <c r="G122" s="1086">
        <f t="shared" ref="G122" si="69">SUM(G123:G126)</f>
        <v>1847863484.0867081</v>
      </c>
      <c r="H122" s="1086">
        <f t="shared" ref="H122" si="70">SUM(H123:H126)</f>
        <v>1343900715.6994238</v>
      </c>
      <c r="I122" s="1086">
        <f t="shared" ref="I122" si="71">SUM(I123:I126)</f>
        <v>839937947.31213999</v>
      </c>
      <c r="J122" s="1086">
        <f t="shared" ref="J122" si="72">SUM(J123:J126)</f>
        <v>335975178.92485589</v>
      </c>
    </row>
    <row r="123" spans="2:10" x14ac:dyDescent="0.25">
      <c r="B123" t="s">
        <v>1388</v>
      </c>
      <c r="D123">
        <f>D107*$C4</f>
        <v>551188102.66058588</v>
      </c>
      <c r="E123">
        <f t="shared" ref="E123:J123" si="73">E107*$C4</f>
        <v>468509887.26149803</v>
      </c>
      <c r="F123">
        <f t="shared" si="73"/>
        <v>385831671.86241007</v>
      </c>
      <c r="G123">
        <f t="shared" si="73"/>
        <v>303153456.46332228</v>
      </c>
      <c r="H123">
        <f t="shared" si="73"/>
        <v>220475241.06423438</v>
      </c>
      <c r="I123">
        <f t="shared" si="73"/>
        <v>137797025.66514647</v>
      </c>
      <c r="J123">
        <f t="shared" si="73"/>
        <v>55118810.266058572</v>
      </c>
    </row>
    <row r="124" spans="2:10" x14ac:dyDescent="0.25">
      <c r="B124" t="s">
        <v>1362</v>
      </c>
      <c r="D124">
        <f t="shared" ref="D124:J126" si="74">D108*$C5</f>
        <v>1848674931.6104014</v>
      </c>
      <c r="E124">
        <f t="shared" si="74"/>
        <v>1571373691.8688412</v>
      </c>
      <c r="F124">
        <f t="shared" si="74"/>
        <v>1294072452.127281</v>
      </c>
      <c r="G124">
        <f t="shared" si="74"/>
        <v>1016771212.3857208</v>
      </c>
      <c r="H124">
        <f t="shared" si="74"/>
        <v>739469972.64416051</v>
      </c>
      <c r="I124">
        <f t="shared" si="74"/>
        <v>462168732.90260035</v>
      </c>
      <c r="J124">
        <f t="shared" si="74"/>
        <v>184867493.1610401</v>
      </c>
    </row>
    <row r="125" spans="2:10" x14ac:dyDescent="0.25">
      <c r="B125" t="s">
        <v>1766</v>
      </c>
      <c r="D125">
        <f t="shared" si="74"/>
        <v>435939014.79198122</v>
      </c>
      <c r="E125">
        <f t="shared" si="74"/>
        <v>370548162.57318401</v>
      </c>
      <c r="F125">
        <f t="shared" si="74"/>
        <v>305157310.35438681</v>
      </c>
      <c r="G125">
        <f t="shared" si="74"/>
        <v>239766458.13558969</v>
      </c>
      <c r="H125">
        <f t="shared" si="74"/>
        <v>174375605.91679248</v>
      </c>
      <c r="I125">
        <f t="shared" si="74"/>
        <v>108984753.69799531</v>
      </c>
      <c r="J125">
        <f t="shared" si="74"/>
        <v>43593901.479198113</v>
      </c>
    </row>
    <row r="126" spans="2:10" x14ac:dyDescent="0.25">
      <c r="B126" t="s">
        <v>1765</v>
      </c>
      <c r="D126">
        <f t="shared" si="74"/>
        <v>523949740.18559122</v>
      </c>
      <c r="E126">
        <f t="shared" si="74"/>
        <v>445357279.15775257</v>
      </c>
      <c r="F126">
        <f t="shared" si="74"/>
        <v>366764818.12991381</v>
      </c>
      <c r="G126">
        <f t="shared" si="74"/>
        <v>288172357.10207522</v>
      </c>
      <c r="H126">
        <f t="shared" si="74"/>
        <v>209579896.07423651</v>
      </c>
      <c r="I126">
        <f t="shared" si="74"/>
        <v>130987435.04639781</v>
      </c>
      <c r="J126">
        <f t="shared" si="74"/>
        <v>52394974.018559113</v>
      </c>
    </row>
    <row r="128" spans="2:10" x14ac:dyDescent="0.25">
      <c r="D128">
        <v>0</v>
      </c>
      <c r="E128" s="1025">
        <f t="shared" ref="E128:J128" si="75">E86</f>
        <v>0.05</v>
      </c>
      <c r="F128" s="1025">
        <f t="shared" si="75"/>
        <v>0.1</v>
      </c>
      <c r="G128" s="1025">
        <f t="shared" si="75"/>
        <v>0.15000000000000002</v>
      </c>
      <c r="H128" s="1025">
        <f t="shared" si="75"/>
        <v>0.2</v>
      </c>
      <c r="I128" s="1025">
        <f t="shared" si="75"/>
        <v>0.25</v>
      </c>
      <c r="J128" s="1025">
        <f t="shared" si="75"/>
        <v>0.3</v>
      </c>
    </row>
    <row r="129" spans="2:10" x14ac:dyDescent="0.25">
      <c r="C129" t="s">
        <v>1826</v>
      </c>
      <c r="D129" s="679">
        <f>D87</f>
        <v>1158794790.3995001</v>
      </c>
      <c r="E129" s="679">
        <f t="shared" ref="E129:J129" si="76">E87</f>
        <v>1216734529.9194751</v>
      </c>
      <c r="F129" s="679">
        <f t="shared" si="76"/>
        <v>1274674269.4394503</v>
      </c>
      <c r="G129" s="679">
        <f t="shared" si="76"/>
        <v>1332614008.959425</v>
      </c>
      <c r="H129" s="679">
        <f t="shared" si="76"/>
        <v>1390553748.4794002</v>
      </c>
      <c r="I129" s="679">
        <f t="shared" si="76"/>
        <v>1448493487.9993751</v>
      </c>
      <c r="J129" s="679">
        <f t="shared" si="76"/>
        <v>1506433227.5193503</v>
      </c>
    </row>
    <row r="130" spans="2:10" x14ac:dyDescent="0.25">
      <c r="C130" s="1020" t="s">
        <v>1829</v>
      </c>
      <c r="D130" s="679">
        <f>D112</f>
        <v>3359751789.24856</v>
      </c>
      <c r="E130" s="679">
        <f t="shared" ref="E130:J130" si="77">E112</f>
        <v>3191764199.7861314</v>
      </c>
      <c r="F130" s="679">
        <f t="shared" si="77"/>
        <v>3023776610.3237042</v>
      </c>
      <c r="G130" s="679">
        <f t="shared" si="77"/>
        <v>2855789020.8612757</v>
      </c>
      <c r="H130" s="679">
        <f t="shared" si="77"/>
        <v>2687801431.3988476</v>
      </c>
      <c r="I130" s="679">
        <f t="shared" si="77"/>
        <v>2519813841.93642</v>
      </c>
      <c r="J130" s="679">
        <f t="shared" si="77"/>
        <v>2351826252.4739914</v>
      </c>
    </row>
    <row r="131" spans="2:10" x14ac:dyDescent="0.25">
      <c r="C131" s="1020" t="s">
        <v>1830</v>
      </c>
      <c r="D131" s="679">
        <f>D117</f>
        <v>3359751789.24856</v>
      </c>
      <c r="E131" s="679">
        <f t="shared" ref="E131:J131" si="78">E117</f>
        <v>3023776610.3237042</v>
      </c>
      <c r="F131" s="679">
        <f t="shared" si="78"/>
        <v>2687801431.3988476</v>
      </c>
      <c r="G131" s="679">
        <f t="shared" si="78"/>
        <v>2351826252.4739914</v>
      </c>
      <c r="H131" s="679">
        <f t="shared" si="78"/>
        <v>2015851073.5491362</v>
      </c>
      <c r="I131" s="679">
        <f t="shared" si="78"/>
        <v>1679875894.62428</v>
      </c>
      <c r="J131" s="679">
        <f t="shared" si="78"/>
        <v>1343900715.6994238</v>
      </c>
    </row>
    <row r="132" spans="2:10" x14ac:dyDescent="0.25">
      <c r="C132" s="1020" t="s">
        <v>1831</v>
      </c>
      <c r="D132" s="679">
        <f>D122</f>
        <v>3359751789.24856</v>
      </c>
      <c r="E132" s="679">
        <f t="shared" ref="E132:J132" si="79">E122</f>
        <v>2855789020.8612757</v>
      </c>
      <c r="F132" s="679">
        <f t="shared" si="79"/>
        <v>2351826252.4739914</v>
      </c>
      <c r="G132" s="679">
        <f t="shared" si="79"/>
        <v>1847863484.0867081</v>
      </c>
      <c r="H132" s="679">
        <f t="shared" si="79"/>
        <v>1343900715.6994238</v>
      </c>
      <c r="I132" s="679">
        <f t="shared" si="79"/>
        <v>839937947.31213999</v>
      </c>
      <c r="J132" s="679">
        <f t="shared" si="79"/>
        <v>335975178.92485589</v>
      </c>
    </row>
    <row r="134" spans="2:10" x14ac:dyDescent="0.25">
      <c r="C134" t="s">
        <v>1826</v>
      </c>
      <c r="E134" s="679">
        <f>E129-$D$129</f>
        <v>57939739.519974947</v>
      </c>
      <c r="F134" s="679">
        <f t="shared" ref="F134:J134" si="80">F129-$D$129</f>
        <v>115879479.03995013</v>
      </c>
      <c r="G134" s="679">
        <f t="shared" si="80"/>
        <v>173819218.55992484</v>
      </c>
      <c r="H134" s="679">
        <f t="shared" si="80"/>
        <v>231758958.07990003</v>
      </c>
      <c r="I134" s="679">
        <f t="shared" si="80"/>
        <v>289698697.59987497</v>
      </c>
      <c r="J134" s="679">
        <f t="shared" si="80"/>
        <v>347638437.11985016</v>
      </c>
    </row>
    <row r="135" spans="2:10" x14ac:dyDescent="0.25">
      <c r="B135" t="s">
        <v>1763</v>
      </c>
      <c r="C135" s="1020" t="s">
        <v>1829</v>
      </c>
      <c r="D135" s="679">
        <f>$D$112-D130</f>
        <v>0</v>
      </c>
      <c r="E135" s="679">
        <f t="shared" ref="E135:J135" si="81">$D$112-E130</f>
        <v>167987589.46242857</v>
      </c>
      <c r="F135" s="679">
        <f t="shared" si="81"/>
        <v>335975178.92485571</v>
      </c>
      <c r="G135" s="679">
        <f t="shared" si="81"/>
        <v>503962768.38728428</v>
      </c>
      <c r="H135" s="679">
        <f t="shared" si="81"/>
        <v>671950357.84971237</v>
      </c>
      <c r="I135" s="679">
        <f t="shared" si="81"/>
        <v>839937947.31213999</v>
      </c>
      <c r="J135" s="679">
        <f t="shared" si="81"/>
        <v>1007925536.7745686</v>
      </c>
    </row>
    <row r="136" spans="2:10" x14ac:dyDescent="0.25">
      <c r="C136" s="1020" t="s">
        <v>1830</v>
      </c>
      <c r="D136" s="679">
        <f t="shared" ref="D136:J137" si="82">$D$112-D131</f>
        <v>0</v>
      </c>
      <c r="E136" s="679">
        <f t="shared" si="82"/>
        <v>335975178.92485571</v>
      </c>
      <c r="F136" s="679">
        <f t="shared" si="82"/>
        <v>671950357.84971237</v>
      </c>
      <c r="G136" s="679">
        <f t="shared" si="82"/>
        <v>1007925536.7745686</v>
      </c>
      <c r="H136" s="679">
        <f t="shared" si="82"/>
        <v>1343900715.6994238</v>
      </c>
      <c r="I136" s="679">
        <f t="shared" si="82"/>
        <v>1679875894.62428</v>
      </c>
      <c r="J136" s="679">
        <f t="shared" si="82"/>
        <v>2015851073.5491362</v>
      </c>
    </row>
    <row r="137" spans="2:10" x14ac:dyDescent="0.25">
      <c r="C137" s="1020" t="s">
        <v>1831</v>
      </c>
      <c r="D137" s="679">
        <f t="shared" si="82"/>
        <v>0</v>
      </c>
      <c r="E137" s="679">
        <f t="shared" si="82"/>
        <v>503962768.38728428</v>
      </c>
      <c r="F137" s="679">
        <f t="shared" si="82"/>
        <v>1007925536.7745686</v>
      </c>
      <c r="G137" s="679">
        <f t="shared" si="82"/>
        <v>1511888305.1618519</v>
      </c>
      <c r="H137" s="679">
        <f t="shared" si="82"/>
        <v>2015851073.5491362</v>
      </c>
      <c r="I137" s="679">
        <f t="shared" si="82"/>
        <v>2519813841.93642</v>
      </c>
      <c r="J137" s="679">
        <f t="shared" si="82"/>
        <v>3023776610.3237042</v>
      </c>
    </row>
  </sheetData>
  <pageMargins left="0.7" right="0.7" top="0.75" bottom="0.75" header="0.3" footer="0.3"/>
  <pageSetup paperSize="9" orientation="portrait" horizontalDpi="0" verticalDpi="0"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47"/>
  <sheetViews>
    <sheetView showGridLines="0" zoomScale="70" zoomScaleNormal="70" zoomScalePageLayoutView="70" workbookViewId="0">
      <selection activeCell="C43" sqref="C43"/>
    </sheetView>
  </sheetViews>
  <sheetFormatPr defaultColWidth="8.85546875" defaultRowHeight="12.75" x14ac:dyDescent="0.2"/>
  <cols>
    <col min="1" max="2" width="8.85546875" style="5"/>
    <col min="3" max="3" width="30" style="5" bestFit="1" customWidth="1"/>
    <col min="4" max="4" width="16.85546875" style="5" customWidth="1"/>
    <col min="5" max="6" width="17.85546875" style="5" bestFit="1" customWidth="1"/>
    <col min="7" max="8" width="16.85546875" style="5" customWidth="1"/>
    <col min="9" max="10" width="8.85546875" style="5"/>
    <col min="11" max="11" width="14" style="366" bestFit="1" customWidth="1"/>
    <col min="12" max="13" width="12.85546875" style="366" bestFit="1" customWidth="1"/>
    <col min="14" max="16384" width="8.85546875" style="5"/>
  </cols>
  <sheetData>
    <row r="2" spans="2:13" x14ac:dyDescent="0.2">
      <c r="C2" s="5" t="s">
        <v>945</v>
      </c>
    </row>
    <row r="3" spans="2:13" x14ac:dyDescent="0.2">
      <c r="C3" s="5" t="s">
        <v>946</v>
      </c>
    </row>
    <row r="4" spans="2:13" x14ac:dyDescent="0.2">
      <c r="C4" s="5" t="s">
        <v>947</v>
      </c>
      <c r="D4" s="5" t="s">
        <v>950</v>
      </c>
    </row>
    <row r="5" spans="2:13" x14ac:dyDescent="0.2">
      <c r="C5" s="5" t="s">
        <v>948</v>
      </c>
    </row>
    <row r="6" spans="2:13" x14ac:dyDescent="0.2">
      <c r="C6" s="5" t="s">
        <v>949</v>
      </c>
    </row>
    <row r="7" spans="2:13" x14ac:dyDescent="0.2">
      <c r="D7" s="5" t="s">
        <v>951</v>
      </c>
    </row>
    <row r="8" spans="2:13" x14ac:dyDescent="0.2">
      <c r="D8" s="5" t="s">
        <v>952</v>
      </c>
    </row>
    <row r="9" spans="2:13" x14ac:dyDescent="0.2">
      <c r="D9" s="5" t="s">
        <v>953</v>
      </c>
    </row>
    <row r="10" spans="2:13" x14ac:dyDescent="0.2">
      <c r="D10" s="5" t="s">
        <v>954</v>
      </c>
    </row>
    <row r="12" spans="2:13" ht="15" x14ac:dyDescent="0.25">
      <c r="C12"/>
      <c r="G12" s="5" t="s">
        <v>12</v>
      </c>
    </row>
    <row r="13" spans="2:13" x14ac:dyDescent="0.2">
      <c r="D13" s="288"/>
      <c r="E13" s="289"/>
      <c r="F13" s="290"/>
      <c r="G13" s="291"/>
      <c r="H13" s="292"/>
    </row>
    <row r="14" spans="2:13" x14ac:dyDescent="0.2">
      <c r="D14" s="1130" t="s">
        <v>381</v>
      </c>
      <c r="E14" s="1130"/>
      <c r="F14" s="1130"/>
      <c r="G14" s="28" t="s">
        <v>382</v>
      </c>
      <c r="H14" s="29" t="s">
        <v>383</v>
      </c>
    </row>
    <row r="15" spans="2:13" x14ac:dyDescent="0.2">
      <c r="D15" s="336" t="s">
        <v>384</v>
      </c>
      <c r="E15" s="336" t="s">
        <v>385</v>
      </c>
      <c r="F15" s="336" t="s">
        <v>386</v>
      </c>
      <c r="G15" s="28" t="s">
        <v>384</v>
      </c>
      <c r="H15" s="29" t="s">
        <v>384</v>
      </c>
    </row>
    <row r="16" spans="2:13" x14ac:dyDescent="0.2">
      <c r="B16" s="5" t="s">
        <v>984</v>
      </c>
      <c r="C16" s="4" t="s">
        <v>945</v>
      </c>
      <c r="D16" s="239">
        <f>SUMIF(NDOH!$R:$R,$B16,NDOH!H:H)+SUMIF(PDOH!$R:$R,$B16,PDOH!H:H)+SUMIF('DM&amp;Metros'!$R:$R,$B16,'DM&amp;Metros'!H:H)+SUMIF(NDSD!$R:$R,$B16,NDSD!H:H)+SUMIF(PDSD!$R:$R,$B16,PDSD!H:H)+SUMIF(SASSA!$R:$R,$B16,SASSA!H:H)+SUMIF(Agriculture!$R:$R,$B16,Agriculture!H:H)</f>
        <v>26025523.812806435</v>
      </c>
      <c r="E16" s="239">
        <f>SUMIF(NDOH!$R:$R,$B16,NDOH!I:I)+SUMIF(PDOH!$R:$R,$B16,PDOH!I:I)+SUMIF('DM&amp;Metros'!$R:$R,$B16,'DM&amp;Metros'!I:I)+SUMIF(NDSD!$R:$R,$B16,NDSD!I:I)+SUMIF(PDSD!$R:$R,$B16,PDSD!I:I)+SUMIF(SASSA!$R:$R,$B16,SASSA!I:I)+SUMIF(Agriculture!$R:$R,$B16,Agriculture!I:I)</f>
        <v>27642877.561622951</v>
      </c>
      <c r="F16" s="239">
        <f>SUMIF(NDOH!$R:$R,$B16,NDOH!J:J)+SUMIF(PDOH!$R:$R,$B16,PDOH!J:J)+SUMIF('DM&amp;Metros'!$R:$R,$B16,'DM&amp;Metros'!J:J)+SUMIF(NDSD!$R:$R,$B16,NDSD!J:J)+SUMIF(PDSD!$R:$R,$B16,PDSD!J:J)+SUMIF(SASSA!$R:$R,$B16,SASSA!J:J)+SUMIF(Agriculture!$R:$R,$B16,Agriculture!J:J)</f>
        <v>29447419.246070556</v>
      </c>
      <c r="G16" s="239">
        <f>SUMIF(NDOH!$R:$R,$B16,NDOH!K:K)+SUMIF(PDOH!$R:$R,$B16,PDOH!K:K)+SUMIF('DM&amp;Metros'!$R:$R,$B16,'DM&amp;Metros'!K:K)+SUMIF(NDSD!$R:$R,$B16,NDSD!K:K)+SUMIF(PDSD!$R:$R,$B16,PDSD!K:K)+SUMIF(SASSA!$R:$R,$B16,SASSA!K:K)+SUMIF(Agriculture!$R:$R,$B16,Agriculture!K:K)</f>
        <v>23939069.750795592</v>
      </c>
      <c r="H16" s="239">
        <f>SUMIF(NDOH!$R:$R,$B16,NDOH!M:M)+SUMIF(PDOH!$R:$R,$B16,PDOH!M:M)+SUMIF('DM&amp;Metros'!$R:$R,$B16,'DM&amp;Metros'!M:M)+SUMIF(NDSD!$R:$R,$B16,NDSD!M:M)+SUMIF(PDSD!$R:$R,$B16,PDSD!M:M)+SUMIF(SASSA!$R:$R,$B16,SASSA!M:M)+SUMIF(Agriculture!$R:$R,$B16,Agriculture!M:M)</f>
        <v>24567210.276962057</v>
      </c>
      <c r="K16" s="366">
        <f>D16-SUM(D17:D20)</f>
        <v>0</v>
      </c>
      <c r="L16" s="366">
        <f t="shared" ref="L16:M16" si="0">E16-SUM(E17:E20)</f>
        <v>0</v>
      </c>
      <c r="M16" s="366">
        <f t="shared" si="0"/>
        <v>0</v>
      </c>
    </row>
    <row r="17" spans="1:13" x14ac:dyDescent="0.2">
      <c r="A17" s="5" t="str">
        <f>CONCATENATE(B17,$B$16)</f>
        <v>COEPM</v>
      </c>
      <c r="B17" s="260" t="s">
        <v>865</v>
      </c>
      <c r="C17" s="6" t="s">
        <v>596</v>
      </c>
      <c r="D17" s="215">
        <f>SUMIF(NDOH!$S:$S,$A17,NDOH!H:H)+SUMIF(PDOH!$S:$S,$A17,PDOH!H:H)+SUMIF('DM&amp;Metros'!$S:$S,$A17,'DM&amp;Metros'!H:H)+SUMIF(NDSD!$S:$S,$A17,NDSD!H:H)+SUMIF(PDSD!$S:$S,$A17,PDSD!H:H)+SUMIF(SASSA!$S:$S,$A17,SASSA!H:H)+SUMIF(Agriculture!$S:$S,$A17,Agriculture!H:H)</f>
        <v>24087562.757841673</v>
      </c>
      <c r="E17" s="215">
        <f>SUMIF(NDOH!$S:$S,$A17,NDOH!I:I)+SUMIF(PDOH!$S:$S,$A17,PDOH!I:I)+SUMIF('DM&amp;Metros'!$S:$S,$A17,'DM&amp;Metros'!I:I)+SUMIF(NDSD!$S:$S,$A17,NDSD!I:I)+SUMIF(PDSD!$S:$S,$A17,PDSD!I:I)+SUMIF(SASSA!$S:$S,$A17,SASSA!I:I)+SUMIF(Agriculture!$S:$S,$A17,Agriculture!I:I)</f>
        <v>25677111.327580158</v>
      </c>
      <c r="F17" s="215">
        <f>SUMIF(NDOH!$S:$S,$A17,NDOH!J:J)+SUMIF(PDOH!$S:$S,$A17,PDOH!J:J)+SUMIF('DM&amp;Metros'!$S:$S,$A17,'DM&amp;Metros'!J:J)+SUMIF(NDSD!$S:$S,$A17,NDSD!J:J)+SUMIF(PDSD!$S:$S,$A17,PDSD!J:J)+SUMIF(SASSA!$S:$S,$A17,SASSA!J:J)+SUMIF(Agriculture!$S:$S,$A17,Agriculture!J:J)</f>
        <v>27371570.10292137</v>
      </c>
      <c r="G17" s="215">
        <f>SUMIF(NDOH!$S:$S,$A17,NDOH!K:K)+SUMIF(PDOH!$S:$S,$A17,PDOH!K:K)+SUMIF('DM&amp;Metros'!$S:$S,$A17,'DM&amp;Metros'!K:K)+SUMIF(NDSD!$S:$S,$A17,NDSD!K:K)+SUMIF(PDSD!$S:$S,$A17,PDSD!K:K)+SUMIF(SASSA!$S:$S,$A17,SASSA!K:K)+SUMIF(Agriculture!$S:$S,$A17,Agriculture!K:K)</f>
        <v>22380481.707268544</v>
      </c>
      <c r="H17" s="215">
        <f>SUMIF(NDOH!$S:$S,$A17,NDOH!M:M)+SUMIF(PDOH!$S:$S,$A17,PDOH!M:M)+SUMIF('DM&amp;Metros'!$S:$S,$A17,'DM&amp;Metros'!M:M)+SUMIF(NDSD!$S:$S,$A17,NDSD!M:M)+SUMIF(PDSD!$S:$S,$A17,PDSD!M:M)+SUMIF(SASSA!$S:$S,$A17,SASSA!M:M)+SUMIF(Agriculture!$S:$S,$A17,Agriculture!M:M)</f>
        <v>23011395.290588029</v>
      </c>
    </row>
    <row r="18" spans="1:13" x14ac:dyDescent="0.2">
      <c r="A18" s="5" t="str">
        <f t="shared" ref="A18:A20" si="1">CONCATENATE(B18,$B$16)</f>
        <v>GSPM</v>
      </c>
      <c r="B18" s="260" t="s">
        <v>866</v>
      </c>
      <c r="C18" s="6" t="s">
        <v>597</v>
      </c>
      <c r="D18" s="215">
        <f>SUMIF(NDOH!$S:$S,$A18,NDOH!H:H)+SUMIF(PDOH!$S:$S,$A18,PDOH!H:H)+SUMIF('DM&amp;Metros'!$S:$S,$A18,'DM&amp;Metros'!H:H)+SUMIF(NDSD!$S:$S,$A18,NDSD!H:H)+SUMIF(PDSD!$S:$S,$A18,PDSD!H:H)+SUMIF(SASSA!$S:$S,$A18,SASSA!H:H)+SUMIF(Agriculture!$S:$S,$A18,Agriculture!H:H)</f>
        <v>1937961.0549647645</v>
      </c>
      <c r="E18" s="215">
        <f>SUMIF(NDOH!$S:$S,$A18,NDOH!I:I)+SUMIF(PDOH!$S:$S,$A18,PDOH!I:I)+SUMIF('DM&amp;Metros'!$S:$S,$A18,'DM&amp;Metros'!I:I)+SUMIF(NDSD!$S:$S,$A18,NDSD!I:I)+SUMIF(PDSD!$S:$S,$A18,PDSD!I:I)+SUMIF(SASSA!$S:$S,$A18,SASSA!I:I)+SUMIF(Agriculture!$S:$S,$A18,Agriculture!I:I)</f>
        <v>1965766.2340427916</v>
      </c>
      <c r="F18" s="215">
        <f>SUMIF(NDOH!$S:$S,$A18,NDOH!J:J)+SUMIF(PDOH!$S:$S,$A18,PDOH!J:J)+SUMIF('DM&amp;Metros'!$S:$S,$A18,'DM&amp;Metros'!J:J)+SUMIF(NDSD!$S:$S,$A18,NDSD!J:J)+SUMIF(PDSD!$S:$S,$A18,PDSD!J:J)+SUMIF(SASSA!$S:$S,$A18,SASSA!J:J)+SUMIF(Agriculture!$S:$S,$A18,Agriculture!J:J)</f>
        <v>2075849.143149188</v>
      </c>
      <c r="G18" s="215">
        <f>SUMIF(NDOH!$S:$S,$A18,NDOH!K:K)+SUMIF(PDOH!$S:$S,$A18,PDOH!K:K)+SUMIF('DM&amp;Metros'!$S:$S,$A18,'DM&amp;Metros'!K:K)+SUMIF(NDSD!$S:$S,$A18,NDSD!K:K)+SUMIF(PDSD!$S:$S,$A18,PDSD!K:K)+SUMIF(SASSA!$S:$S,$A18,SASSA!K:K)+SUMIF(Agriculture!$S:$S,$A18,Agriculture!K:K)</f>
        <v>1558588.0435270469</v>
      </c>
      <c r="H18" s="215">
        <f>SUMIF(NDOH!$S:$S,$A18,NDOH!M:M)+SUMIF(PDOH!$S:$S,$A18,PDOH!M:M)+SUMIF('DM&amp;Metros'!$S:$S,$A18,'DM&amp;Metros'!M:M)+SUMIF(NDSD!$S:$S,$A18,NDSD!M:M)+SUMIF(PDSD!$S:$S,$A18,PDSD!M:M)+SUMIF(SASSA!$S:$S,$A18,SASSA!M:M)+SUMIF(Agriculture!$S:$S,$A18,Agriculture!M:M)</f>
        <v>1555814.9863740271</v>
      </c>
    </row>
    <row r="19" spans="1:13" x14ac:dyDescent="0.2">
      <c r="A19" s="5" t="str">
        <f t="shared" si="1"/>
        <v>MSPM</v>
      </c>
      <c r="B19" s="260" t="s">
        <v>864</v>
      </c>
      <c r="C19" s="6" t="s">
        <v>998</v>
      </c>
      <c r="D19" s="215">
        <f>SUMIF(NDOH!$S:$S,$A19,NDOH!H:H)+SUMIF(PDOH!$S:$S,$A19,PDOH!H:H)+SUMIF('DM&amp;Metros'!$S:$S,$A19,'DM&amp;Metros'!H:H)+SUMIF(NDSD!$S:$S,$A19,NDSD!H:H)+SUMIF(PDSD!$S:$S,$A19,PDSD!H:H)+SUMIF(SASSA!$S:$S,$A19,SASSA!H:H)+SUMIF(Agriculture!$S:$S,$A19,Agriculture!H:H)</f>
        <v>0</v>
      </c>
      <c r="E19" s="215">
        <f>SUMIF(NDOH!$S:$S,$A19,NDOH!I:I)+SUMIF(PDOH!$S:$S,$A19,PDOH!I:I)+SUMIF('DM&amp;Metros'!$S:$S,$A19,'DM&amp;Metros'!I:I)+SUMIF(NDSD!$S:$S,$A19,NDSD!I:I)+SUMIF(PDSD!$S:$S,$A19,PDSD!I:I)+SUMIF(SASSA!$S:$S,$A19,SASSA!I:I)+SUMIF(Agriculture!$S:$S,$A19,Agriculture!I:I)</f>
        <v>0</v>
      </c>
      <c r="F19" s="215">
        <f>SUMIF(NDOH!$S:$S,$A19,NDOH!J:J)+SUMIF(PDOH!$S:$S,$A19,PDOH!J:J)+SUMIF('DM&amp;Metros'!$S:$S,$A19,'DM&amp;Metros'!J:J)+SUMIF(NDSD!$S:$S,$A19,NDSD!J:J)+SUMIF(PDSD!$S:$S,$A19,PDSD!J:J)+SUMIF(SASSA!$S:$S,$A19,SASSA!J:J)+SUMIF(Agriculture!$S:$S,$A19,Agriculture!J:J)</f>
        <v>0</v>
      </c>
      <c r="G19" s="215">
        <f>SUMIF(NDOH!$S:$S,$A19,NDOH!K:K)+SUMIF(PDOH!$S:$S,$A19,PDOH!K:K)+SUMIF('DM&amp;Metros'!$S:$S,$A19,'DM&amp;Metros'!K:K)+SUMIF(NDSD!$S:$S,$A19,NDSD!K:K)+SUMIF(PDSD!$S:$S,$A19,PDSD!K:K)+SUMIF(SASSA!$S:$S,$A19,SASSA!K:K)+SUMIF(Agriculture!$S:$S,$A19,Agriculture!K:K)</f>
        <v>0</v>
      </c>
      <c r="H19" s="215">
        <f>SUMIF(NDOH!$S:$S,$A19,NDOH!M:M)+SUMIF(PDOH!$S:$S,$A19,PDOH!M:M)+SUMIF('DM&amp;Metros'!$S:$S,$A19,'DM&amp;Metros'!M:M)+SUMIF(NDSD!$S:$S,$A19,NDSD!M:M)+SUMIF(PDSD!$S:$S,$A19,PDSD!M:M)+SUMIF(SASSA!$S:$S,$A19,SASSA!M:M)+SUMIF(Agriculture!$S:$S,$A19,Agriculture!M:M)</f>
        <v>0</v>
      </c>
    </row>
    <row r="20" spans="1:13" x14ac:dyDescent="0.2">
      <c r="A20" s="5" t="str">
        <f t="shared" si="1"/>
        <v>TSPM</v>
      </c>
      <c r="B20" s="260" t="s">
        <v>992</v>
      </c>
      <c r="C20" s="6" t="s">
        <v>756</v>
      </c>
      <c r="D20" s="215">
        <f>SUMIF(NDOH!$S:$S,$A20,NDOH!H:H)+SUMIF(PDOH!$S:$S,$A20,PDOH!H:H)+SUMIF('DM&amp;Metros'!$S:$S,$A20,'DM&amp;Metros'!H:H)+SUMIF(NDSD!$S:$S,$A20,NDSD!H:H)+SUMIF(PDSD!$S:$S,$A20,PDSD!H:H)+SUMIF(SASSA!$S:$S,$A20,SASSA!H:H)+SUMIF(Agriculture!$S:$S,$A20,Agriculture!H:H)</f>
        <v>0</v>
      </c>
      <c r="E20" s="215">
        <f>SUMIF(NDOH!$S:$S,$A20,NDOH!I:I)+SUMIF(PDOH!$S:$S,$A20,PDOH!I:I)+SUMIF('DM&amp;Metros'!$S:$S,$A20,'DM&amp;Metros'!I:I)+SUMIF(NDSD!$S:$S,$A20,NDSD!I:I)+SUMIF(PDSD!$S:$S,$A20,PDSD!I:I)+SUMIF(SASSA!$S:$S,$A20,SASSA!I:I)+SUMIF(Agriculture!$S:$S,$A20,Agriculture!I:I)</f>
        <v>0</v>
      </c>
      <c r="F20" s="215">
        <f>SUMIF(NDOH!$S:$S,$A20,NDOH!J:J)+SUMIF(PDOH!$S:$S,$A20,PDOH!J:J)+SUMIF('DM&amp;Metros'!$S:$S,$A20,'DM&amp;Metros'!J:J)+SUMIF(NDSD!$S:$S,$A20,NDSD!J:J)+SUMIF(PDSD!$S:$S,$A20,PDSD!J:J)+SUMIF(SASSA!$S:$S,$A20,SASSA!J:J)+SUMIF(Agriculture!$S:$S,$A20,Agriculture!J:J)</f>
        <v>0</v>
      </c>
      <c r="G20" s="215">
        <f>SUMIF(NDOH!$S:$S,$A20,NDOH!K:K)+SUMIF(PDOH!$S:$S,$A20,PDOH!K:K)+SUMIF('DM&amp;Metros'!$S:$S,$A20,'DM&amp;Metros'!K:K)+SUMIF(NDSD!$S:$S,$A20,NDSD!K:K)+SUMIF(PDSD!$S:$S,$A20,PDSD!K:K)+SUMIF(SASSA!$S:$S,$A20,SASSA!K:K)+SUMIF(Agriculture!$S:$S,$A20,Agriculture!K:K)</f>
        <v>0</v>
      </c>
      <c r="H20" s="215">
        <f>SUMIF(NDOH!$S:$S,$A20,NDOH!M:M)+SUMIF(PDOH!$S:$S,$A20,PDOH!M:M)+SUMIF('DM&amp;Metros'!$S:$S,$A20,'DM&amp;Metros'!M:M)+SUMIF(NDSD!$S:$S,$A20,NDSD!M:M)+SUMIF(PDSD!$S:$S,$A20,PDSD!M:M)+SUMIF(SASSA!$S:$S,$A20,SASSA!M:M)+SUMIF(Agriculture!$S:$S,$A20,Agriculture!M:M)</f>
        <v>0</v>
      </c>
    </row>
    <row r="21" spans="1:13" x14ac:dyDescent="0.2">
      <c r="B21" s="5" t="s">
        <v>985</v>
      </c>
      <c r="C21" s="4" t="s">
        <v>946</v>
      </c>
      <c r="D21" s="239">
        <f>SUMIF(NDOH!$R:$R,$B21,NDOH!H:H)+SUMIF(PDOH!$R:$R,$B21,PDOH!H:H)+SUMIF('DM&amp;Metros'!$R:$R,$B21,'DM&amp;Metros'!H:H)+SUMIF(NDSD!$R:$R,$B21,NDSD!H:H)+SUMIF(PDSD!$R:$R,$B21,PDSD!H:H)+SUMIF(SASSA!$R:$R,$B21,SASSA!H:H)+SUMIF(Agriculture!$R:$R,$B21,Agriculture!H:H)</f>
        <v>176224817.26128435</v>
      </c>
      <c r="E21" s="239">
        <f>SUMIF(NDOH!$R:$R,$B21,NDOH!I:I)+SUMIF(PDOH!$R:$R,$B21,PDOH!I:I)+SUMIF('DM&amp;Metros'!$R:$R,$B21,'DM&amp;Metros'!I:I)+SUMIF(NDSD!$R:$R,$B21,NDSD!I:I)+SUMIF(PDSD!$R:$R,$B21,PDSD!I:I)+SUMIF(SASSA!$R:$R,$B21,SASSA!I:I)+SUMIF(Agriculture!$R:$R,$B21,Agriculture!I:I)</f>
        <v>186106950.88173354</v>
      </c>
      <c r="F21" s="239">
        <f>SUMIF(NDOH!$R:$R,$B21,NDOH!J:J)+SUMIF(PDOH!$R:$R,$B21,PDOH!J:J)+SUMIF('DM&amp;Metros'!$R:$R,$B21,'DM&amp;Metros'!J:J)+SUMIF(NDSD!$R:$R,$B21,NDSD!J:J)+SUMIF(PDSD!$R:$R,$B21,PDSD!J:J)+SUMIF(SASSA!$R:$R,$B21,SASSA!J:J)+SUMIF(Agriculture!$R:$R,$B21,Agriculture!J:J)</f>
        <v>196543377.87927973</v>
      </c>
      <c r="G21" s="239">
        <f>SUMIF(NDOH!$R:$R,$B21,NDOH!K:K)+SUMIF(PDOH!$R:$R,$B21,PDOH!K:K)+SUMIF('DM&amp;Metros'!$R:$R,$B21,'DM&amp;Metros'!K:K)+SUMIF(NDSD!$R:$R,$B21,NDSD!K:K)+SUMIF(PDSD!$R:$R,$B21,PDSD!K:K)+SUMIF(SASSA!$R:$R,$B21,SASSA!K:K)+SUMIF(Agriculture!$R:$R,$B21,Agriculture!K:K)</f>
        <v>145982580.02501512</v>
      </c>
      <c r="H21" s="239">
        <f>SUMIF(NDOH!$R:$R,$B21,NDOH!M:M)+SUMIF(PDOH!$R:$R,$B21,PDOH!M:M)+SUMIF('DM&amp;Metros'!$R:$R,$B21,'DM&amp;Metros'!M:M)+SUMIF(NDSD!$R:$R,$B21,NDSD!M:M)+SUMIF(PDSD!$R:$R,$B21,PDSD!M:M)+SUMIF(SASSA!$R:$R,$B21,SASSA!M:M)+SUMIF(Agriculture!$R:$R,$B21,Agriculture!M:M)</f>
        <v>175460845.74465516</v>
      </c>
      <c r="K21" s="366">
        <f>D21-SUM(D22:D25)</f>
        <v>0</v>
      </c>
      <c r="L21" s="366">
        <f t="shared" ref="L21" si="2">E21-SUM(E22:E25)</f>
        <v>0</v>
      </c>
      <c r="M21" s="366">
        <f t="shared" ref="M21" si="3">F21-SUM(F22:F25)</f>
        <v>0</v>
      </c>
    </row>
    <row r="22" spans="1:13" x14ac:dyDescent="0.2">
      <c r="A22" s="5" t="str">
        <f>CONCATENATE(B22,$B$21)</f>
        <v>COEEC</v>
      </c>
      <c r="B22" s="260" t="s">
        <v>865</v>
      </c>
      <c r="C22" s="6" t="s">
        <v>596</v>
      </c>
      <c r="D22" s="215">
        <f>SUMIF(NDOH!$S:$S,$A22,NDOH!H:H)+SUMIF(PDOH!$S:$S,$A22,PDOH!H:H)+SUMIF('DM&amp;Metros'!$S:$S,$A22,'DM&amp;Metros'!H:H)+SUMIF(NDSD!$S:$S,$A22,NDSD!H:H)+SUMIF(PDSD!$S:$S,$A22,PDSD!H:H)+SUMIF(SASSA!$S:$S,$A22,SASSA!H:H)+SUMIF(Agriculture!$S:$S,$A22,Agriculture!H:H)</f>
        <v>1354385.3817219452</v>
      </c>
      <c r="E22" s="215">
        <f>SUMIF(NDOH!$S:$S,$A22,NDOH!I:I)+SUMIF(PDOH!$S:$S,$A22,PDOH!I:I)+SUMIF('DM&amp;Metros'!$S:$S,$A22,'DM&amp;Metros'!I:I)+SUMIF(NDSD!$S:$S,$A22,NDSD!I:I)+SUMIF(PDSD!$S:$S,$A22,PDSD!I:I)+SUMIF(SASSA!$S:$S,$A22,SASSA!I:I)+SUMIF(Agriculture!$S:$S,$A22,Agriculture!I:I)</f>
        <v>1443774.8169155936</v>
      </c>
      <c r="F22" s="215">
        <f>SUMIF(NDOH!$S:$S,$A22,NDOH!J:J)+SUMIF(PDOH!$S:$S,$A22,PDOH!J:J)+SUMIF('DM&amp;Metros'!$S:$S,$A22,'DM&amp;Metros'!J:J)+SUMIF(NDSD!$S:$S,$A22,NDSD!J:J)+SUMIF(PDSD!$S:$S,$A22,PDSD!J:J)+SUMIF(SASSA!$S:$S,$A22,SASSA!J:J)+SUMIF(Agriculture!$S:$S,$A22,Agriculture!J:J)</f>
        <v>1539063.954832023</v>
      </c>
      <c r="G22" s="215">
        <f>SUMIF(NDOH!$S:$S,$A22,NDOH!K:K)+SUMIF(PDOH!$S:$S,$A22,PDOH!K:K)+SUMIF('DM&amp;Metros'!$S:$S,$A22,'DM&amp;Metros'!K:K)+SUMIF(NDSD!$S:$S,$A22,NDSD!K:K)+SUMIF(PDSD!$S:$S,$A22,PDSD!K:K)+SUMIF(SASSA!$S:$S,$A22,SASSA!K:K)+SUMIF(Agriculture!$S:$S,$A22,Agriculture!K:K)</f>
        <v>1354385.3817219452</v>
      </c>
      <c r="H22" s="215">
        <f>SUMIF(NDOH!$S:$S,$A22,NDOH!M:M)+SUMIF(PDOH!$S:$S,$A22,PDOH!M:M)+SUMIF('DM&amp;Metros'!$S:$S,$A22,'DM&amp;Metros'!M:M)+SUMIF(NDSD!$S:$S,$A22,NDSD!M:M)+SUMIF(PDSD!$S:$S,$A22,PDSD!M:M)+SUMIF(SASSA!$S:$S,$A22,SASSA!M:M)+SUMIF(Agriculture!$S:$S,$A22,Agriculture!M:M)</f>
        <v>1354385.3817219452</v>
      </c>
    </row>
    <row r="23" spans="1:13" x14ac:dyDescent="0.2">
      <c r="A23" s="5" t="str">
        <f t="shared" ref="A23:A25" si="4">CONCATENATE(B23,$B$21)</f>
        <v>GSEC</v>
      </c>
      <c r="B23" s="260" t="s">
        <v>866</v>
      </c>
      <c r="C23" s="6" t="s">
        <v>597</v>
      </c>
      <c r="D23" s="215">
        <f>SUMIF(NDOH!$S:$S,$A23,NDOH!H:H)+SUMIF(PDOH!$S:$S,$A23,PDOH!H:H)+SUMIF('DM&amp;Metros'!$S:$S,$A23,'DM&amp;Metros'!H:H)+SUMIF(NDSD!$S:$S,$A23,NDSD!H:H)+SUMIF(PDSD!$S:$S,$A23,PDSD!H:H)+SUMIF(SASSA!$S:$S,$A23,SASSA!H:H)+SUMIF(Agriculture!$S:$S,$A23,Agriculture!H:H)</f>
        <v>174870431.87956241</v>
      </c>
      <c r="E23" s="215">
        <f>SUMIF(NDOH!$S:$S,$A23,NDOH!I:I)+SUMIF(PDOH!$S:$S,$A23,PDOH!I:I)+SUMIF('DM&amp;Metros'!$S:$S,$A23,'DM&amp;Metros'!I:I)+SUMIF(NDSD!$S:$S,$A23,NDSD!I:I)+SUMIF(PDSD!$S:$S,$A23,PDSD!I:I)+SUMIF(SASSA!$S:$S,$A23,SASSA!I:I)+SUMIF(Agriculture!$S:$S,$A23,Agriculture!I:I)</f>
        <v>184663176.06481794</v>
      </c>
      <c r="F23" s="215">
        <f>SUMIF(NDOH!$S:$S,$A23,NDOH!J:J)+SUMIF(PDOH!$S:$S,$A23,PDOH!J:J)+SUMIF('DM&amp;Metros'!$S:$S,$A23,'DM&amp;Metros'!J:J)+SUMIF(NDSD!$S:$S,$A23,NDSD!J:J)+SUMIF(PDSD!$S:$S,$A23,PDSD!J:J)+SUMIF(SASSA!$S:$S,$A23,SASSA!J:J)+SUMIF(Agriculture!$S:$S,$A23,Agriculture!J:J)</f>
        <v>195004313.92444772</v>
      </c>
      <c r="G23" s="215">
        <f>SUMIF(NDOH!$S:$S,$A23,NDOH!K:K)+SUMIF(PDOH!$S:$S,$A23,PDOH!K:K)+SUMIF('DM&amp;Metros'!$S:$S,$A23,'DM&amp;Metros'!K:K)+SUMIF(NDSD!$S:$S,$A23,NDSD!K:K)+SUMIF(PDSD!$S:$S,$A23,PDSD!K:K)+SUMIF(SASSA!$S:$S,$A23,SASSA!K:K)+SUMIF(Agriculture!$S:$S,$A23,Agriculture!K:K)</f>
        <v>144628194.64329317</v>
      </c>
      <c r="H23" s="215">
        <f>SUMIF(NDOH!$S:$S,$A23,NDOH!M:M)+SUMIF(PDOH!$S:$S,$A23,PDOH!M:M)+SUMIF('DM&amp;Metros'!$S:$S,$A23,'DM&amp;Metros'!M:M)+SUMIF(NDSD!$S:$S,$A23,NDSD!M:M)+SUMIF(PDSD!$S:$S,$A23,PDSD!M:M)+SUMIF(SASSA!$S:$S,$A23,SASSA!M:M)+SUMIF(Agriculture!$S:$S,$A23,Agriculture!M:M)</f>
        <v>174106460.36293322</v>
      </c>
    </row>
    <row r="24" spans="1:13" x14ac:dyDescent="0.2">
      <c r="A24" s="5" t="str">
        <f t="shared" si="4"/>
        <v>MSEC</v>
      </c>
      <c r="B24" s="260" t="s">
        <v>864</v>
      </c>
      <c r="C24" s="6" t="s">
        <v>998</v>
      </c>
      <c r="D24" s="215">
        <f>SUMIF(NDOH!$S:$S,$A24,NDOH!H:H)+SUMIF(PDOH!$S:$S,$A24,PDOH!H:H)+SUMIF('DM&amp;Metros'!$S:$S,$A24,'DM&amp;Metros'!H:H)+SUMIF(NDSD!$S:$S,$A24,NDSD!H:H)+SUMIF(PDSD!$S:$S,$A24,PDSD!H:H)+SUMIF(SASSA!$S:$S,$A24,SASSA!H:H)+SUMIF(Agriculture!$S:$S,$A24,Agriculture!H:H)</f>
        <v>0</v>
      </c>
      <c r="E24" s="215">
        <f>SUMIF(NDOH!$S:$S,$A24,NDOH!I:I)+SUMIF(PDOH!$S:$S,$A24,PDOH!I:I)+SUMIF('DM&amp;Metros'!$S:$S,$A24,'DM&amp;Metros'!I:I)+SUMIF(NDSD!$S:$S,$A24,NDSD!I:I)+SUMIF(PDSD!$S:$S,$A24,PDSD!I:I)+SUMIF(SASSA!$S:$S,$A24,SASSA!I:I)+SUMIF(Agriculture!$S:$S,$A24,Agriculture!I:I)</f>
        <v>0</v>
      </c>
      <c r="F24" s="215">
        <f>SUMIF(NDOH!$S:$S,$A24,NDOH!J:J)+SUMIF(PDOH!$S:$S,$A24,PDOH!J:J)+SUMIF('DM&amp;Metros'!$S:$S,$A24,'DM&amp;Metros'!J:J)+SUMIF(NDSD!$S:$S,$A24,NDSD!J:J)+SUMIF(PDSD!$S:$S,$A24,PDSD!J:J)+SUMIF(SASSA!$S:$S,$A24,SASSA!J:J)+SUMIF(Agriculture!$S:$S,$A24,Agriculture!J:J)</f>
        <v>0</v>
      </c>
      <c r="G24" s="215">
        <f>SUMIF(NDOH!$S:$S,$A24,NDOH!K:K)+SUMIF(PDOH!$S:$S,$A24,PDOH!K:K)+SUMIF('DM&amp;Metros'!$S:$S,$A24,'DM&amp;Metros'!K:K)+SUMIF(NDSD!$S:$S,$A24,NDSD!K:K)+SUMIF(PDSD!$S:$S,$A24,PDSD!K:K)+SUMIF(SASSA!$S:$S,$A24,SASSA!K:K)+SUMIF(Agriculture!$S:$S,$A24,Agriculture!K:K)</f>
        <v>0</v>
      </c>
      <c r="H24" s="215">
        <f>SUMIF(NDOH!$S:$S,$A24,NDOH!M:M)+SUMIF(PDOH!$S:$S,$A24,PDOH!M:M)+SUMIF('DM&amp;Metros'!$S:$S,$A24,'DM&amp;Metros'!M:M)+SUMIF(NDSD!$S:$S,$A24,NDSD!M:M)+SUMIF(PDSD!$S:$S,$A24,PDSD!M:M)+SUMIF(SASSA!$S:$S,$A24,SASSA!M:M)+SUMIF(Agriculture!$S:$S,$A24,Agriculture!M:M)</f>
        <v>0</v>
      </c>
    </row>
    <row r="25" spans="1:13" x14ac:dyDescent="0.2">
      <c r="A25" s="5" t="str">
        <f t="shared" si="4"/>
        <v>TSEC</v>
      </c>
      <c r="B25" s="260" t="s">
        <v>992</v>
      </c>
      <c r="C25" s="6" t="s">
        <v>756</v>
      </c>
      <c r="D25" s="215">
        <f>SUMIF(NDOH!$S:$S,$A25,NDOH!H:H)+SUMIF(PDOH!$S:$S,$A25,PDOH!H:H)+SUMIF('DM&amp;Metros'!$S:$S,$A25,'DM&amp;Metros'!H:H)+SUMIF(NDSD!$S:$S,$A25,NDSD!H:H)+SUMIF(PDSD!$S:$S,$A25,PDSD!H:H)+SUMIF(SASSA!$S:$S,$A25,SASSA!H:H)+SUMIF(Agriculture!$S:$S,$A25,Agriculture!H:H)</f>
        <v>0</v>
      </c>
      <c r="E25" s="215">
        <f>SUMIF(NDOH!$S:$S,$A25,NDOH!I:I)+SUMIF(PDOH!$S:$S,$A25,PDOH!I:I)+SUMIF('DM&amp;Metros'!$S:$S,$A25,'DM&amp;Metros'!I:I)+SUMIF(NDSD!$S:$S,$A25,NDSD!I:I)+SUMIF(PDSD!$S:$S,$A25,PDSD!I:I)+SUMIF(SASSA!$S:$S,$A25,SASSA!I:I)+SUMIF(Agriculture!$S:$S,$A25,Agriculture!I:I)</f>
        <v>0</v>
      </c>
      <c r="F25" s="215">
        <f>SUMIF(NDOH!$S:$S,$A25,NDOH!J:J)+SUMIF(PDOH!$S:$S,$A25,PDOH!J:J)+SUMIF('DM&amp;Metros'!$S:$S,$A25,'DM&amp;Metros'!J:J)+SUMIF(NDSD!$S:$S,$A25,NDSD!J:J)+SUMIF(PDSD!$S:$S,$A25,PDSD!J:J)+SUMIF(SASSA!$S:$S,$A25,SASSA!J:J)+SUMIF(Agriculture!$S:$S,$A25,Agriculture!J:J)</f>
        <v>0</v>
      </c>
      <c r="G25" s="215">
        <f>SUMIF(NDOH!$S:$S,$A25,NDOH!K:K)+SUMIF(PDOH!$S:$S,$A25,PDOH!K:K)+SUMIF('DM&amp;Metros'!$S:$S,$A25,'DM&amp;Metros'!K:K)+SUMIF(NDSD!$S:$S,$A25,NDSD!K:K)+SUMIF(PDSD!$S:$S,$A25,PDSD!K:K)+SUMIF(SASSA!$S:$S,$A25,SASSA!K:K)+SUMIF(Agriculture!$S:$S,$A25,Agriculture!K:K)</f>
        <v>0</v>
      </c>
      <c r="H25" s="215">
        <f>SUMIF(NDOH!$S:$S,$A25,NDOH!M:M)+SUMIF(PDOH!$S:$S,$A25,PDOH!M:M)+SUMIF('DM&amp;Metros'!$S:$S,$A25,'DM&amp;Metros'!M:M)+SUMIF(NDSD!$S:$S,$A25,NDSD!M:M)+SUMIF(PDSD!$S:$S,$A25,PDSD!M:M)+SUMIF(SASSA!$S:$S,$A25,SASSA!M:M)+SUMIF(Agriculture!$S:$S,$A25,Agriculture!M:M)</f>
        <v>0</v>
      </c>
    </row>
    <row r="26" spans="1:13" x14ac:dyDescent="0.2">
      <c r="B26" s="5" t="s">
        <v>986</v>
      </c>
      <c r="C26" s="4" t="s">
        <v>947</v>
      </c>
      <c r="D26" s="239">
        <f>SUMIF(NDOH!$R:$R,$B26,NDOH!H:H)+SUMIF(PDOH!$R:$R,$B26,PDOH!H:H)+SUMIF('DM&amp;Metros'!$R:$R,$B26,'DM&amp;Metros'!H:H)+SUMIF(NDSD!$R:$R,$B26,NDSD!H:H)+SUMIF(PDSD!$R:$R,$B26,PDSD!H:H)+SUMIF(SASSA!$R:$R,$B26,SASSA!H:H)+SUMIF(Agriculture!$R:$R,$B26,Agriculture!H:H)</f>
        <v>10472726078.552628</v>
      </c>
      <c r="E26" s="239">
        <f>SUMIF(NDOH!$R:$R,$B26,NDOH!I:I)+SUMIF(PDOH!$R:$R,$B26,PDOH!I:I)+SUMIF('DM&amp;Metros'!$R:$R,$B26,'DM&amp;Metros'!I:I)+SUMIF(NDSD!$R:$R,$B26,NDSD!I:I)+SUMIF(PDSD!$R:$R,$B26,PDSD!I:I)+SUMIF(SASSA!$R:$R,$B26,SASSA!I:I)+SUMIF(Agriculture!$R:$R,$B26,Agriculture!I:I)</f>
        <v>11062536545.644043</v>
      </c>
      <c r="F26" s="239">
        <f>SUMIF(NDOH!$R:$R,$B26,NDOH!J:J)+SUMIF(PDOH!$R:$R,$B26,PDOH!J:J)+SUMIF('DM&amp;Metros'!$R:$R,$B26,'DM&amp;Metros'!J:J)+SUMIF(NDSD!$R:$R,$B26,NDSD!J:J)+SUMIF(PDSD!$R:$R,$B26,PDSD!J:J)+SUMIF(SASSA!$R:$R,$B26,SASSA!J:J)+SUMIF(Agriculture!$R:$R,$B26,Agriculture!J:J)</f>
        <v>11674611519.103426</v>
      </c>
      <c r="G26" s="239">
        <f>SUMIF(NDOH!$R:$R,$B26,NDOH!K:K)+SUMIF(PDOH!$R:$R,$B26,PDOH!K:K)+SUMIF('DM&amp;Metros'!$R:$R,$B26,'DM&amp;Metros'!K:K)+SUMIF(NDSD!$R:$R,$B26,NDSD!K:K)+SUMIF(PDSD!$R:$R,$B26,PDSD!K:K)+SUMIF(SASSA!$R:$R,$B26,SASSA!K:K)+SUMIF(Agriculture!$R:$R,$B26,Agriculture!K:K)</f>
        <v>7948247546.1777067</v>
      </c>
      <c r="H26" s="239">
        <f>SUMIF(NDOH!$R:$R,$B26,NDOH!M:M)+SUMIF(PDOH!$R:$R,$B26,PDOH!M:M)+SUMIF('DM&amp;Metros'!$R:$R,$B26,'DM&amp;Metros'!M:M)+SUMIF(NDSD!$R:$R,$B26,NDSD!M:M)+SUMIF(PDSD!$R:$R,$B26,PDSD!M:M)+SUMIF(SASSA!$R:$R,$B26,SASSA!M:M)+SUMIF(Agriculture!$R:$R,$B26,Agriculture!M:M)</f>
        <v>9511918963.2011948</v>
      </c>
      <c r="K26" s="366">
        <f>D26-SUM(D27:D30)</f>
        <v>0</v>
      </c>
      <c r="L26" s="366">
        <f t="shared" ref="L26" si="5">E26-SUM(E27:E30)</f>
        <v>0</v>
      </c>
      <c r="M26" s="366">
        <f t="shared" ref="M26" si="6">F26-SUM(F27:F30)</f>
        <v>0</v>
      </c>
    </row>
    <row r="27" spans="1:13" x14ac:dyDescent="0.2">
      <c r="A27" s="5" t="str">
        <f>CONCATENATE(B27,$B$26)</f>
        <v>COEPI</v>
      </c>
      <c r="B27" s="260" t="s">
        <v>865</v>
      </c>
      <c r="C27" s="6" t="s">
        <v>596</v>
      </c>
      <c r="D27" s="215">
        <f>SUMIF(NDOH!$S:$S,$A27,NDOH!H:H)+SUMIF(PDOH!$S:$S,$A27,PDOH!H:H)+SUMIF('DM&amp;Metros'!$S:$S,$A27,'DM&amp;Metros'!H:H)+SUMIF(NDSD!$S:$S,$A27,NDSD!H:H)+SUMIF(PDSD!$S:$S,$A27,PDSD!H:H)+SUMIF(SASSA!$S:$S,$A27,SASSA!H:H)+SUMIF(Agriculture!$S:$S,$A27,Agriculture!H:H)</f>
        <v>1184716006.6918063</v>
      </c>
      <c r="E27" s="215">
        <f>SUMIF(NDOH!$S:$S,$A27,NDOH!I:I)+SUMIF(PDOH!$S:$S,$A27,PDOH!I:I)+SUMIF('DM&amp;Metros'!$S:$S,$A27,'DM&amp;Metros'!I:I)+SUMIF(NDSD!$S:$S,$A27,NDSD!I:I)+SUMIF(PDSD!$S:$S,$A27,PDSD!I:I)+SUMIF(SASSA!$S:$S,$A27,SASSA!I:I)+SUMIF(Agriculture!$S:$S,$A27,Agriculture!I:I)</f>
        <v>1262907263.1334658</v>
      </c>
      <c r="F27" s="215">
        <f>SUMIF(NDOH!$S:$S,$A27,NDOH!J:J)+SUMIF(PDOH!$S:$S,$A27,PDOH!J:J)+SUMIF('DM&amp;Metros'!$S:$S,$A27,'DM&amp;Metros'!J:J)+SUMIF(NDSD!$S:$S,$A27,NDSD!J:J)+SUMIF(PDSD!$S:$S,$A27,PDSD!J:J)+SUMIF(SASSA!$S:$S,$A27,SASSA!J:J)+SUMIF(Agriculture!$S:$S,$A27,Agriculture!J:J)</f>
        <v>1346259142.5002747</v>
      </c>
      <c r="G27" s="215">
        <f>SUMIF(NDOH!$S:$S,$A27,NDOH!K:K)+SUMIF(PDOH!$S:$S,$A27,PDOH!K:K)+SUMIF('DM&amp;Metros'!$S:$S,$A27,'DM&amp;Metros'!K:K)+SUMIF(NDSD!$S:$S,$A27,NDSD!K:K)+SUMIF(PDSD!$S:$S,$A27,PDSD!K:K)+SUMIF(SASSA!$S:$S,$A27,SASSA!K:K)+SUMIF(Agriculture!$S:$S,$A27,Agriculture!K:K)</f>
        <v>206295610.73177332</v>
      </c>
      <c r="H27" s="215">
        <f>SUMIF(NDOH!$S:$S,$A27,NDOH!M:M)+SUMIF(PDOH!$S:$S,$A27,PDOH!M:M)+SUMIF('DM&amp;Metros'!$S:$S,$A27,'DM&amp;Metros'!M:M)+SUMIF(NDSD!$S:$S,$A27,NDSD!M:M)+SUMIF(PDSD!$S:$S,$A27,PDSD!M:M)+SUMIF(SASSA!$S:$S,$A27,SASSA!M:M)+SUMIF(Agriculture!$S:$S,$A27,Agriculture!M:M)</f>
        <v>629419174.36903453</v>
      </c>
    </row>
    <row r="28" spans="1:13" x14ac:dyDescent="0.2">
      <c r="A28" s="5" t="str">
        <f t="shared" ref="A28:A30" si="7">CONCATENATE(B28,$B$26)</f>
        <v>GSPI</v>
      </c>
      <c r="B28" s="260" t="s">
        <v>866</v>
      </c>
      <c r="C28" s="6" t="s">
        <v>597</v>
      </c>
      <c r="D28" s="215">
        <f>SUMIF(NDOH!$S:$S,$A28,NDOH!H:H)+SUMIF(PDOH!$S:$S,$A28,PDOH!H:H)+SUMIF('DM&amp;Metros'!$S:$S,$A28,'DM&amp;Metros'!H:H)+SUMIF(NDSD!$S:$S,$A28,NDSD!H:H)+SUMIF(PDSD!$S:$S,$A28,PDSD!H:H)+SUMIF(SASSA!$S:$S,$A28,SASSA!H:H)+SUMIF(Agriculture!$S:$S,$A28,Agriculture!H:H)</f>
        <v>2974198.7196474834</v>
      </c>
      <c r="E28" s="215">
        <f>SUMIF(NDOH!$S:$S,$A28,NDOH!I:I)+SUMIF(PDOH!$S:$S,$A28,PDOH!I:I)+SUMIF('DM&amp;Metros'!$S:$S,$A28,'DM&amp;Metros'!I:I)+SUMIF(NDSD!$S:$S,$A28,NDSD!I:I)+SUMIF(PDSD!$S:$S,$A28,PDSD!I:I)+SUMIF(SASSA!$S:$S,$A28,SASSA!I:I)+SUMIF(Agriculture!$S:$S,$A28,Agriculture!I:I)</f>
        <v>3131038.4718685318</v>
      </c>
      <c r="F28" s="215">
        <f>SUMIF(NDOH!$S:$S,$A28,NDOH!J:J)+SUMIF(PDOH!$S:$S,$A28,PDOH!J:J)+SUMIF('DM&amp;Metros'!$S:$S,$A28,'DM&amp;Metros'!J:J)+SUMIF(NDSD!$S:$S,$A28,NDSD!J:J)+SUMIF(PDSD!$S:$S,$A28,PDSD!J:J)+SUMIF(SASSA!$S:$S,$A28,SASSA!J:J)+SUMIF(Agriculture!$S:$S,$A28,Agriculture!J:J)</f>
        <v>3303630.8502139584</v>
      </c>
      <c r="G28" s="215">
        <f>SUMIF(NDOH!$S:$S,$A28,NDOH!K:K)+SUMIF(PDOH!$S:$S,$A28,PDOH!K:K)+SUMIF('DM&amp;Metros'!$S:$S,$A28,'DM&amp;Metros'!K:K)+SUMIF(NDSD!$S:$S,$A28,NDSD!K:K)+SUMIF(PDSD!$S:$S,$A28,PDSD!K:K)+SUMIF(SASSA!$S:$S,$A28,SASSA!K:K)+SUMIF(Agriculture!$S:$S,$A28,Agriculture!K:K)</f>
        <v>1725224.9226106438</v>
      </c>
      <c r="H28" s="215">
        <f>SUMIF(NDOH!$S:$S,$A28,NDOH!M:M)+SUMIF(PDOH!$S:$S,$A28,PDOH!M:M)+SUMIF('DM&amp;Metros'!$S:$S,$A28,'DM&amp;Metros'!M:M)+SUMIF(NDSD!$S:$S,$A28,NDSD!M:M)+SUMIF(PDSD!$S:$S,$A28,PDSD!M:M)+SUMIF(SASSA!$S:$S,$A28,SASSA!M:M)+SUMIF(Agriculture!$S:$S,$A28,Agriculture!M:M)</f>
        <v>2641666.4746861123</v>
      </c>
    </row>
    <row r="29" spans="1:13" x14ac:dyDescent="0.2">
      <c r="A29" s="5" t="str">
        <f t="shared" si="7"/>
        <v>MSPI</v>
      </c>
      <c r="B29" s="260" t="s">
        <v>864</v>
      </c>
      <c r="C29" s="6" t="s">
        <v>998</v>
      </c>
      <c r="D29" s="215">
        <f>SUMIF(NDOH!$S:$S,$A29,NDOH!H:H)+SUMIF(PDOH!$S:$S,$A29,PDOH!H:H)+SUMIF('DM&amp;Metros'!$S:$S,$A29,'DM&amp;Metros'!H:H)+SUMIF(NDSD!$S:$S,$A29,NDSD!H:H)+SUMIF(PDSD!$S:$S,$A29,PDSD!H:H)+SUMIF(SASSA!$S:$S,$A29,SASSA!H:H)+SUMIF(Agriculture!$S:$S,$A29,Agriculture!H:H)</f>
        <v>47729891.810816929</v>
      </c>
      <c r="E29" s="215">
        <f>SUMIF(NDOH!$S:$S,$A29,NDOH!I:I)+SUMIF(PDOH!$S:$S,$A29,PDOH!I:I)+SUMIF('DM&amp;Metros'!$S:$S,$A29,'DM&amp;Metros'!I:I)+SUMIF(NDSD!$S:$S,$A29,NDSD!I:I)+SUMIF(PDSD!$S:$S,$A29,PDSD!I:I)+SUMIF(SASSA!$S:$S,$A29,SASSA!I:I)+SUMIF(Agriculture!$S:$S,$A29,Agriculture!I:I)</f>
        <v>52025582.073790453</v>
      </c>
      <c r="F29" s="215">
        <f>SUMIF(NDOH!$S:$S,$A29,NDOH!J:J)+SUMIF(PDOH!$S:$S,$A29,PDOH!J:J)+SUMIF('DM&amp;Metros'!$S:$S,$A29,'DM&amp;Metros'!J:J)+SUMIF(NDSD!$S:$S,$A29,NDSD!J:J)+SUMIF(PDSD!$S:$S,$A29,PDSD!J:J)+SUMIF(SASSA!$S:$S,$A29,SASSA!J:J)+SUMIF(Agriculture!$S:$S,$A29,Agriculture!J:J)</f>
        <v>56707884.460431606</v>
      </c>
      <c r="G29" s="215">
        <f>SUMIF(NDOH!$S:$S,$A29,NDOH!K:K)+SUMIF(PDOH!$S:$S,$A29,PDOH!K:K)+SUMIF('DM&amp;Metros'!$S:$S,$A29,'DM&amp;Metros'!K:K)+SUMIF(NDSD!$S:$S,$A29,NDSD!K:K)+SUMIF(PDSD!$S:$S,$A29,PDSD!K:K)+SUMIF(SASSA!$S:$S,$A29,SASSA!K:K)+SUMIF(Agriculture!$S:$S,$A29,Agriculture!K:K)</f>
        <v>24747263.428621925</v>
      </c>
      <c r="H29" s="215">
        <f>SUMIF(NDOH!$S:$S,$A29,NDOH!M:M)+SUMIF(PDOH!$S:$S,$A29,PDOH!M:M)+SUMIF('DM&amp;Metros'!$S:$S,$A29,'DM&amp;Metros'!M:M)+SUMIF(NDSD!$S:$S,$A29,NDSD!M:M)+SUMIF(PDSD!$S:$S,$A29,PDSD!M:M)+SUMIF(SASSA!$S:$S,$A29,SASSA!M:M)+SUMIF(Agriculture!$S:$S,$A29,Agriculture!M:M)</f>
        <v>47729891.810816929</v>
      </c>
    </row>
    <row r="30" spans="1:13" x14ac:dyDescent="0.2">
      <c r="A30" s="5" t="str">
        <f t="shared" si="7"/>
        <v>TSPI</v>
      </c>
      <c r="B30" s="260" t="s">
        <v>992</v>
      </c>
      <c r="C30" s="6" t="s">
        <v>756</v>
      </c>
      <c r="D30" s="215">
        <f>SUMIF(NDOH!$S:$S,$A30,NDOH!H:H)+SUMIF(PDOH!$S:$S,$A30,PDOH!H:H)+SUMIF('DM&amp;Metros'!$S:$S,$A30,'DM&amp;Metros'!H:H)+SUMIF(NDSD!$S:$S,$A30,NDSD!H:H)+SUMIF(PDSD!$S:$S,$A30,PDSD!H:H)+SUMIF(SASSA!$S:$S,$A30,SASSA!H:H)+SUMIF(Agriculture!$S:$S,$A30,Agriculture!H:H)</f>
        <v>9237305981.3303566</v>
      </c>
      <c r="E30" s="215">
        <f>SUMIF(NDOH!$S:$S,$A30,NDOH!I:I)+SUMIF(PDOH!$S:$S,$A30,PDOH!I:I)+SUMIF('DM&amp;Metros'!$S:$S,$A30,'DM&amp;Metros'!I:I)+SUMIF(NDSD!$S:$S,$A30,NDSD!I:I)+SUMIF(PDSD!$S:$S,$A30,PDSD!I:I)+SUMIF(SASSA!$S:$S,$A30,SASSA!I:I)+SUMIF(Agriculture!$S:$S,$A30,Agriculture!I:I)</f>
        <v>9744472661.96492</v>
      </c>
      <c r="F30" s="215">
        <f>SUMIF(NDOH!$S:$S,$A30,NDOH!J:J)+SUMIF(PDOH!$S:$S,$A30,PDOH!J:J)+SUMIF('DM&amp;Metros'!$S:$S,$A30,'DM&amp;Metros'!J:J)+SUMIF(NDSD!$S:$S,$A30,NDSD!J:J)+SUMIF(PDSD!$S:$S,$A30,PDSD!J:J)+SUMIF(SASSA!$S:$S,$A30,SASSA!J:J)+SUMIF(Agriculture!$S:$S,$A30,Agriculture!J:J)</f>
        <v>10268340861.292505</v>
      </c>
      <c r="G30" s="215">
        <f>SUMIF(NDOH!$S:$S,$A30,NDOH!K:K)+SUMIF(PDOH!$S:$S,$A30,PDOH!K:K)+SUMIF('DM&amp;Metros'!$S:$S,$A30,'DM&amp;Metros'!K:K)+SUMIF(NDSD!$S:$S,$A30,NDSD!K:K)+SUMIF(PDSD!$S:$S,$A30,PDSD!K:K)+SUMIF(SASSA!$S:$S,$A30,SASSA!K:K)+SUMIF(Agriculture!$S:$S,$A30,Agriculture!K:K)</f>
        <v>7715479447.0947008</v>
      </c>
      <c r="H30" s="215">
        <f>SUMIF(NDOH!$S:$S,$A30,NDOH!M:M)+SUMIF(PDOH!$S:$S,$A30,PDOH!M:M)+SUMIF('DM&amp;Metros'!$S:$S,$A30,'DM&amp;Metros'!M:M)+SUMIF(NDSD!$S:$S,$A30,NDSD!M:M)+SUMIF(PDSD!$S:$S,$A30,PDSD!M:M)+SUMIF(SASSA!$S:$S,$A30,SASSA!M:M)+SUMIF(Agriculture!$S:$S,$A30,Agriculture!M:M)</f>
        <v>8832128230.5466576</v>
      </c>
    </row>
    <row r="31" spans="1:13" x14ac:dyDescent="0.2">
      <c r="B31" s="5" t="s">
        <v>987</v>
      </c>
      <c r="C31" s="4" t="s">
        <v>948</v>
      </c>
      <c r="D31" s="239">
        <f>SUMIF(NDOH!$R:$R,$B31,NDOH!H:H)+SUMIF(PDOH!$R:$R,$B31,PDOH!H:H)+SUMIF('DM&amp;Metros'!$R:$R,$B31,'DM&amp;Metros'!H:H)+SUMIF(NDSD!$R:$R,$B31,NDSD!H:H)+SUMIF(PDSD!$R:$R,$B31,PDSD!H:H)+SUMIF(SASSA!$R:$R,$B31,SASSA!H:H)+SUMIF(Agriculture!$R:$R,$B31,Agriculture!H:H)</f>
        <v>4015255140.2937579</v>
      </c>
      <c r="E31" s="239">
        <f>SUMIF(NDOH!$R:$R,$B31,NDOH!I:I)+SUMIF(PDOH!$R:$R,$B31,PDOH!I:I)+SUMIF('DM&amp;Metros'!$R:$R,$B31,'DM&amp;Metros'!I:I)+SUMIF(NDSD!$R:$R,$B31,NDSD!I:I)+SUMIF(PDSD!$R:$R,$B31,PDSD!I:I)+SUMIF(SASSA!$R:$R,$B31,SASSA!I:I)+SUMIF(Agriculture!$R:$R,$B31,Agriculture!I:I)</f>
        <v>4409951648.46385</v>
      </c>
      <c r="F31" s="239">
        <f>SUMIF(NDOH!$R:$R,$B31,NDOH!J:J)+SUMIF(PDOH!$R:$R,$B31,PDOH!J:J)+SUMIF('DM&amp;Metros'!$R:$R,$B31,'DM&amp;Metros'!J:J)+SUMIF(NDSD!$R:$R,$B31,NDSD!J:J)+SUMIF(PDSD!$R:$R,$B31,PDSD!J:J)+SUMIF(SASSA!$R:$R,$B31,SASSA!J:J)+SUMIF(Agriculture!$R:$R,$B31,Agriculture!J:J)</f>
        <v>4689494575.9620314</v>
      </c>
      <c r="G31" s="239">
        <f>SUMIF(NDOH!$R:$R,$B31,NDOH!K:K)+SUMIF(PDOH!$R:$R,$B31,PDOH!K:K)+SUMIF('DM&amp;Metros'!$R:$R,$B31,'DM&amp;Metros'!K:K)+SUMIF(NDSD!$R:$R,$B31,NDSD!K:K)+SUMIF(PDSD!$R:$R,$B31,PDSD!K:K)+SUMIF(SASSA!$R:$R,$B31,SASSA!K:K)+SUMIF(Agriculture!$R:$R,$B31,Agriculture!K:K)</f>
        <v>2153384516.5964804</v>
      </c>
      <c r="H31" s="239">
        <f>SUMIF(NDOH!$R:$R,$B31,NDOH!M:M)+SUMIF(PDOH!$R:$R,$B31,PDOH!M:M)+SUMIF('DM&amp;Metros'!$R:$R,$B31,'DM&amp;Metros'!M:M)+SUMIF(NDSD!$R:$R,$B31,NDSD!M:M)+SUMIF(PDSD!$R:$R,$B31,PDSD!M:M)+SUMIF(SASSA!$R:$R,$B31,SASSA!M:M)+SUMIF(Agriculture!$R:$R,$B31,Agriculture!M:M)</f>
        <v>4015255140.2937579</v>
      </c>
      <c r="K31" s="366">
        <f>D31-SUM(D32:D35)</f>
        <v>0</v>
      </c>
      <c r="L31" s="366">
        <f t="shared" ref="L31" si="8">E31-SUM(E32:E35)</f>
        <v>0</v>
      </c>
      <c r="M31" s="366">
        <f t="shared" ref="M31" si="9">F31-SUM(F32:F35)</f>
        <v>0</v>
      </c>
    </row>
    <row r="32" spans="1:13" x14ac:dyDescent="0.2">
      <c r="A32" s="5" t="str">
        <f>CONCATENATE(B32,$B$31)</f>
        <v>COECI</v>
      </c>
      <c r="B32" s="260" t="s">
        <v>865</v>
      </c>
      <c r="C32" s="6" t="s">
        <v>596</v>
      </c>
      <c r="D32" s="215">
        <f>SUMIF(NDOH!$S:$S,$A32,NDOH!H:H)+SUMIF(PDOH!$S:$S,$A32,PDOH!H:H)+SUMIF('DM&amp;Metros'!$S:$S,$A32,'DM&amp;Metros'!H:H)+SUMIF(NDSD!$S:$S,$A32,NDSD!H:H)+SUMIF(PDSD!$S:$S,$A32,PDSD!H:H)+SUMIF(SASSA!$S:$S,$A32,SASSA!H:H)+SUMIF(Agriculture!$S:$S,$A32,Agriculture!H:H)</f>
        <v>2096859656.1810446</v>
      </c>
      <c r="E32" s="215">
        <f>SUMIF(NDOH!$S:$S,$A32,NDOH!I:I)+SUMIF(PDOH!$S:$S,$A32,PDOH!I:I)+SUMIF('DM&amp;Metros'!$S:$S,$A32,'DM&amp;Metros'!I:I)+SUMIF(NDSD!$S:$S,$A32,NDSD!I:I)+SUMIF(PDSD!$S:$S,$A32,PDSD!I:I)+SUMIF(SASSA!$S:$S,$A32,SASSA!I:I)+SUMIF(Agriculture!$S:$S,$A32,Agriculture!I:I)</f>
        <v>2376029373.7113795</v>
      </c>
      <c r="F32" s="215">
        <f>SUMIF(NDOH!$S:$S,$A32,NDOH!J:J)+SUMIF(PDOH!$S:$S,$A32,PDOH!J:J)+SUMIF('DM&amp;Metros'!$S:$S,$A32,'DM&amp;Metros'!J:J)+SUMIF(NDSD!$S:$S,$A32,NDSD!J:J)+SUMIF(PDSD!$S:$S,$A32,PDSD!J:J)+SUMIF(SASSA!$S:$S,$A32,SASSA!J:J)+SUMIF(Agriculture!$S:$S,$A32,Agriculture!J:J)</f>
        <v>2532847312.3763304</v>
      </c>
      <c r="G32" s="215">
        <f>SUMIF(NDOH!$S:$S,$A32,NDOH!K:K)+SUMIF(PDOH!$S:$S,$A32,PDOH!K:K)+SUMIF('DM&amp;Metros'!$S:$S,$A32,'DM&amp;Metros'!K:K)+SUMIF(NDSD!$S:$S,$A32,NDSD!K:K)+SUMIF(PDSD!$S:$S,$A32,PDSD!K:K)+SUMIF(SASSA!$S:$S,$A32,SASSA!K:K)+SUMIF(Agriculture!$S:$S,$A32,Agriculture!K:K)</f>
        <v>1157308294.6939931</v>
      </c>
      <c r="H32" s="215">
        <f>SUMIF(NDOH!$S:$S,$A32,NDOH!M:M)+SUMIF(PDOH!$S:$S,$A32,PDOH!M:M)+SUMIF('DM&amp;Metros'!$S:$S,$A32,'DM&amp;Metros'!M:M)+SUMIF(NDSD!$S:$S,$A32,NDSD!M:M)+SUMIF(PDSD!$S:$S,$A32,PDSD!M:M)+SUMIF(SASSA!$S:$S,$A32,SASSA!M:M)+SUMIF(Agriculture!$S:$S,$A32,Agriculture!M:M)</f>
        <v>2096859656.1810446</v>
      </c>
    </row>
    <row r="33" spans="1:13" x14ac:dyDescent="0.2">
      <c r="A33" s="5" t="str">
        <f t="shared" ref="A33:A35" si="10">CONCATENATE(B33,$B$31)</f>
        <v>GSCI</v>
      </c>
      <c r="B33" s="260" t="s">
        <v>866</v>
      </c>
      <c r="C33" s="6" t="s">
        <v>597</v>
      </c>
      <c r="D33" s="215">
        <f>SUMIF(NDOH!$S:$S,$A33,NDOH!H:H)+SUMIF(PDOH!$S:$S,$A33,PDOH!H:H)+SUMIF('DM&amp;Metros'!$S:$S,$A33,'DM&amp;Metros'!H:H)+SUMIF(NDSD!$S:$S,$A33,NDSD!H:H)+SUMIF(PDSD!$S:$S,$A33,PDSD!H:H)+SUMIF(SASSA!$S:$S,$A33,SASSA!H:H)+SUMIF(Agriculture!$S:$S,$A33,Agriculture!H:H)</f>
        <v>1680258909.7173111</v>
      </c>
      <c r="E33" s="215">
        <f>SUMIF(NDOH!$S:$S,$A33,NDOH!I:I)+SUMIF(PDOH!$S:$S,$A33,PDOH!I:I)+SUMIF('DM&amp;Metros'!$S:$S,$A33,'DM&amp;Metros'!I:I)+SUMIF(NDSD!$S:$S,$A33,NDSD!I:I)+SUMIF(PDSD!$S:$S,$A33,PDSD!I:I)+SUMIF(SASSA!$S:$S,$A33,SASSA!I:I)+SUMIF(Agriculture!$S:$S,$A33,Agriculture!I:I)</f>
        <v>1774353408.6614807</v>
      </c>
      <c r="F33" s="215">
        <f>SUMIF(NDOH!$S:$S,$A33,NDOH!J:J)+SUMIF(PDOH!$S:$S,$A33,PDOH!J:J)+SUMIF('DM&amp;Metros'!$S:$S,$A33,'DM&amp;Metros'!J:J)+SUMIF(NDSD!$S:$S,$A33,NDSD!J:J)+SUMIF(PDSD!$S:$S,$A33,PDSD!J:J)+SUMIF(SASSA!$S:$S,$A33,SASSA!J:J)+SUMIF(Agriculture!$S:$S,$A33,Agriculture!J:J)</f>
        <v>1873717199.5465238</v>
      </c>
      <c r="G33" s="215">
        <f>SUMIF(NDOH!$S:$S,$A33,NDOH!K:K)+SUMIF(PDOH!$S:$S,$A33,PDOH!K:K)+SUMIF('DM&amp;Metros'!$S:$S,$A33,'DM&amp;Metros'!K:K)+SUMIF(NDSD!$S:$S,$A33,NDSD!K:K)+SUMIF(PDSD!$S:$S,$A33,PDSD!K:K)+SUMIF(SASSA!$S:$S,$A33,SASSA!K:K)+SUMIF(Agriculture!$S:$S,$A33,Agriculture!K:K)</f>
        <v>872430162.7883774</v>
      </c>
      <c r="H33" s="215">
        <f>SUMIF(NDOH!$S:$S,$A33,NDOH!M:M)+SUMIF(PDOH!$S:$S,$A33,PDOH!M:M)+SUMIF('DM&amp;Metros'!$S:$S,$A33,'DM&amp;Metros'!M:M)+SUMIF(NDSD!$S:$S,$A33,NDSD!M:M)+SUMIF(PDSD!$S:$S,$A33,PDSD!M:M)+SUMIF(SASSA!$S:$S,$A33,SASSA!M:M)+SUMIF(Agriculture!$S:$S,$A33,Agriculture!M:M)</f>
        <v>1680258909.7173111</v>
      </c>
    </row>
    <row r="34" spans="1:13" x14ac:dyDescent="0.2">
      <c r="A34" s="5" t="str">
        <f t="shared" si="10"/>
        <v>MSCI</v>
      </c>
      <c r="B34" s="260" t="s">
        <v>864</v>
      </c>
      <c r="C34" s="6" t="s">
        <v>998</v>
      </c>
      <c r="D34" s="215">
        <f>SUMIF(NDOH!$S:$S,$A34,NDOH!H:H)+SUMIF(PDOH!$S:$S,$A34,PDOH!H:H)+SUMIF('DM&amp;Metros'!$S:$S,$A34,'DM&amp;Metros'!H:H)+SUMIF(NDSD!$S:$S,$A34,NDSD!H:H)+SUMIF(PDSD!$S:$S,$A34,PDSD!H:H)+SUMIF(SASSA!$S:$S,$A34,SASSA!H:H)+SUMIF(Agriculture!$S:$S,$A34,Agriculture!H:H)</f>
        <v>238136574.39540255</v>
      </c>
      <c r="E34" s="215">
        <f>SUMIF(NDOH!$S:$S,$A34,NDOH!I:I)+SUMIF(PDOH!$S:$S,$A34,PDOH!I:I)+SUMIF('DM&amp;Metros'!$S:$S,$A34,'DM&amp;Metros'!I:I)+SUMIF(NDSD!$S:$S,$A34,NDSD!I:I)+SUMIF(PDSD!$S:$S,$A34,PDSD!I:I)+SUMIF(SASSA!$S:$S,$A34,SASSA!I:I)+SUMIF(Agriculture!$S:$S,$A34,Agriculture!I:I)</f>
        <v>259568866.09098881</v>
      </c>
      <c r="F34" s="215">
        <f>SUMIF(NDOH!$S:$S,$A34,NDOH!J:J)+SUMIF(PDOH!$S:$S,$A34,PDOH!J:J)+SUMIF('DM&amp;Metros'!$S:$S,$A34,'DM&amp;Metros'!J:J)+SUMIF(NDSD!$S:$S,$A34,NDSD!J:J)+SUMIF(PDSD!$S:$S,$A34,PDSD!J:J)+SUMIF(SASSA!$S:$S,$A34,SASSA!J:J)+SUMIF(Agriculture!$S:$S,$A34,Agriculture!J:J)</f>
        <v>282930064.03917783</v>
      </c>
      <c r="G34" s="215">
        <f>SUMIF(NDOH!$S:$S,$A34,NDOH!K:K)+SUMIF(PDOH!$S:$S,$A34,PDOH!K:K)+SUMIF('DM&amp;Metros'!$S:$S,$A34,'DM&amp;Metros'!K:K)+SUMIF(NDSD!$S:$S,$A34,NDSD!K:K)+SUMIF(PDSD!$S:$S,$A34,PDSD!K:K)+SUMIF(SASSA!$S:$S,$A34,SASSA!K:K)+SUMIF(Agriculture!$S:$S,$A34,Agriculture!K:K)</f>
        <v>123646059.11410995</v>
      </c>
      <c r="H34" s="215">
        <f>SUMIF(NDOH!$S:$S,$A34,NDOH!M:M)+SUMIF(PDOH!$S:$S,$A34,PDOH!M:M)+SUMIF('DM&amp;Metros'!$S:$S,$A34,'DM&amp;Metros'!M:M)+SUMIF(NDSD!$S:$S,$A34,NDSD!M:M)+SUMIF(PDSD!$S:$S,$A34,PDSD!M:M)+SUMIF(SASSA!$S:$S,$A34,SASSA!M:M)+SUMIF(Agriculture!$S:$S,$A34,Agriculture!M:M)</f>
        <v>238136574.39540255</v>
      </c>
    </row>
    <row r="35" spans="1:13" x14ac:dyDescent="0.2">
      <c r="A35" s="5" t="str">
        <f t="shared" si="10"/>
        <v>TSCI</v>
      </c>
      <c r="B35" s="260" t="s">
        <v>992</v>
      </c>
      <c r="C35" s="6" t="s">
        <v>756</v>
      </c>
      <c r="D35" s="285">
        <f>SUMIF(NDOH!$S:$S,$A35,NDOH!H:H)+SUMIF(PDOH!$S:$S,$A35,PDOH!H:H)+SUMIF('DM&amp;Metros'!$S:$S,$A35,'DM&amp;Metros'!H:H)+SUMIF(NDSD!$S:$S,$A35,NDSD!H:H)+SUMIF(PDSD!$S:$S,$A35,PDSD!H:H)+SUMIF(SASSA!$S:$S,$A35,SASSA!H:H)+SUMIF(Agriculture!$S:$S,$A35,Agriculture!H:H)</f>
        <v>0</v>
      </c>
      <c r="E35" s="285">
        <f>SUMIF(NDOH!$S:$S,$A35,NDOH!I:I)+SUMIF(PDOH!$S:$S,$A35,PDOH!I:I)+SUMIF('DM&amp;Metros'!$S:$S,$A35,'DM&amp;Metros'!I:I)+SUMIF(NDSD!$S:$S,$A35,NDSD!I:I)+SUMIF(PDSD!$S:$S,$A35,PDSD!I:I)+SUMIF(SASSA!$S:$S,$A35,SASSA!I:I)+SUMIF(Agriculture!$S:$S,$A35,Agriculture!I:I)</f>
        <v>0</v>
      </c>
      <c r="F35" s="285">
        <f>SUMIF(NDOH!$S:$S,$A35,NDOH!J:J)+SUMIF(PDOH!$S:$S,$A35,PDOH!J:J)+SUMIF('DM&amp;Metros'!$S:$S,$A35,'DM&amp;Metros'!J:J)+SUMIF(NDSD!$S:$S,$A35,NDSD!J:J)+SUMIF(PDSD!$S:$S,$A35,PDSD!J:J)+SUMIF(SASSA!$S:$S,$A35,SASSA!J:J)+SUMIF(Agriculture!$S:$S,$A35,Agriculture!J:J)</f>
        <v>0</v>
      </c>
      <c r="G35" s="285">
        <f>SUMIF(NDOH!$S:$S,$A35,NDOH!K:K)+SUMIF(PDOH!$S:$S,$A35,PDOH!K:K)+SUMIF('DM&amp;Metros'!$S:$S,$A35,'DM&amp;Metros'!K:K)+SUMIF(NDSD!$S:$S,$A35,NDSD!K:K)+SUMIF(PDSD!$S:$S,$A35,PDSD!K:K)+SUMIF(SASSA!$S:$S,$A35,SASSA!K:K)+SUMIF(Agriculture!$S:$S,$A35,Agriculture!K:K)</f>
        <v>0</v>
      </c>
      <c r="H35" s="285">
        <f>SUMIF(NDOH!$S:$S,$A35,NDOH!M:M)+SUMIF(PDOH!$S:$S,$A35,PDOH!M:M)+SUMIF('DM&amp;Metros'!$S:$S,$A35,'DM&amp;Metros'!M:M)+SUMIF(NDSD!$S:$S,$A35,NDSD!M:M)+SUMIF(PDSD!$S:$S,$A35,PDSD!M:M)+SUMIF(SASSA!$S:$S,$A35,SASSA!M:M)+SUMIF(Agriculture!$S:$S,$A35,Agriculture!M:M)</f>
        <v>0</v>
      </c>
    </row>
    <row r="36" spans="1:13" x14ac:dyDescent="0.2">
      <c r="B36" s="5" t="s">
        <v>988</v>
      </c>
      <c r="C36" s="4" t="s">
        <v>949</v>
      </c>
      <c r="D36" s="239">
        <f>SUMIF(NDOH!$R:$R,$B36,NDOH!H:H)+SUMIF(PDOH!$R:$R,$B36,PDOH!H:H)+SUMIF('DM&amp;Metros'!$R:$R,$B36,'DM&amp;Metros'!H:H)+SUMIF(NDSD!$R:$R,$B36,NDSD!H:H)+SUMIF(PDSD!$R:$R,$B36,PDSD!H:H)+SUMIF(SASSA!$R:$R,$B36,SASSA!H:H)+SUMIF(Agriculture!$R:$R,$B36,Agriculture!H:H)</f>
        <v>29244880.954610541</v>
      </c>
      <c r="E36" s="239">
        <f>SUMIF(NDOH!$R:$R,$B36,NDOH!I:I)+SUMIF(PDOH!$R:$R,$B36,PDOH!I:I)+SUMIF('DM&amp;Metros'!$R:$R,$B36,'DM&amp;Metros'!I:I)+SUMIF(NDSD!$R:$R,$B36,NDSD!I:I)+SUMIF(PDSD!$R:$R,$B36,PDSD!I:I)+SUMIF(SASSA!$R:$R,$B36,SASSA!I:I)+SUMIF(Agriculture!$R:$R,$B36,Agriculture!I:I)</f>
        <v>31012443.794648942</v>
      </c>
      <c r="F36" s="239">
        <f>SUMIF(NDOH!$R:$R,$B36,NDOH!J:J)+SUMIF(PDOH!$R:$R,$B36,PDOH!J:J)+SUMIF('DM&amp;Metros'!$R:$R,$B36,'DM&amp;Metros'!J:J)+SUMIF(NDSD!$R:$R,$B36,NDSD!J:J)+SUMIF(PDSD!$R:$R,$B36,PDSD!J:J)+SUMIF(SASSA!$R:$R,$B36,SASSA!J:J)+SUMIF(Agriculture!$R:$R,$B36,Agriculture!J:J)</f>
        <v>32887560.221163787</v>
      </c>
      <c r="G36" s="239">
        <f>SUMIF(NDOH!$R:$R,$B36,NDOH!K:K)+SUMIF(PDOH!$R:$R,$B36,PDOH!K:K)+SUMIF('DM&amp;Metros'!$R:$R,$B36,'DM&amp;Metros'!K:K)+SUMIF(NDSD!$R:$R,$B36,NDSD!K:K)+SUMIF(PDSD!$R:$R,$B36,PDSD!K:K)+SUMIF(SASSA!$R:$R,$B36,SASSA!K:K)+SUMIF(Agriculture!$R:$R,$B36,Agriculture!K:K)</f>
        <v>29244880.954610541</v>
      </c>
      <c r="H36" s="239">
        <f>SUMIF(NDOH!$R:$R,$B36,NDOH!M:M)+SUMIF(PDOH!$R:$R,$B36,PDOH!M:M)+SUMIF('DM&amp;Metros'!$R:$R,$B36,'DM&amp;Metros'!M:M)+SUMIF(NDSD!$R:$R,$B36,NDSD!M:M)+SUMIF(PDSD!$R:$R,$B36,PDSD!M:M)+SUMIF(SASSA!$R:$R,$B36,SASSA!M:M)+SUMIF(Agriculture!$R:$R,$B36,Agriculture!M:M)</f>
        <v>29244880.954610541</v>
      </c>
      <c r="K36" s="366">
        <f>D36-SUM(D37:D40)</f>
        <v>0</v>
      </c>
      <c r="L36" s="366">
        <f t="shared" ref="L36" si="11">E36-SUM(E37:E40)</f>
        <v>0</v>
      </c>
      <c r="M36" s="366">
        <f t="shared" ref="M36" si="12">F36-SUM(F37:F40)</f>
        <v>0</v>
      </c>
    </row>
    <row r="37" spans="1:13" x14ac:dyDescent="0.2">
      <c r="A37" s="5" t="str">
        <f>CONCATENATE(B37,$B$36)</f>
        <v>COENSP</v>
      </c>
      <c r="B37" s="260" t="s">
        <v>865</v>
      </c>
      <c r="C37" s="6" t="s">
        <v>596</v>
      </c>
      <c r="D37" s="365">
        <f>SUMIF(NDOH!$S:$S,$A37,NDOH!H:H)+SUMIF(PDOH!$S:$S,$A37,PDOH!H:H)+SUMIF('DM&amp;Metros'!$S:$S,$A37,'DM&amp;Metros'!H:H)+SUMIF(NDSD!$S:$S,$A37,NDSD!H:H)+SUMIF(PDSD!$S:$S,$A37,PDSD!H:H)+SUMIF(SASSA!$S:$S,$A37,SASSA!H:H)+SUMIF(Agriculture!$S:$S,$A37,Agriculture!H:H)</f>
        <v>12984950.65802088</v>
      </c>
      <c r="E37" s="365">
        <f>SUMIF(NDOH!$S:$S,$A37,NDOH!I:I)+SUMIF(PDOH!$S:$S,$A37,PDOH!I:I)+SUMIF('DM&amp;Metros'!$S:$S,$A37,'DM&amp;Metros'!I:I)+SUMIF(NDSD!$S:$S,$A37,NDSD!I:I)+SUMIF(PDSD!$S:$S,$A37,PDSD!I:I)+SUMIF(SASSA!$S:$S,$A37,SASSA!I:I)+SUMIF(Agriculture!$S:$S,$A37,Agriculture!I:I)</f>
        <v>13841957.401450258</v>
      </c>
      <c r="F37" s="365">
        <f>SUMIF(NDOH!$S:$S,$A37,NDOH!J:J)+SUMIF(PDOH!$S:$S,$A37,PDOH!J:J)+SUMIF('DM&amp;Metros'!$S:$S,$A37,'DM&amp;Metros'!J:J)+SUMIF(NDSD!$S:$S,$A37,NDSD!J:J)+SUMIF(PDSD!$S:$S,$A37,PDSD!J:J)+SUMIF(SASSA!$S:$S,$A37,SASSA!J:J)+SUMIF(Agriculture!$S:$S,$A37,Agriculture!J:J)</f>
        <v>14755526.589945979</v>
      </c>
      <c r="G37" s="365">
        <f>SUMIF(NDOH!$S:$S,$A37,NDOH!K:K)+SUMIF(PDOH!$S:$S,$A37,PDOH!K:K)+SUMIF('DM&amp;Metros'!$S:$S,$A37,'DM&amp;Metros'!K:K)+SUMIF(NDSD!$S:$S,$A37,NDSD!K:K)+SUMIF(PDSD!$S:$S,$A37,PDSD!K:K)+SUMIF(SASSA!$S:$S,$A37,SASSA!K:K)+SUMIF(Agriculture!$S:$S,$A37,Agriculture!K:K)</f>
        <v>12984950.65802088</v>
      </c>
      <c r="H37" s="365">
        <f>SUMIF(NDOH!$S:$S,$A37,NDOH!M:M)+SUMIF(PDOH!$S:$S,$A37,PDOH!M:M)+SUMIF('DM&amp;Metros'!$S:$S,$A37,'DM&amp;Metros'!M:M)+SUMIF(NDSD!$S:$S,$A37,NDSD!M:M)+SUMIF(PDSD!$S:$S,$A37,PDSD!M:M)+SUMIF(SASSA!$S:$S,$A37,SASSA!M:M)+SUMIF(Agriculture!$S:$S,$A37,Agriculture!M:M)</f>
        <v>12984950.65802088</v>
      </c>
    </row>
    <row r="38" spans="1:13" x14ac:dyDescent="0.2">
      <c r="A38" s="5" t="str">
        <f t="shared" ref="A38:A40" si="13">CONCATENATE(B38,$B$36)</f>
        <v>GSNSP</v>
      </c>
      <c r="B38" s="260" t="s">
        <v>866</v>
      </c>
      <c r="C38" s="6" t="s">
        <v>597</v>
      </c>
      <c r="D38" s="215">
        <f>SUMIF(NDOH!$S:$S,$A38,NDOH!H:H)+SUMIF(PDOH!$S:$S,$A38,PDOH!H:H)+SUMIF('DM&amp;Metros'!$S:$S,$A38,'DM&amp;Metros'!H:H)+SUMIF(NDSD!$S:$S,$A38,NDSD!H:H)+SUMIF(PDSD!$S:$S,$A38,PDSD!H:H)+SUMIF(SASSA!$S:$S,$A38,SASSA!H:H)+SUMIF(Agriculture!$S:$S,$A38,Agriculture!H:H)</f>
        <v>16259930.29658966</v>
      </c>
      <c r="E38" s="215">
        <f>SUMIF(NDOH!$S:$S,$A38,NDOH!I:I)+SUMIF(PDOH!$S:$S,$A38,PDOH!I:I)+SUMIF('DM&amp;Metros'!$S:$S,$A38,'DM&amp;Metros'!I:I)+SUMIF(NDSD!$S:$S,$A38,NDSD!I:I)+SUMIF(PDSD!$S:$S,$A38,PDSD!I:I)+SUMIF(SASSA!$S:$S,$A38,SASSA!I:I)+SUMIF(Agriculture!$S:$S,$A38,Agriculture!I:I)</f>
        <v>17170486.393198684</v>
      </c>
      <c r="F38" s="215">
        <f>SUMIF(NDOH!$S:$S,$A38,NDOH!J:J)+SUMIF(PDOH!$S:$S,$A38,PDOH!J:J)+SUMIF('DM&amp;Metros'!$S:$S,$A38,'DM&amp;Metros'!J:J)+SUMIF(NDSD!$S:$S,$A38,NDSD!J:J)+SUMIF(PDSD!$S:$S,$A38,PDSD!J:J)+SUMIF(SASSA!$S:$S,$A38,SASSA!J:J)+SUMIF(Agriculture!$S:$S,$A38,Agriculture!J:J)</f>
        <v>18132033.631217811</v>
      </c>
      <c r="G38" s="215">
        <f>SUMIF(NDOH!$S:$S,$A38,NDOH!K:K)+SUMIF(PDOH!$S:$S,$A38,PDOH!K:K)+SUMIF('DM&amp;Metros'!$S:$S,$A38,'DM&amp;Metros'!K:K)+SUMIF(NDSD!$S:$S,$A38,NDSD!K:K)+SUMIF(PDSD!$S:$S,$A38,PDSD!K:K)+SUMIF(SASSA!$S:$S,$A38,SASSA!K:K)+SUMIF(Agriculture!$S:$S,$A38,Agriculture!K:K)</f>
        <v>16259930.29658966</v>
      </c>
      <c r="H38" s="215">
        <f>SUMIF(NDOH!$S:$S,$A38,NDOH!M:M)+SUMIF(PDOH!$S:$S,$A38,PDOH!M:M)+SUMIF('DM&amp;Metros'!$S:$S,$A38,'DM&amp;Metros'!M:M)+SUMIF(NDSD!$S:$S,$A38,NDSD!M:M)+SUMIF(PDSD!$S:$S,$A38,PDSD!M:M)+SUMIF(SASSA!$S:$S,$A38,SASSA!M:M)+SUMIF(Agriculture!$S:$S,$A38,Agriculture!M:M)</f>
        <v>16259930.29658966</v>
      </c>
    </row>
    <row r="39" spans="1:13" x14ac:dyDescent="0.2">
      <c r="A39" s="5" t="str">
        <f t="shared" si="13"/>
        <v>MSNSP</v>
      </c>
      <c r="B39" s="260" t="s">
        <v>864</v>
      </c>
      <c r="C39" s="6" t="s">
        <v>998</v>
      </c>
      <c r="D39" s="215">
        <f>SUMIF(NDOH!$S:$S,$A39,NDOH!H:H)+SUMIF(PDOH!$S:$S,$A39,PDOH!H:H)+SUMIF('DM&amp;Metros'!$S:$S,$A39,'DM&amp;Metros'!H:H)+SUMIF(NDSD!$S:$S,$A39,NDSD!H:H)+SUMIF(PDSD!$S:$S,$A39,PDSD!H:H)+SUMIF(SASSA!$S:$S,$A39,SASSA!H:H)+SUMIF(Agriculture!$S:$S,$A39,Agriculture!H:H)</f>
        <v>0</v>
      </c>
      <c r="E39" s="215">
        <f>SUMIF(NDOH!$S:$S,$A39,NDOH!I:I)+SUMIF(PDOH!$S:$S,$A39,PDOH!I:I)+SUMIF('DM&amp;Metros'!$S:$S,$A39,'DM&amp;Metros'!I:I)+SUMIF(NDSD!$S:$S,$A39,NDSD!I:I)+SUMIF(PDSD!$S:$S,$A39,PDSD!I:I)+SUMIF(SASSA!$S:$S,$A39,SASSA!I:I)+SUMIF(Agriculture!$S:$S,$A39,Agriculture!I:I)</f>
        <v>0</v>
      </c>
      <c r="F39" s="215">
        <f>SUMIF(NDOH!$S:$S,$A39,NDOH!J:J)+SUMIF(PDOH!$S:$S,$A39,PDOH!J:J)+SUMIF('DM&amp;Metros'!$S:$S,$A39,'DM&amp;Metros'!J:J)+SUMIF(NDSD!$S:$S,$A39,NDSD!J:J)+SUMIF(PDSD!$S:$S,$A39,PDSD!J:J)+SUMIF(SASSA!$S:$S,$A39,SASSA!J:J)+SUMIF(Agriculture!$S:$S,$A39,Agriculture!J:J)</f>
        <v>0</v>
      </c>
      <c r="G39" s="215">
        <f>SUMIF(NDOH!$S:$S,$A39,NDOH!K:K)+SUMIF(PDOH!$S:$S,$A39,PDOH!K:K)+SUMIF('DM&amp;Metros'!$S:$S,$A39,'DM&amp;Metros'!K:K)+SUMIF(NDSD!$S:$S,$A39,NDSD!K:K)+SUMIF(PDSD!$S:$S,$A39,PDSD!K:K)+SUMIF(SASSA!$S:$S,$A39,SASSA!K:K)+SUMIF(Agriculture!$S:$S,$A39,Agriculture!K:K)</f>
        <v>0</v>
      </c>
      <c r="H39" s="215">
        <f>SUMIF(NDOH!$S:$S,$A39,NDOH!M:M)+SUMIF(PDOH!$S:$S,$A39,PDOH!M:M)+SUMIF('DM&amp;Metros'!$S:$S,$A39,'DM&amp;Metros'!M:M)+SUMIF(NDSD!$S:$S,$A39,NDSD!M:M)+SUMIF(PDSD!$S:$S,$A39,PDSD!M:M)+SUMIF(SASSA!$S:$S,$A39,SASSA!M:M)+SUMIF(Agriculture!$S:$S,$A39,Agriculture!M:M)</f>
        <v>0</v>
      </c>
    </row>
    <row r="40" spans="1:13" x14ac:dyDescent="0.2">
      <c r="A40" s="5" t="str">
        <f t="shared" si="13"/>
        <v>TSNSP</v>
      </c>
      <c r="B40" s="260" t="s">
        <v>992</v>
      </c>
      <c r="C40" s="6" t="s">
        <v>756</v>
      </c>
      <c r="D40" s="215">
        <f>SUMIF(NDOH!$S:$S,$A40,NDOH!H:H)+SUMIF(PDOH!$S:$S,$A40,PDOH!H:H)+SUMIF('DM&amp;Metros'!$S:$S,$A40,'DM&amp;Metros'!H:H)+SUMIF(NDSD!$S:$S,$A40,NDSD!H:H)+SUMIF(PDSD!$S:$S,$A40,PDSD!H:H)+SUMIF(SASSA!$S:$S,$A40,SASSA!H:H)+SUMIF(Agriculture!$S:$S,$A40,Agriculture!H:H)</f>
        <v>0</v>
      </c>
      <c r="E40" s="215">
        <f>SUMIF(NDOH!$S:$S,$A40,NDOH!I:I)+SUMIF(PDOH!$S:$S,$A40,PDOH!I:I)+SUMIF('DM&amp;Metros'!$S:$S,$A40,'DM&amp;Metros'!I:I)+SUMIF(NDSD!$S:$S,$A40,NDSD!I:I)+SUMIF(PDSD!$S:$S,$A40,PDSD!I:I)+SUMIF(SASSA!$S:$S,$A40,SASSA!I:I)+SUMIF(Agriculture!$S:$S,$A40,Agriculture!I:I)</f>
        <v>0</v>
      </c>
      <c r="F40" s="215">
        <f>SUMIF(NDOH!$S:$S,$A40,NDOH!J:J)+SUMIF(PDOH!$S:$S,$A40,PDOH!J:J)+SUMIF('DM&amp;Metros'!$S:$S,$A40,'DM&amp;Metros'!J:J)+SUMIF(NDSD!$S:$S,$A40,NDSD!J:J)+SUMIF(PDSD!$S:$S,$A40,PDSD!J:J)+SUMIF(SASSA!$S:$S,$A40,SASSA!J:J)+SUMIF(Agriculture!$S:$S,$A40,Agriculture!J:J)</f>
        <v>0</v>
      </c>
      <c r="G40" s="215">
        <f>SUMIF(NDOH!$S:$S,$A40,NDOH!K:K)+SUMIF(PDOH!$S:$S,$A40,PDOH!K:K)+SUMIF('DM&amp;Metros'!$S:$S,$A40,'DM&amp;Metros'!K:K)+SUMIF(NDSD!$S:$S,$A40,NDSD!K:K)+SUMIF(PDSD!$S:$S,$A40,PDSD!K:K)+SUMIF(SASSA!$S:$S,$A40,SASSA!K:K)+SUMIF(Agriculture!$S:$S,$A40,Agriculture!K:K)</f>
        <v>0</v>
      </c>
      <c r="H40" s="215">
        <f>SUMIF(NDOH!$S:$S,$A40,NDOH!M:M)+SUMIF(PDOH!$S:$S,$A40,PDOH!M:M)+SUMIF('DM&amp;Metros'!$S:$S,$A40,'DM&amp;Metros'!M:M)+SUMIF(NDSD!$S:$S,$A40,NDSD!M:M)+SUMIF(PDSD!$S:$S,$A40,PDSD!M:M)+SUMIF(SASSA!$S:$S,$A40,SASSA!M:M)+SUMIF(Agriculture!$S:$S,$A40,Agriculture!M:M)</f>
        <v>0</v>
      </c>
    </row>
    <row r="44" spans="1:13" x14ac:dyDescent="0.2">
      <c r="D44" s="239">
        <f>D36+D31+D26+D21+D16</f>
        <v>14719476440.875086</v>
      </c>
      <c r="E44" s="239">
        <f t="shared" ref="E44:H44" si="14">E36+E31+E26+E21+E16</f>
        <v>15717250466.345898</v>
      </c>
      <c r="F44" s="239">
        <f t="shared" si="14"/>
        <v>16622984452.411972</v>
      </c>
      <c r="G44" s="239">
        <f t="shared" si="14"/>
        <v>10300798593.504608</v>
      </c>
      <c r="H44" s="239">
        <f t="shared" si="14"/>
        <v>13756447040.47118</v>
      </c>
    </row>
    <row r="46" spans="1:13" x14ac:dyDescent="0.2">
      <c r="D46" s="192">
        <f>SUM(D17:D20)+SUM(D22:D25)+SUM(D27:D30)+SUM(D32:D35)+SUM(D37:D40)</f>
        <v>14719476440.875088</v>
      </c>
      <c r="E46" s="192">
        <f t="shared" ref="E46:H46" si="15">SUM(E17:E20)+SUM(E22:E25)+SUM(E27:E30)+SUM(E32:E35)+SUM(E37:E40)</f>
        <v>15717250466.3459</v>
      </c>
      <c r="F46" s="192">
        <f t="shared" si="15"/>
        <v>16622984452.411974</v>
      </c>
      <c r="G46" s="192">
        <f t="shared" si="15"/>
        <v>10300798593.50461</v>
      </c>
      <c r="H46" s="192">
        <f t="shared" si="15"/>
        <v>13756447040.471182</v>
      </c>
    </row>
    <row r="47" spans="1:13" x14ac:dyDescent="0.2">
      <c r="D47" s="192">
        <f>D46-D44</f>
        <v>0</v>
      </c>
    </row>
  </sheetData>
  <mergeCells count="1">
    <mergeCell ref="D14:F14"/>
  </mergeCells>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AW195"/>
  <sheetViews>
    <sheetView showGridLines="0" zoomScale="80" zoomScaleNormal="80" zoomScaleSheetLayoutView="118" zoomScalePageLayoutView="90" workbookViewId="0">
      <pane xSplit="4" ySplit="2" topLeftCell="H162" activePane="bottomRight" state="frozen"/>
      <selection activeCell="H37" sqref="H37"/>
      <selection pane="topRight" activeCell="H37" sqref="H37"/>
      <selection pane="bottomLeft" activeCell="H37" sqref="H37"/>
      <selection pane="bottomRight" activeCell="I179" sqref="I179"/>
    </sheetView>
  </sheetViews>
  <sheetFormatPr defaultColWidth="8.85546875" defaultRowHeight="14.25" x14ac:dyDescent="0.2"/>
  <cols>
    <col min="1" max="1" width="3.85546875" style="5" customWidth="1"/>
    <col min="2" max="2" width="19.5703125" style="5" customWidth="1"/>
    <col min="3" max="3" width="13.5703125" style="5" customWidth="1"/>
    <col min="4" max="4" width="19.5703125" style="5" customWidth="1"/>
    <col min="5" max="5" width="19.5703125" style="637" customWidth="1"/>
    <col min="6" max="6" width="19.5703125" style="79" customWidth="1"/>
    <col min="7" max="7" width="19.5703125" style="649" customWidth="1"/>
    <col min="8" max="8" width="19.140625" style="193" customWidth="1"/>
    <col min="9" max="9" width="75.85546875" style="5" bestFit="1" customWidth="1"/>
    <col min="10" max="10" width="8.85546875" style="5"/>
    <col min="11" max="11" width="19.42578125" style="300" customWidth="1"/>
    <col min="12" max="12" width="8.85546875" style="5"/>
    <col min="13" max="13" width="9.85546875" style="5" bestFit="1" customWidth="1"/>
    <col min="14" max="23" width="8.85546875" style="5"/>
    <col min="24" max="24" width="12" style="5" bestFit="1" customWidth="1"/>
    <col min="25" max="25" width="8.85546875" style="5"/>
    <col min="26" max="26" width="25.7109375" style="5" bestFit="1" customWidth="1"/>
    <col min="27" max="28" width="15.7109375" style="5" bestFit="1" customWidth="1"/>
    <col min="29" max="29" width="15.42578125" style="5" bestFit="1" customWidth="1"/>
    <col min="30" max="31" width="15.7109375" style="5" bestFit="1" customWidth="1"/>
    <col min="32" max="33" width="15.42578125" style="5" bestFit="1" customWidth="1"/>
    <col min="34" max="34" width="17.42578125" style="5" bestFit="1" customWidth="1"/>
    <col min="35" max="35" width="21.140625" style="5" bestFit="1" customWidth="1"/>
    <col min="36" max="36" width="18.7109375" style="5" bestFit="1" customWidth="1"/>
    <col min="37" max="38" width="8.85546875" style="5"/>
    <col min="39" max="39" width="11.28515625" style="5" bestFit="1" customWidth="1"/>
    <col min="40" max="40" width="17.42578125" style="5" bestFit="1" customWidth="1"/>
    <col min="41" max="41" width="17.140625" style="5" bestFit="1" customWidth="1"/>
    <col min="42" max="42" width="14.85546875" style="5" bestFit="1" customWidth="1"/>
    <col min="43" max="43" width="18.42578125" style="5" bestFit="1" customWidth="1"/>
    <col min="44" max="44" width="13.42578125" style="5" bestFit="1" customWidth="1"/>
    <col min="45" max="45" width="8.85546875" style="5"/>
    <col min="46" max="46" width="10.7109375" style="5" bestFit="1" customWidth="1"/>
    <col min="47" max="16384" width="8.85546875" style="5"/>
  </cols>
  <sheetData>
    <row r="1" spans="2:34" ht="4.5" customHeight="1" x14ac:dyDescent="0.2"/>
    <row r="2" spans="2:34" ht="26.25" x14ac:dyDescent="0.25">
      <c r="B2" s="605" t="s">
        <v>142</v>
      </c>
      <c r="C2" s="881" t="s">
        <v>1526</v>
      </c>
      <c r="D2" s="881" t="s">
        <v>1485</v>
      </c>
      <c r="F2" s="672"/>
      <c r="G2" s="673" t="s">
        <v>1269</v>
      </c>
      <c r="H2" s="674" t="s">
        <v>1268</v>
      </c>
      <c r="I2" s="675" t="s">
        <v>1285</v>
      </c>
      <c r="K2" s="640" t="s">
        <v>1269</v>
      </c>
    </row>
    <row r="3" spans="2:34" ht="26.25" x14ac:dyDescent="0.25">
      <c r="B3" s="604" t="str">
        <f>Summary!B4</f>
        <v>South Africa</v>
      </c>
      <c r="C3" s="604"/>
      <c r="D3" s="676" t="s">
        <v>1337</v>
      </c>
      <c r="F3" s="672"/>
      <c r="G3" s="673"/>
      <c r="H3" s="674"/>
      <c r="I3" s="675"/>
      <c r="K3" s="640"/>
    </row>
    <row r="4" spans="2:34" ht="22.5" customHeight="1" x14ac:dyDescent="0.25">
      <c r="B4" s="606" t="s">
        <v>0</v>
      </c>
      <c r="C4" s="603"/>
      <c r="D4" s="603"/>
      <c r="E4" s="668"/>
      <c r="F4" s="603"/>
      <c r="G4" s="669"/>
      <c r="H4" s="670"/>
      <c r="I4" s="603"/>
      <c r="Z4" s="5" t="s">
        <v>47</v>
      </c>
      <c r="AC4" s="5" t="s">
        <v>1382</v>
      </c>
      <c r="AF4" s="5" t="s">
        <v>1374</v>
      </c>
    </row>
    <row r="5" spans="2:34" ht="15" thickBot="1" x14ac:dyDescent="0.25">
      <c r="B5" s="5" t="s">
        <v>1252</v>
      </c>
      <c r="D5" s="596">
        <f>PDOH!H7+NDOH!H6</f>
        <v>5417014569.8897781</v>
      </c>
      <c r="Z5" s="5" t="str">
        <f>V6</f>
        <v>Base</v>
      </c>
      <c r="AA5" s="5" t="str">
        <f t="shared" ref="AA5:AB5" si="0">W6</f>
        <v>Choices</v>
      </c>
      <c r="AB5" s="5" t="str">
        <f t="shared" si="0"/>
        <v>Full cost</v>
      </c>
      <c r="AC5" s="5" t="str">
        <f>V6</f>
        <v>Base</v>
      </c>
      <c r="AD5" s="5" t="str">
        <f t="shared" ref="AD5:AE5" si="1">W6</f>
        <v>Choices</v>
      </c>
      <c r="AE5" s="5" t="str">
        <f t="shared" si="1"/>
        <v>Full cost</v>
      </c>
      <c r="AF5" s="5" t="str">
        <f>V6</f>
        <v>Base</v>
      </c>
      <c r="AG5" s="5" t="str">
        <f>W6</f>
        <v>Choices</v>
      </c>
      <c r="AH5" s="5" t="str">
        <f t="shared" ref="AH5" si="2">X6</f>
        <v>Full cost</v>
      </c>
    </row>
    <row r="6" spans="2:34" ht="15.75" thickTop="1" thickBot="1" x14ac:dyDescent="0.25">
      <c r="B6" s="5" t="s">
        <v>1253</v>
      </c>
      <c r="D6" s="630">
        <f>PDOH!M7+NDOH!M6</f>
        <v>4860482648.5780449</v>
      </c>
      <c r="V6" s="311" t="s">
        <v>1380</v>
      </c>
      <c r="W6" s="311" t="s">
        <v>1364</v>
      </c>
      <c r="X6" s="311" t="s">
        <v>1381</v>
      </c>
      <c r="Z6" s="192">
        <f>AF22</f>
        <v>10841396.204391528</v>
      </c>
      <c r="AA6" s="192">
        <f t="shared" ref="AA6:AB6" si="3">AG22</f>
        <v>10841396.204391528</v>
      </c>
      <c r="AB6" s="192">
        <f t="shared" si="3"/>
        <v>9959641.5290345121</v>
      </c>
      <c r="AC6" s="192">
        <f>AA24</f>
        <v>8275816.0308020264</v>
      </c>
      <c r="AD6" s="192">
        <f t="shared" ref="AD6:AE6" si="4">AB24</f>
        <v>8275816.0308020264</v>
      </c>
      <c r="AE6" s="192">
        <f t="shared" si="4"/>
        <v>7601325.0050979005</v>
      </c>
      <c r="AF6" s="192">
        <f t="shared" ref="AF6:AH7" si="5">AA26</f>
        <v>10800709.522368424</v>
      </c>
      <c r="AG6" s="192">
        <f t="shared" si="5"/>
        <v>10800709.522368424</v>
      </c>
      <c r="AH6" s="192">
        <f t="shared" si="5"/>
        <v>9913519.6830669362</v>
      </c>
    </row>
    <row r="7" spans="2:34" ht="15" thickTop="1" x14ac:dyDescent="0.2">
      <c r="D7" s="627" t="s">
        <v>1339</v>
      </c>
      <c r="Z7" s="193">
        <f>AF23</f>
        <v>4746494.0952466419</v>
      </c>
      <c r="AA7" s="193">
        <f>AG23</f>
        <v>4746494.0952466419</v>
      </c>
      <c r="AB7" s="193">
        <f>AH23</f>
        <v>4359677.440404539</v>
      </c>
      <c r="AC7" s="193">
        <f>AA25</f>
        <v>4746494.0952466419</v>
      </c>
      <c r="AD7" s="193">
        <f>AB25</f>
        <v>4746494.0952466419</v>
      </c>
      <c r="AE7" s="193">
        <f t="shared" ref="AE7" si="6">AC25</f>
        <v>4359677.440404539</v>
      </c>
      <c r="AF7" s="193">
        <f t="shared" si="5"/>
        <v>716847.09126237838</v>
      </c>
      <c r="AG7" s="193">
        <f t="shared" si="5"/>
        <v>716847.09126237838</v>
      </c>
      <c r="AH7" s="193">
        <f t="shared" si="5"/>
        <v>657963.97303910926</v>
      </c>
    </row>
    <row r="8" spans="2:34" x14ac:dyDescent="0.2">
      <c r="B8" s="601" t="s">
        <v>1257</v>
      </c>
      <c r="D8" s="651">
        <f>'Budget Choices'!D6</f>
        <v>1000000000</v>
      </c>
      <c r="Z8" s="739" t="s">
        <v>1383</v>
      </c>
      <c r="AA8" s="740"/>
      <c r="AB8" s="740"/>
      <c r="AC8" s="750"/>
      <c r="AD8" s="740"/>
      <c r="AE8" s="751"/>
      <c r="AF8" s="740"/>
      <c r="AG8" s="740"/>
      <c r="AH8" s="741"/>
    </row>
    <row r="9" spans="2:34" x14ac:dyDescent="0.2">
      <c r="B9" s="5" t="s">
        <v>1287</v>
      </c>
      <c r="D9" s="631">
        <f>D5-D8</f>
        <v>4417014569.8897781</v>
      </c>
      <c r="Z9" s="742" t="s">
        <v>11</v>
      </c>
      <c r="AA9" s="177"/>
      <c r="AB9" s="177"/>
      <c r="AC9" s="752" t="s">
        <v>646</v>
      </c>
      <c r="AD9" s="177"/>
      <c r="AE9" s="753"/>
      <c r="AF9" s="177" t="s">
        <v>1384</v>
      </c>
      <c r="AG9" s="177"/>
      <c r="AH9" s="743"/>
    </row>
    <row r="10" spans="2:34" x14ac:dyDescent="0.2">
      <c r="B10" s="692" t="str">
        <f>IF(E10&lt;0,"Funds that must be allocated","Costs savings that must still be found")</f>
        <v>Costs savings that must still be found</v>
      </c>
      <c r="D10" s="693">
        <f>(D6-D8)</f>
        <v>3860482648.5780449</v>
      </c>
      <c r="E10" s="638">
        <f>(D6-D8)</f>
        <v>3860482648.5780449</v>
      </c>
      <c r="Z10" s="742" t="str">
        <f>Z5</f>
        <v>Base</v>
      </c>
      <c r="AA10" s="177" t="str">
        <f t="shared" ref="AA10:AH10" si="7">AA5</f>
        <v>Choices</v>
      </c>
      <c r="AB10" s="177" t="str">
        <f t="shared" si="7"/>
        <v>Full cost</v>
      </c>
      <c r="AC10" s="752" t="str">
        <f t="shared" si="7"/>
        <v>Base</v>
      </c>
      <c r="AD10" s="177" t="str">
        <f t="shared" si="7"/>
        <v>Choices</v>
      </c>
      <c r="AE10" s="753" t="str">
        <f t="shared" si="7"/>
        <v>Full cost</v>
      </c>
      <c r="AF10" s="177" t="str">
        <f t="shared" si="7"/>
        <v>Base</v>
      </c>
      <c r="AG10" s="177" t="str">
        <f>AG5</f>
        <v>Choices</v>
      </c>
      <c r="AH10" s="743" t="str">
        <f t="shared" si="7"/>
        <v>Full cost</v>
      </c>
    </row>
    <row r="11" spans="2:34" x14ac:dyDescent="0.2">
      <c r="Z11" s="744">
        <f>AA28</f>
        <v>71620000</v>
      </c>
      <c r="AA11" s="745">
        <f t="shared" ref="AA11:AB12" si="8">AB28</f>
        <v>71620000</v>
      </c>
      <c r="AB11" s="745">
        <f t="shared" si="8"/>
        <v>71620000</v>
      </c>
      <c r="AC11" s="754">
        <f>AF28</f>
        <v>38778133.333333328</v>
      </c>
      <c r="AD11" s="745">
        <f t="shared" ref="AD11:AE11" si="9">AG28</f>
        <v>38778133.333333328</v>
      </c>
      <c r="AE11" s="755">
        <f t="shared" si="9"/>
        <v>41059200</v>
      </c>
      <c r="AF11" s="745">
        <f>AA30</f>
        <v>499200</v>
      </c>
      <c r="AG11" s="745">
        <f t="shared" ref="AG11:AH11" si="10">AB30</f>
        <v>499200</v>
      </c>
      <c r="AH11" s="746">
        <f t="shared" si="10"/>
        <v>499200</v>
      </c>
    </row>
    <row r="12" spans="2:34" x14ac:dyDescent="0.2">
      <c r="B12" s="5" t="s">
        <v>1286</v>
      </c>
      <c r="D12" s="631">
        <f>PDOH!N450+PDOH!N451+PDOH!V273+PDOH!Y269+PDOH!Y273</f>
        <v>0</v>
      </c>
      <c r="Z12" s="747">
        <f>AA29</f>
        <v>17905</v>
      </c>
      <c r="AA12" s="748">
        <f t="shared" si="8"/>
        <v>17905</v>
      </c>
      <c r="AB12" s="748">
        <f t="shared" si="8"/>
        <v>17905</v>
      </c>
      <c r="AC12" s="756">
        <f>AF29</f>
        <v>21385</v>
      </c>
      <c r="AD12" s="748">
        <f t="shared" ref="AD12" si="11">AG29</f>
        <v>21385</v>
      </c>
      <c r="AE12" s="757">
        <f t="shared" ref="AE12" si="12">AH29</f>
        <v>21385</v>
      </c>
      <c r="AF12" s="748">
        <f>AA31</f>
        <v>249.60000000000002</v>
      </c>
      <c r="AG12" s="748">
        <f t="shared" ref="AG12" si="13">AB31</f>
        <v>249.60000000000002</v>
      </c>
      <c r="AH12" s="749">
        <f t="shared" ref="AH12" si="14">AC31</f>
        <v>249.60000000000002</v>
      </c>
    </row>
    <row r="13" spans="2:34" x14ac:dyDescent="0.2">
      <c r="Y13" s="5" t="s">
        <v>1387</v>
      </c>
      <c r="Z13" s="758" t="s">
        <v>1388</v>
      </c>
      <c r="AA13" s="759"/>
      <c r="AB13" s="759"/>
      <c r="AC13" s="770" t="s">
        <v>1362</v>
      </c>
      <c r="AD13" s="759"/>
      <c r="AE13" s="771"/>
      <c r="AF13" s="759" t="s">
        <v>1361</v>
      </c>
      <c r="AG13" s="759"/>
      <c r="AH13" s="760"/>
    </row>
    <row r="14" spans="2:34" x14ac:dyDescent="0.2">
      <c r="B14" s="602" t="s">
        <v>1251</v>
      </c>
      <c r="C14" s="392"/>
      <c r="D14" s="392"/>
      <c r="Z14" s="761" t="str">
        <f>Z10</f>
        <v>Base</v>
      </c>
      <c r="AA14" s="762" t="str">
        <f t="shared" ref="AA14:AH14" si="15">AA10</f>
        <v>Choices</v>
      </c>
      <c r="AB14" s="762" t="str">
        <f t="shared" si="15"/>
        <v>Full cost</v>
      </c>
      <c r="AC14" s="772" t="str">
        <f t="shared" si="15"/>
        <v>Base</v>
      </c>
      <c r="AD14" s="762" t="str">
        <f t="shared" si="15"/>
        <v>Choices</v>
      </c>
      <c r="AE14" s="773" t="str">
        <f t="shared" si="15"/>
        <v>Full cost</v>
      </c>
      <c r="AF14" s="762" t="str">
        <f t="shared" si="15"/>
        <v>Base</v>
      </c>
      <c r="AG14" s="762" t="str">
        <f t="shared" si="15"/>
        <v>Choices</v>
      </c>
      <c r="AH14" s="763" t="str">
        <f t="shared" si="15"/>
        <v>Full cost</v>
      </c>
    </row>
    <row r="15" spans="2:34" x14ac:dyDescent="0.2">
      <c r="Z15" s="764">
        <f>AA33</f>
        <v>657369790.89001966</v>
      </c>
      <c r="AA15" s="765">
        <f t="shared" ref="AA15:AB16" si="16">AB33</f>
        <v>657369790.89001966</v>
      </c>
      <c r="AB15" s="765">
        <f t="shared" si="16"/>
        <v>627101079.64438355</v>
      </c>
      <c r="AC15" s="774">
        <f>AF33</f>
        <v>2204806394.314889</v>
      </c>
      <c r="AD15" s="765">
        <f t="shared" ref="AD15:AE15" si="17">AG33</f>
        <v>2204806394.314889</v>
      </c>
      <c r="AE15" s="775">
        <f t="shared" si="17"/>
        <v>1053655826.8976901</v>
      </c>
      <c r="AF15" s="765">
        <f>AA35</f>
        <v>746097635.05732965</v>
      </c>
      <c r="AG15" s="765">
        <f t="shared" ref="AG15:AH15" si="18">AB35</f>
        <v>746097635.05732965</v>
      </c>
      <c r="AH15" s="766">
        <f t="shared" si="18"/>
        <v>206115785.19863689</v>
      </c>
    </row>
    <row r="16" spans="2:34" ht="12.75" x14ac:dyDescent="0.2">
      <c r="B16" s="4" t="s">
        <v>1270</v>
      </c>
      <c r="D16" s="780" t="s">
        <v>1254</v>
      </c>
      <c r="G16" s="254"/>
      <c r="Z16" s="767">
        <f>AA34</f>
        <v>474649.40952466422</v>
      </c>
      <c r="AA16" s="768">
        <f t="shared" si="16"/>
        <v>474649.40952466422</v>
      </c>
      <c r="AB16" s="768">
        <f t="shared" si="16"/>
        <v>261580.64642427233</v>
      </c>
      <c r="AC16" s="776">
        <f>AF34</f>
        <v>189859.76380986569</v>
      </c>
      <c r="AD16" s="768">
        <f t="shared" ref="AD16" si="19">AG34</f>
        <v>189859.76380986569</v>
      </c>
      <c r="AE16" s="777">
        <f>AH34</f>
        <v>87193.548808090782</v>
      </c>
      <c r="AF16" s="768">
        <f>AA36</f>
        <v>47464.940952466422</v>
      </c>
      <c r="AG16" s="768">
        <f t="shared" ref="AG16" si="20">AB36</f>
        <v>47464.940952466422</v>
      </c>
      <c r="AH16" s="769">
        <f t="shared" ref="AH16" si="21">AC36</f>
        <v>21798.387202022695</v>
      </c>
    </row>
    <row r="17" spans="2:34" ht="12.75" x14ac:dyDescent="0.2">
      <c r="B17" s="6" t="s">
        <v>918</v>
      </c>
      <c r="D17" s="632" t="str">
        <f>'Budget Choices'!E20</f>
        <v>Discontinue</v>
      </c>
      <c r="G17" s="650">
        <f>MAX(0,K17)</f>
        <v>355212.51</v>
      </c>
      <c r="H17" s="644"/>
      <c r="K17" s="641">
        <f>NDOH!N101</f>
        <v>355212.51</v>
      </c>
    </row>
    <row r="18" spans="2:34" ht="12.75" x14ac:dyDescent="0.2">
      <c r="B18" s="6" t="s">
        <v>1271</v>
      </c>
      <c r="D18" s="632" t="str">
        <f>'Budget Choices'!E22</f>
        <v>Discontinue</v>
      </c>
      <c r="G18" s="650">
        <f>MAX(0,K18)</f>
        <v>547344.23400000005</v>
      </c>
      <c r="H18" s="644"/>
      <c r="K18" s="641">
        <f>PDOH!M409</f>
        <v>547344.23400000005</v>
      </c>
      <c r="AF18" s="186"/>
      <c r="AG18" s="718">
        <f>AA23/PDOH!M444</f>
        <v>0.83484903139568178</v>
      </c>
    </row>
    <row r="19" spans="2:34" ht="12.75" x14ac:dyDescent="0.2">
      <c r="G19" s="254"/>
      <c r="K19" s="641"/>
      <c r="AA19" s="716" t="s">
        <v>1363</v>
      </c>
      <c r="AB19" s="716"/>
      <c r="AC19" s="716"/>
      <c r="AF19" s="716" t="s">
        <v>1367</v>
      </c>
      <c r="AG19" s="716"/>
      <c r="AH19" s="716"/>
    </row>
    <row r="20" spans="2:34" ht="12.75" x14ac:dyDescent="0.2">
      <c r="B20" s="634" t="s">
        <v>1391</v>
      </c>
      <c r="D20" s="778" t="s">
        <v>1390</v>
      </c>
      <c r="G20" s="254"/>
      <c r="K20" s="641"/>
      <c r="AF20" s="5" t="s">
        <v>1365</v>
      </c>
      <c r="AG20" s="5" t="s">
        <v>1364</v>
      </c>
      <c r="AH20" s="5" t="s">
        <v>1366</v>
      </c>
    </row>
    <row r="21" spans="2:34" ht="12.75" x14ac:dyDescent="0.2">
      <c r="B21" s="96"/>
      <c r="C21" s="779"/>
      <c r="D21" s="794">
        <f>PDOH!H29</f>
        <v>0.83484903139568178</v>
      </c>
      <c r="G21" s="254"/>
      <c r="K21" s="641"/>
      <c r="AA21" s="5" t="s">
        <v>1365</v>
      </c>
      <c r="AB21" s="5" t="s">
        <v>1364</v>
      </c>
      <c r="AC21" s="5" t="s">
        <v>1366</v>
      </c>
    </row>
    <row r="22" spans="2:34" ht="12.75" x14ac:dyDescent="0.2">
      <c r="B22" s="6" t="s">
        <v>1392</v>
      </c>
      <c r="C22" s="779"/>
      <c r="D22" s="634">
        <f>IF('Budget Choices'!E37=68,PDOH!H29,'Budget Choices'!E37/100)</f>
        <v>0.83484903139568178</v>
      </c>
      <c r="G22" s="650">
        <f>MAX(0,K22)</f>
        <v>570783.5677331686</v>
      </c>
      <c r="H22" s="193">
        <f>($D$21*PDOH!$M$444)-'Budget Choices Workings'!$D$22*PDOH!$M$444</f>
        <v>0</v>
      </c>
      <c r="I22" s="620" t="str">
        <f>IF(K22&lt;0,"You cannot increase expenditure on this","Fewer children going for routine check ups per year")</f>
        <v>Fewer children going for routine check ups per year</v>
      </c>
      <c r="K22" s="641">
        <f>PDOH!M476</f>
        <v>570783.5677331686</v>
      </c>
      <c r="M22" s="186">
        <f>(ROUND(H22,0))</f>
        <v>0</v>
      </c>
      <c r="X22" s="719" t="s">
        <v>1379</v>
      </c>
      <c r="Y22" s="720" t="s">
        <v>1370</v>
      </c>
      <c r="AA22" s="721">
        <f>PDOH!H475</f>
        <v>610018529.16133952</v>
      </c>
      <c r="AB22" s="721">
        <f>PDOH!M475</f>
        <v>609447745.59360635</v>
      </c>
      <c r="AC22" s="722">
        <f>PDOH!L475</f>
        <v>618668167.79129517</v>
      </c>
      <c r="AE22" s="5" t="s">
        <v>1372</v>
      </c>
      <c r="AF22" s="192">
        <f>PDOH!H368</f>
        <v>10841396.204391528</v>
      </c>
      <c r="AG22" s="192">
        <f>PDOH!M368</f>
        <v>10841396.204391528</v>
      </c>
      <c r="AH22" s="192">
        <f>PDOH!L368</f>
        <v>9959641.5290345121</v>
      </c>
    </row>
    <row r="23" spans="2:34" ht="12.75" x14ac:dyDescent="0.2">
      <c r="C23" s="779"/>
      <c r="G23" s="254"/>
      <c r="K23" s="641"/>
      <c r="X23" s="723"/>
      <c r="Y23" s="724" t="s">
        <v>1371</v>
      </c>
      <c r="AA23" s="725">
        <f>PDOH!H359</f>
        <v>4746494.0952466419</v>
      </c>
      <c r="AB23" s="725">
        <f>D22/AG18*AA23</f>
        <v>4746494.0952466419</v>
      </c>
      <c r="AC23" s="726">
        <f>PDOH!L359</f>
        <v>4359677.440404539</v>
      </c>
      <c r="AF23" s="193">
        <f>AA23</f>
        <v>4746494.0952466419</v>
      </c>
      <c r="AG23" s="193">
        <f>D24/AG18*AF23</f>
        <v>4746494.0952466419</v>
      </c>
      <c r="AH23" s="193">
        <f>AC23</f>
        <v>4359677.440404539</v>
      </c>
    </row>
    <row r="24" spans="2:34" ht="12.75" x14ac:dyDescent="0.2">
      <c r="B24" s="6" t="s">
        <v>47</v>
      </c>
      <c r="C24" s="779"/>
      <c r="D24" s="634">
        <f>IF('Budget Choices'!E38=68,PDOH!H29,'Budget Choices'!E38/100)</f>
        <v>0.83484903139568178</v>
      </c>
      <c r="G24" s="650">
        <f t="shared" ref="G24:G26" si="22">MAX(0,K24)</f>
        <v>0</v>
      </c>
      <c r="H24" s="193">
        <f>($D$21*PDOH!$M$444)-'Budget Choices Workings'!$D$24*PDOH!$M$444</f>
        <v>0</v>
      </c>
      <c r="I24" s="620" t="str">
        <f>IF(K24&lt;0,"You cannot increase expenditure on this","Less children being dewormed each year")</f>
        <v>Less children being dewormed each year</v>
      </c>
      <c r="K24" s="641">
        <f>PDOH!H368-PDOH!M368</f>
        <v>0</v>
      </c>
      <c r="M24" s="186">
        <f>ABS(ROUND(H24,0))</f>
        <v>0</v>
      </c>
      <c r="X24" s="5" t="s">
        <v>46</v>
      </c>
      <c r="AA24" s="192">
        <f>PDOH!H381</f>
        <v>8275816.0308020264</v>
      </c>
      <c r="AB24" s="192">
        <f>PDOH!M381</f>
        <v>8275816.0308020264</v>
      </c>
      <c r="AC24" s="192">
        <f>PDOH!L381</f>
        <v>7601325.0050979005</v>
      </c>
      <c r="AF24" s="5" t="str">
        <f>AF10</f>
        <v>Base</v>
      </c>
      <c r="AG24" s="5" t="str">
        <f>AG10</f>
        <v>Choices</v>
      </c>
      <c r="AH24" s="5" t="str">
        <f t="shared" ref="AH24" si="23">AH10</f>
        <v>Full cost</v>
      </c>
    </row>
    <row r="25" spans="2:34" ht="12.75" x14ac:dyDescent="0.2">
      <c r="B25" s="6" t="s">
        <v>46</v>
      </c>
      <c r="C25" s="779"/>
      <c r="D25" s="634">
        <f>IF('Budget Choices'!E39=68,PDOH!H29,'Budget Choices'!E39/100)</f>
        <v>0.83484903139568178</v>
      </c>
      <c r="G25" s="650">
        <f t="shared" si="22"/>
        <v>0</v>
      </c>
      <c r="H25" s="193">
        <f>($D$21*PDOH!$M$444)-'Budget Choices Workings'!$D$25*PDOH!$M$444</f>
        <v>0</v>
      </c>
      <c r="I25" s="620" t="str">
        <f>IF(K25&lt;0,"You cannot increase expenditure on this","Less children receiving Vit A each year")</f>
        <v>Less children receiving Vit A each year</v>
      </c>
      <c r="K25" s="641">
        <f>PDOH!H381-PDOH!M381</f>
        <v>0</v>
      </c>
      <c r="M25" s="186">
        <f>ABS(ROUND(H25,0))</f>
        <v>0</v>
      </c>
      <c r="AA25" s="193">
        <f>AA23</f>
        <v>4746494.0952466419</v>
      </c>
      <c r="AB25" s="193">
        <f>D25/AG18*AA25</f>
        <v>4746494.0952466419</v>
      </c>
      <c r="AC25" s="193">
        <f>AH23</f>
        <v>4359677.440404539</v>
      </c>
      <c r="AE25" s="727" t="s">
        <v>1373</v>
      </c>
      <c r="AF25" s="728">
        <f>PDOH!H388</f>
        <v>10800709.522368424</v>
      </c>
      <c r="AG25" s="728">
        <f>PDOH!M385</f>
        <v>26087786.084056977</v>
      </c>
      <c r="AH25" s="729">
        <f>PDOH!L388</f>
        <v>9913519.6830669362</v>
      </c>
    </row>
    <row r="26" spans="2:34" ht="12.75" x14ac:dyDescent="0.2">
      <c r="B26" s="6" t="s">
        <v>1266</v>
      </c>
      <c r="C26" s="779"/>
      <c r="D26" s="632" t="str">
        <f>'Budget Choices'!E41</f>
        <v>Continue</v>
      </c>
      <c r="G26" s="650">
        <f t="shared" si="22"/>
        <v>0</v>
      </c>
      <c r="H26" s="193">
        <f>IF(D26="Cut",PDOH!M315,0)</f>
        <v>0</v>
      </c>
      <c r="I26" s="620" t="str">
        <f>IF(K26&lt;0,"You cannot increase expenditure on this","Babies under six months not getting formula from government")</f>
        <v>Babies under six months not getting formula from government</v>
      </c>
      <c r="K26" s="641">
        <f>PDOH!H385-PDOH!M385</f>
        <v>0</v>
      </c>
      <c r="X26" s="719" t="s">
        <v>1374</v>
      </c>
      <c r="Y26" s="720"/>
      <c r="AA26" s="721">
        <f>PDOH!H388</f>
        <v>10800709.522368424</v>
      </c>
      <c r="AB26" s="721">
        <f>PDOH!M388</f>
        <v>10800709.522368424</v>
      </c>
      <c r="AC26" s="722">
        <f>PDOH!L388</f>
        <v>9913519.6830669362</v>
      </c>
      <c r="AE26" s="730"/>
      <c r="AF26" s="731">
        <f>PDOH!H384</f>
        <v>14336.941825247568</v>
      </c>
      <c r="AG26" s="731">
        <f>PDOH!M384</f>
        <v>14336.941825247568</v>
      </c>
      <c r="AH26" s="732">
        <f>PDOH!L384</f>
        <v>13159.279460782185</v>
      </c>
    </row>
    <row r="27" spans="2:34" ht="12.75" x14ac:dyDescent="0.2">
      <c r="B27" s="6" t="s">
        <v>1250</v>
      </c>
      <c r="C27" s="779"/>
      <c r="D27" s="632" t="str">
        <f>'Budget Choices'!E43</f>
        <v>Continue</v>
      </c>
      <c r="G27" s="650">
        <f>MAX(0,K27)</f>
        <v>0</v>
      </c>
      <c r="H27" s="193">
        <f>IF(D27="Cut",PDOH!M314,0)</f>
        <v>0</v>
      </c>
      <c r="I27" s="620" t="str">
        <f>IF(K27&lt;0,"You cannot increase expenditure on this","Babies now not benefitting from foilic acid while in the womb")</f>
        <v>Babies now not benefitting from foilic acid while in the womb</v>
      </c>
      <c r="K27" s="641">
        <f>PDOH!H388-PDOH!M388</f>
        <v>0</v>
      </c>
      <c r="X27" s="723"/>
      <c r="Y27" s="724"/>
      <c r="AA27" s="725">
        <f>PDOH!H314</f>
        <v>716847.09126237838</v>
      </c>
      <c r="AB27" s="725">
        <f>PDOH!M314*PDOH!N388</f>
        <v>716847.09126237838</v>
      </c>
      <c r="AC27" s="726">
        <f>PDOH!L314</f>
        <v>657963.97303910926</v>
      </c>
    </row>
    <row r="28" spans="2:34" ht="25.5" x14ac:dyDescent="0.2">
      <c r="B28" s="5" t="s">
        <v>1246</v>
      </c>
      <c r="D28" s="781" t="s">
        <v>1272</v>
      </c>
      <c r="G28" s="254"/>
      <c r="X28" s="5" t="s">
        <v>1375</v>
      </c>
      <c r="AA28" s="192">
        <f>PDOH!H436</f>
        <v>71620000</v>
      </c>
      <c r="AB28" s="192">
        <f>PDOH!M436</f>
        <v>71620000</v>
      </c>
      <c r="AC28" s="192">
        <f>PDOH!L436</f>
        <v>71620000</v>
      </c>
      <c r="AE28" s="727" t="s">
        <v>1376</v>
      </c>
      <c r="AF28" s="728">
        <f>PDOH!H437</f>
        <v>38778133.333333328</v>
      </c>
      <c r="AG28" s="728">
        <f>PDOH!M437</f>
        <v>38778133.333333328</v>
      </c>
      <c r="AH28" s="729">
        <f>PDOH!L437</f>
        <v>41059200</v>
      </c>
    </row>
    <row r="29" spans="2:34" ht="12.75" x14ac:dyDescent="0.2">
      <c r="B29" s="27" t="s">
        <v>833</v>
      </c>
      <c r="D29" s="634">
        <f>'Budget Choices'!E46/100</f>
        <v>1</v>
      </c>
      <c r="G29" s="650">
        <f t="shared" ref="G29:G31" si="24">MAX(0,K29)</f>
        <v>0</v>
      </c>
      <c r="H29" s="644"/>
      <c r="I29" s="620" t="str">
        <f>IF(K29&lt;0,"You cannot increase expenditure on this","Reduces capacity to diagnose growth faltering and acute malnutrition properly")</f>
        <v>Reduces capacity to diagnose growth faltering and acute malnutrition properly</v>
      </c>
      <c r="K29" s="641">
        <f>PDOH!H436-PDOH!M436</f>
        <v>0</v>
      </c>
      <c r="AA29" s="193">
        <f>PDOH!H95*PDOH!H25</f>
        <v>17905</v>
      </c>
      <c r="AB29" s="193">
        <f>AA29*D29</f>
        <v>17905</v>
      </c>
      <c r="AC29" s="193">
        <f>PDOH!L25*PDOH!L95</f>
        <v>17905</v>
      </c>
      <c r="AE29" s="730"/>
      <c r="AF29" s="731">
        <f>PDOH!H99*PDOH!H26</f>
        <v>21385</v>
      </c>
      <c r="AG29" s="731">
        <f>AF29*D30</f>
        <v>21385</v>
      </c>
      <c r="AH29" s="732">
        <f>PDOH!L26*PDOH!L99</f>
        <v>21385</v>
      </c>
    </row>
    <row r="30" spans="2:34" ht="12.75" x14ac:dyDescent="0.2">
      <c r="B30" s="27" t="s">
        <v>646</v>
      </c>
      <c r="D30" s="634">
        <f>'Budget Choices'!E47/100</f>
        <v>1</v>
      </c>
      <c r="G30" s="650">
        <f t="shared" si="24"/>
        <v>0</v>
      </c>
      <c r="H30" s="644"/>
      <c r="I30" s="620" t="str">
        <f>IF(K30&lt;0,"You cannot increase expenditure on this","Reduces capacity to diagnose growth faltering and acute malnutrition properly")</f>
        <v>Reduces capacity to diagnose growth faltering and acute malnutrition properly</v>
      </c>
      <c r="K30" s="641">
        <f>PDOH!H437-PDOH!M437</f>
        <v>0</v>
      </c>
      <c r="X30" s="719" t="s">
        <v>1377</v>
      </c>
      <c r="Y30" s="720"/>
      <c r="AA30" s="721">
        <f>PDOH!H438</f>
        <v>499200</v>
      </c>
      <c r="AB30" s="721">
        <f>PDOH!M438</f>
        <v>499200</v>
      </c>
      <c r="AC30" s="722">
        <f>PDOH!L438</f>
        <v>499200</v>
      </c>
    </row>
    <row r="31" spans="2:34" ht="12.75" x14ac:dyDescent="0.2">
      <c r="B31" s="27" t="s">
        <v>830</v>
      </c>
      <c r="D31" s="634">
        <f>'Budget Choices'!E48/100</f>
        <v>1</v>
      </c>
      <c r="G31" s="650">
        <f t="shared" si="24"/>
        <v>0</v>
      </c>
      <c r="H31" s="644"/>
      <c r="I31" s="620" t="str">
        <f>IF(K31&lt;0,"You cannot increase expenditure on this","Reduces capacity to diagnose growth faltering and acute malnutrition properly")</f>
        <v>Reduces capacity to diagnose growth faltering and acute malnutrition properly</v>
      </c>
      <c r="K31" s="641">
        <f>PDOH!H438-PDOH!M438</f>
        <v>0</v>
      </c>
      <c r="X31" s="723"/>
      <c r="Y31" s="724"/>
      <c r="AA31" s="725">
        <f>PDOH!H24*PDOH!H103*PDOH!H144</f>
        <v>249.60000000000002</v>
      </c>
      <c r="AB31" s="737">
        <f>AA31*D31</f>
        <v>249.60000000000002</v>
      </c>
      <c r="AC31" s="726">
        <f>PDOH!L24*PDOH!L103*PDOH!L144</f>
        <v>249.60000000000002</v>
      </c>
    </row>
    <row r="32" spans="2:34" ht="25.5" x14ac:dyDescent="0.2">
      <c r="B32" s="27"/>
      <c r="D32" s="788" t="s">
        <v>1394</v>
      </c>
      <c r="G32" s="650"/>
      <c r="H32" s="644"/>
      <c r="I32" s="620"/>
      <c r="K32" s="641"/>
      <c r="X32" s="785"/>
      <c r="Y32" s="785"/>
      <c r="AA32" s="786"/>
      <c r="AB32" s="787"/>
      <c r="AC32" s="786"/>
    </row>
    <row r="33" spans="2:34" ht="12.75" x14ac:dyDescent="0.2">
      <c r="B33" s="5" t="s">
        <v>1039</v>
      </c>
      <c r="D33" s="633">
        <f>'Acute Prevalence'!C29</f>
        <v>1</v>
      </c>
      <c r="G33" s="650"/>
      <c r="H33" s="644"/>
      <c r="I33" s="620"/>
      <c r="K33" s="641"/>
      <c r="X33" s="5" t="s">
        <v>1378</v>
      </c>
      <c r="AA33" s="192">
        <f>PDOH!H269+PDOH!H274+PDOH!H279</f>
        <v>657369790.89001966</v>
      </c>
      <c r="AB33" s="192">
        <f>PDOH!M269+PDOH!M274+PDOH!M279</f>
        <v>657369790.89001966</v>
      </c>
      <c r="AC33" s="192">
        <f>PDOH!L269+PDOH!L274+PDOH!L279</f>
        <v>627101079.64438355</v>
      </c>
      <c r="AE33" s="311" t="s">
        <v>1362</v>
      </c>
      <c r="AF33" s="735">
        <f>PDOH!H270+PDOH!H275+PDOH!H280+PDOH!H284</f>
        <v>2204806394.314889</v>
      </c>
      <c r="AG33" s="735">
        <f>PDOH!M270+PDOH!M275+PDOH!M280+PDOH!M284</f>
        <v>2204806394.314889</v>
      </c>
      <c r="AH33" s="735">
        <f>PDOH!L270+PDOH!L275+PDOH!L280+PDOH!L284</f>
        <v>1053655826.8976901</v>
      </c>
    </row>
    <row r="34" spans="2:34" ht="12.75" x14ac:dyDescent="0.2">
      <c r="B34" s="27" t="s">
        <v>1111</v>
      </c>
      <c r="D34" s="634">
        <f>'Budget Choices'!E53/100</f>
        <v>1</v>
      </c>
      <c r="G34" s="650">
        <f t="shared" ref="G34:G36" si="25">MAX(0,K34)</f>
        <v>0</v>
      </c>
      <c r="H34" s="193">
        <f>'Acute Prevalence'!C24-'Acute Prevalence'!H24</f>
        <v>0</v>
      </c>
      <c r="I34" s="620" t="str">
        <f>IF(K34&lt;0,"You cannot increase expenditure on this","Children that are growth faltering put at risk of becoming acutely malnourished")</f>
        <v>Children that are growth faltering put at risk of becoming acutely malnourished</v>
      </c>
      <c r="K34" s="641">
        <f>PDOH!Y269</f>
        <v>0</v>
      </c>
      <c r="M34" s="186">
        <f>ABS(ROUND(H34,0))</f>
        <v>0</v>
      </c>
      <c r="AA34" s="193">
        <f>'Acute Prevalence'!C24</f>
        <v>474649.40952466422</v>
      </c>
      <c r="AB34" s="193">
        <f>'Acute Prevalence'!H24</f>
        <v>474649.40952466422</v>
      </c>
      <c r="AC34" s="193">
        <f>'Acute Prevalence'!G24</f>
        <v>261580.64642427233</v>
      </c>
      <c r="AE34" s="311"/>
      <c r="AF34" s="736">
        <f>'Acute Prevalence'!C26</f>
        <v>189859.76380986569</v>
      </c>
      <c r="AG34" s="736">
        <f>'Acute Prevalence'!H26</f>
        <v>189859.76380986569</v>
      </c>
      <c r="AH34" s="736">
        <f>'Acute Prevalence'!G26</f>
        <v>87193.548808090782</v>
      </c>
    </row>
    <row r="35" spans="2:34" ht="12.75" x14ac:dyDescent="0.2">
      <c r="B35" s="27" t="s">
        <v>1358</v>
      </c>
      <c r="D35" s="634">
        <f>'Budget Choices'!E54/100</f>
        <v>1</v>
      </c>
      <c r="G35" s="650">
        <f>PDOH!Y271</f>
        <v>0</v>
      </c>
      <c r="H35" s="193">
        <f>'Acute Prevalence'!C26-'Acute Prevalence'!H26</f>
        <v>0</v>
      </c>
      <c r="I35" s="620" t="str">
        <f>IF(K35&lt;0,"You cannot increase expenditure on this","Moderate acute malnourished children likely to become severely acute malnourished")</f>
        <v>Moderate acute malnourished children likely to become severely acute malnourished</v>
      </c>
      <c r="K35" s="641">
        <f>PDOH!Y271</f>
        <v>0</v>
      </c>
      <c r="M35" s="186">
        <f>ABS(ROUND(H35,0))</f>
        <v>0</v>
      </c>
      <c r="X35" s="727"/>
      <c r="Y35" s="733" t="s">
        <v>1361</v>
      </c>
      <c r="AA35" s="728">
        <f>PDOH!H271+PDOH!H272+PDOH!H276+PDOH!H277+PDOH!H281+PDOH!H282+PDOH!H286+PDOH!H287</f>
        <v>746097635.05732965</v>
      </c>
      <c r="AB35" s="728">
        <f>PDOH!M271+PDOH!M272+PDOH!M276+PDOH!M277+PDOH!M281+PDOH!M282+PDOH!M286+PDOH!M287</f>
        <v>746097635.05732965</v>
      </c>
      <c r="AC35" s="729">
        <f>PDOH!L271+PDOH!L272+PDOH!L276+PDOH!L277+PDOH!L281+PDOH!L282+PDOH!L286+PDOH!L287</f>
        <v>206115785.19863689</v>
      </c>
    </row>
    <row r="36" spans="2:34" ht="12.75" x14ac:dyDescent="0.2">
      <c r="B36" s="27" t="s">
        <v>1357</v>
      </c>
      <c r="D36" s="634">
        <f>'Budget Choices'!E55/100</f>
        <v>1</v>
      </c>
      <c r="G36" s="650">
        <f t="shared" si="25"/>
        <v>0</v>
      </c>
      <c r="H36" s="193">
        <f>('Acute Prevalence'!C27+'Acute Prevalence'!C28)-('Acute Prevalence'!H27+'Acute Prevalence'!H28)</f>
        <v>0</v>
      </c>
      <c r="I36" s="620" t="str">
        <f>IF(K36&lt;0,"You cannot increase expenditure on this","Severe acute malnourished children at risk of dying because of non-treatment")</f>
        <v>Severe acute malnourished children at risk of dying because of non-treatment</v>
      </c>
      <c r="K36" s="641">
        <f>PDOH!Y273</f>
        <v>0</v>
      </c>
      <c r="M36" s="186">
        <f>ABS(ROUND(H36,0))</f>
        <v>0</v>
      </c>
      <c r="X36" s="730"/>
      <c r="Y36" s="734"/>
      <c r="AA36" s="731">
        <f>'Acute Prevalence'!C27+'Acute Prevalence'!C28</f>
        <v>47464.940952466422</v>
      </c>
      <c r="AB36" s="731">
        <f>'Acute Prevalence'!H27+'Acute Prevalence'!H28</f>
        <v>47464.940952466422</v>
      </c>
      <c r="AC36" s="732">
        <f>'Acute Prevalence'!G27+'Acute Prevalence'!G28</f>
        <v>21798.387202022695</v>
      </c>
    </row>
    <row r="37" spans="2:34" ht="12.75" x14ac:dyDescent="0.2">
      <c r="G37" s="254"/>
      <c r="H37" s="5"/>
    </row>
    <row r="38" spans="2:34" ht="12.75" x14ac:dyDescent="0.2">
      <c r="G38" s="254"/>
      <c r="AA38" s="5">
        <f>AA28/AA29</f>
        <v>4000</v>
      </c>
    </row>
    <row r="39" spans="2:34" ht="15.75" x14ac:dyDescent="0.25">
      <c r="B39" s="606" t="s">
        <v>22</v>
      </c>
      <c r="C39" s="603"/>
      <c r="D39" s="603"/>
      <c r="E39" s="668"/>
      <c r="F39" s="603"/>
      <c r="G39" s="671"/>
      <c r="H39" s="670"/>
      <c r="I39" s="603"/>
      <c r="AA39" s="5">
        <f>AA30/AA31</f>
        <v>1999.9999999999998</v>
      </c>
    </row>
    <row r="40" spans="2:34" ht="13.5" thickBot="1" x14ac:dyDescent="0.25">
      <c r="B40" s="7" t="s">
        <v>1252</v>
      </c>
      <c r="D40" s="596">
        <f>NDSD!H6+PDSD!H7+PDSD!H9-PDSD!H10</f>
        <v>5258396059.3409872</v>
      </c>
      <c r="F40" s="5"/>
      <c r="G40" s="254"/>
    </row>
    <row r="41" spans="2:34" thickTop="1" thickBot="1" x14ac:dyDescent="0.25">
      <c r="B41" s="5" t="s">
        <v>1253</v>
      </c>
      <c r="D41" s="596">
        <f>NDSD!M6+PDSD!M7+PDSD!M9-PDSD!M10</f>
        <v>4446720829.4651117</v>
      </c>
      <c r="F41" s="5"/>
      <c r="G41" s="254"/>
    </row>
    <row r="42" spans="2:34" ht="13.5" thickTop="1" x14ac:dyDescent="0.2">
      <c r="B42" s="79"/>
      <c r="F42" s="5"/>
      <c r="G42" s="254"/>
    </row>
    <row r="43" spans="2:34" ht="12.75" x14ac:dyDescent="0.2">
      <c r="B43" s="79"/>
      <c r="D43" s="627" t="s">
        <v>1339</v>
      </c>
      <c r="F43" s="5"/>
      <c r="G43" s="254"/>
    </row>
    <row r="44" spans="2:34" ht="12.75" x14ac:dyDescent="0.2">
      <c r="B44" s="601" t="s">
        <v>1267</v>
      </c>
      <c r="D44" s="651">
        <f>'Budget Choices'!D62</f>
        <v>2200000000</v>
      </c>
      <c r="F44" s="5"/>
      <c r="G44" s="254"/>
    </row>
    <row r="45" spans="2:34" ht="12.75" x14ac:dyDescent="0.2">
      <c r="B45" s="5" t="s">
        <v>1287</v>
      </c>
      <c r="D45" s="631">
        <f>D40-D44</f>
        <v>3058396059.3409872</v>
      </c>
      <c r="F45" s="5"/>
      <c r="G45" s="254"/>
    </row>
    <row r="46" spans="2:34" ht="12.75" x14ac:dyDescent="0.2">
      <c r="B46" s="241" t="str">
        <f>IF(E46&lt;0,"Funds that can still be allocated","Costs savings that must still be found")</f>
        <v>Costs savings that must still be found</v>
      </c>
      <c r="D46" s="631">
        <f>(D41-D44)</f>
        <v>2246720829.4651117</v>
      </c>
      <c r="E46" s="639">
        <f>(D41-D44)</f>
        <v>2246720829.4651117</v>
      </c>
      <c r="G46" s="254"/>
    </row>
    <row r="47" spans="2:34" ht="12.75" x14ac:dyDescent="0.2">
      <c r="G47" s="254"/>
    </row>
    <row r="48" spans="2:34" ht="12.75" x14ac:dyDescent="0.2">
      <c r="B48" s="5" t="s">
        <v>1260</v>
      </c>
      <c r="D48" s="631">
        <f>NDSD!M6+PDSD!M7</f>
        <v>2228376852.1594181</v>
      </c>
      <c r="G48" s="254"/>
    </row>
    <row r="49" spans="2:34" ht="12.75" x14ac:dyDescent="0.2">
      <c r="B49" s="602" t="s">
        <v>1251</v>
      </c>
      <c r="C49" s="392"/>
      <c r="D49" s="392"/>
      <c r="G49" s="254"/>
    </row>
    <row r="50" spans="2:34" ht="12.75" x14ac:dyDescent="0.2">
      <c r="B50" s="79"/>
      <c r="C50" s="1129" t="s">
        <v>1336</v>
      </c>
      <c r="D50" s="1129"/>
      <c r="G50" s="254"/>
      <c r="AA50" s="716" t="s">
        <v>1363</v>
      </c>
      <c r="AB50" s="716"/>
      <c r="AC50" s="716"/>
      <c r="AF50" s="716" t="s">
        <v>1367</v>
      </c>
      <c r="AG50" s="716"/>
      <c r="AH50" s="716"/>
    </row>
    <row r="51" spans="2:34" ht="26.25" customHeight="1" x14ac:dyDescent="0.2">
      <c r="B51" s="4" t="s">
        <v>1258</v>
      </c>
      <c r="C51" s="1129"/>
      <c r="D51" s="1129"/>
      <c r="G51" s="254"/>
      <c r="AA51" s="5" t="s">
        <v>1380</v>
      </c>
      <c r="AB51" s="5" t="s">
        <v>1364</v>
      </c>
      <c r="AC51" s="5" t="s">
        <v>1366</v>
      </c>
      <c r="AF51" s="5" t="s">
        <v>1364</v>
      </c>
      <c r="AG51" s="5" t="s">
        <v>1365</v>
      </c>
      <c r="AH51" s="5" t="s">
        <v>1366</v>
      </c>
    </row>
    <row r="52" spans="2:34" ht="12.75" x14ac:dyDescent="0.2">
      <c r="B52" s="79"/>
      <c r="C52" s="598" t="s">
        <v>1259</v>
      </c>
      <c r="D52" s="356" t="s">
        <v>1255</v>
      </c>
      <c r="G52" s="254"/>
      <c r="K52" s="642"/>
      <c r="AA52" s="192">
        <f>PDSD!H4+PDSD!H5+PDSD!H9</f>
        <v>5258284668.4109869</v>
      </c>
      <c r="AB52" s="192">
        <f>PDSD!M4+PDSD!M5+PDSD!M9</f>
        <v>4446609438.5351114</v>
      </c>
      <c r="AC52" s="192">
        <f>PDSD!L4+PDSD!L5+PDSD!L6</f>
        <v>2998909719.9777451</v>
      </c>
    </row>
    <row r="53" spans="2:34" ht="12.75" x14ac:dyDescent="0.2">
      <c r="B53" s="65" t="s">
        <v>428</v>
      </c>
      <c r="C53" s="71">
        <f>PDSD!H21</f>
        <v>0.8</v>
      </c>
      <c r="D53" s="634">
        <f>'Budget Choices'!E73/100</f>
        <v>0.65</v>
      </c>
      <c r="G53" s="650"/>
      <c r="H53" s="193">
        <f>PDSD!S95</f>
        <v>-69631.419855104235</v>
      </c>
      <c r="I53" s="620" t="str">
        <f>IF(H53&gt;=0,"Less children subsidised at ECD facilities and being fed","More children being subsidised and fed at ECD facilities")</f>
        <v>More children being subsidised and fed at ECD facilities</v>
      </c>
      <c r="K53" s="641">
        <f>H53*PDSD!$H$34*PDSD!$H$35</f>
        <v>-275740422.62621278</v>
      </c>
      <c r="AA53" s="193">
        <f>PDSD!H120</f>
        <v>1325010.9737825226</v>
      </c>
      <c r="AB53" s="193">
        <f>PDSD!M120</f>
        <v>1120375.7461139867</v>
      </c>
      <c r="AC53" s="193">
        <f>PDSD!L120</f>
        <v>1508326.4012880491</v>
      </c>
    </row>
    <row r="54" spans="2:34" ht="12.75" x14ac:dyDescent="0.2">
      <c r="B54" s="65" t="s">
        <v>429</v>
      </c>
      <c r="C54" s="71">
        <f>PDSD!H22</f>
        <v>0.8</v>
      </c>
      <c r="D54" s="634">
        <f>'Budget Choices'!E74/100</f>
        <v>0.65</v>
      </c>
      <c r="G54" s="650"/>
      <c r="H54" s="193">
        <f>PDSD!S96</f>
        <v>-69230.969357136753</v>
      </c>
      <c r="I54" s="620" t="str">
        <f t="shared" ref="I54:I60" si="26">IF(H54&gt;=0,"Less children subsidised at ECD facilities and being fed","More children being subsidised and fed at ECD facilities")</f>
        <v>More children being subsidised and fed at ECD facilities</v>
      </c>
      <c r="K54" s="641">
        <f>H54*PDSD!$H$34*PDSD!$H$35</f>
        <v>-274154638.65426153</v>
      </c>
    </row>
    <row r="55" spans="2:34" ht="12.75" x14ac:dyDescent="0.2">
      <c r="B55" s="65" t="s">
        <v>430</v>
      </c>
      <c r="C55" s="71">
        <f>PDSD!H23</f>
        <v>0.35</v>
      </c>
      <c r="D55" s="634">
        <f>'Budget Choices'!E75/100</f>
        <v>0.35</v>
      </c>
      <c r="G55" s="650"/>
      <c r="H55" s="193">
        <f>PDSD!S97</f>
        <v>0</v>
      </c>
      <c r="I55" s="620" t="str">
        <f t="shared" si="26"/>
        <v>Less children subsidised at ECD facilities and being fed</v>
      </c>
      <c r="K55" s="641">
        <f>H55*PDSD!$H$34*PDSD!$H$35</f>
        <v>0</v>
      </c>
    </row>
    <row r="56" spans="2:34" ht="12.75" x14ac:dyDescent="0.2">
      <c r="G56" s="254"/>
      <c r="I56" s="620" t="str">
        <f t="shared" si="26"/>
        <v>Less children subsidised at ECD facilities and being fed</v>
      </c>
      <c r="K56" s="641"/>
    </row>
    <row r="57" spans="2:34" ht="12.75" x14ac:dyDescent="0.2">
      <c r="B57" s="5" t="s">
        <v>1261</v>
      </c>
      <c r="C57" s="598" t="s">
        <v>1259</v>
      </c>
      <c r="D57" s="356" t="s">
        <v>1255</v>
      </c>
      <c r="G57" s="254"/>
      <c r="K57" s="641"/>
    </row>
    <row r="58" spans="2:34" ht="12.75" x14ac:dyDescent="0.2">
      <c r="B58" s="65" t="s">
        <v>438</v>
      </c>
      <c r="C58" s="597" t="str">
        <f>PDSD!H27</f>
        <v>No</v>
      </c>
      <c r="D58" s="635" t="str">
        <f>'Budget Choices'!E79</f>
        <v>No</v>
      </c>
      <c r="G58" s="650"/>
      <c r="H58" s="193">
        <f>PDSD!Q115</f>
        <v>0</v>
      </c>
      <c r="I58" s="620" t="str">
        <f t="shared" si="26"/>
        <v>Less children subsidised at ECD facilities and being fed</v>
      </c>
      <c r="K58" s="641">
        <f>H58*PDSD!$H$34*PDSD!$H$35</f>
        <v>0</v>
      </c>
    </row>
    <row r="59" spans="2:34" ht="12.75" x14ac:dyDescent="0.2">
      <c r="B59" s="65" t="s">
        <v>439</v>
      </c>
      <c r="C59" s="597" t="str">
        <f>PDSD!H28</f>
        <v>No</v>
      </c>
      <c r="D59" s="635" t="str">
        <f>'Budget Choices'!E80</f>
        <v>No</v>
      </c>
      <c r="G59" s="650"/>
      <c r="H59" s="193">
        <f>PDSD!Q116</f>
        <v>0</v>
      </c>
      <c r="I59" s="620" t="str">
        <f t="shared" si="26"/>
        <v>Less children subsidised at ECD facilities and being fed</v>
      </c>
      <c r="K59" s="641">
        <f>H59*PDSD!$H$34*PDSD!$H$35</f>
        <v>0</v>
      </c>
    </row>
    <row r="60" spans="2:34" ht="12.75" x14ac:dyDescent="0.2">
      <c r="B60" s="65" t="s">
        <v>440</v>
      </c>
      <c r="C60" s="597" t="str">
        <f>PDSD!H29</f>
        <v>Yes</v>
      </c>
      <c r="D60" s="635" t="str">
        <f>'Budget Choices'!E81</f>
        <v>Yes</v>
      </c>
      <c r="G60" s="650"/>
      <c r="H60" s="193">
        <f>PDSD!Q117</f>
        <v>70223.129997360404</v>
      </c>
      <c r="I60" s="620" t="str">
        <f t="shared" si="26"/>
        <v>Less children subsidised at ECD facilities and being fed</v>
      </c>
      <c r="K60" s="641">
        <f>H60*PDSD!$H$34*PDSD!$H$35</f>
        <v>278083594.78954715</v>
      </c>
    </row>
    <row r="61" spans="2:34" ht="12.75" x14ac:dyDescent="0.2">
      <c r="B61" s="65" t="s">
        <v>441</v>
      </c>
      <c r="C61" s="597" t="str">
        <f>PDSD!H30</f>
        <v>Yes</v>
      </c>
      <c r="D61" s="636" t="str">
        <f>'Budget Choices'!E82</f>
        <v>Yes</v>
      </c>
      <c r="G61" s="650"/>
      <c r="H61" s="193">
        <f>PDSD!Q118</f>
        <v>68639.259214880469</v>
      </c>
      <c r="I61" s="620"/>
      <c r="K61" s="641">
        <f>H61*PDSD!$H$34*PDSD!$H$35</f>
        <v>271811466.49092668</v>
      </c>
    </row>
    <row r="62" spans="2:34" ht="12.75" x14ac:dyDescent="0.2">
      <c r="B62" s="79"/>
      <c r="D62" s="680"/>
      <c r="F62" s="328"/>
      <c r="G62" s="650"/>
      <c r="H62" s="193">
        <f>PDSD!H120-PDSD!M120</f>
        <v>204635.2276685359</v>
      </c>
      <c r="I62" s="620" t="str">
        <f>IF(K62&lt;0,"You cannot increase expenditure on this","Fewer children being subsidised at ECD centres")</f>
        <v>Fewer children being subsidised at ECD centres</v>
      </c>
      <c r="K62" s="643">
        <f>PDSD!H7-PDSD!M7</f>
        <v>406497479.09217453</v>
      </c>
    </row>
    <row r="63" spans="2:34" ht="15.75" x14ac:dyDescent="0.25">
      <c r="B63" s="606" t="s">
        <v>1262</v>
      </c>
      <c r="C63" s="603"/>
      <c r="D63" s="603"/>
      <c r="F63" s="603"/>
      <c r="G63" s="671"/>
      <c r="H63" s="670"/>
      <c r="I63" s="603"/>
    </row>
    <row r="64" spans="2:34" ht="12.75" x14ac:dyDescent="0.2">
      <c r="B64" s="79"/>
      <c r="G64" s="254"/>
    </row>
    <row r="65" spans="2:34" ht="12.75" x14ac:dyDescent="0.2">
      <c r="B65" s="5" t="s">
        <v>1252</v>
      </c>
      <c r="D65" s="631">
        <f>SASSA!H9</f>
        <v>6636955295.988719</v>
      </c>
      <c r="G65" s="254"/>
    </row>
    <row r="66" spans="2:34" ht="12.75" x14ac:dyDescent="0.2">
      <c r="B66" s="5" t="s">
        <v>1253</v>
      </c>
      <c r="D66" s="631">
        <f>SASSA!M9</f>
        <v>6636955295.988719</v>
      </c>
      <c r="G66" s="254"/>
    </row>
    <row r="67" spans="2:34" ht="12.75" x14ac:dyDescent="0.2">
      <c r="B67" s="79"/>
      <c r="D67" s="627" t="s">
        <v>1339</v>
      </c>
      <c r="G67" s="254"/>
    </row>
    <row r="68" spans="2:34" ht="12.75" x14ac:dyDescent="0.2">
      <c r="B68" s="601" t="s">
        <v>1284</v>
      </c>
      <c r="D68" s="651">
        <f>'Budget Choices'!D90</f>
        <v>100000000</v>
      </c>
      <c r="G68" s="254"/>
    </row>
    <row r="69" spans="2:34" ht="12.75" x14ac:dyDescent="0.2">
      <c r="B69" s="5" t="s">
        <v>1288</v>
      </c>
      <c r="D69" s="631">
        <f>D65-D68</f>
        <v>6536955295.988719</v>
      </c>
      <c r="G69" s="254"/>
    </row>
    <row r="70" spans="2:34" ht="12.75" x14ac:dyDescent="0.2">
      <c r="B70" s="628" t="str">
        <f>IF(E70&lt;0,"Funds that must be allocated","Costs savings that must still be found")</f>
        <v>Costs savings that must still be found</v>
      </c>
      <c r="D70" s="631">
        <f>(D66-D68)</f>
        <v>6536955295.988719</v>
      </c>
      <c r="E70" s="638">
        <f>D66-D68</f>
        <v>6536955295.988719</v>
      </c>
      <c r="G70" s="254"/>
    </row>
    <row r="71" spans="2:34" ht="12.75" x14ac:dyDescent="0.2">
      <c r="B71" s="79"/>
      <c r="G71" s="254"/>
    </row>
    <row r="72" spans="2:34" ht="12.75" x14ac:dyDescent="0.2">
      <c r="B72" s="602" t="s">
        <v>1251</v>
      </c>
      <c r="C72" s="392"/>
      <c r="D72" s="392"/>
      <c r="G72" s="254"/>
      <c r="AA72" s="716" t="s">
        <v>1363</v>
      </c>
      <c r="AB72" s="716"/>
      <c r="AC72" s="716"/>
      <c r="AF72" s="716" t="s">
        <v>1367</v>
      </c>
      <c r="AG72" s="716"/>
      <c r="AH72" s="716"/>
    </row>
    <row r="73" spans="2:34" ht="12.75" x14ac:dyDescent="0.2">
      <c r="B73" s="79"/>
      <c r="G73" s="254"/>
      <c r="AA73" s="5" t="s">
        <v>1380</v>
      </c>
      <c r="AB73" s="5" t="s">
        <v>1364</v>
      </c>
      <c r="AC73" s="5" t="s">
        <v>1366</v>
      </c>
      <c r="AF73" s="5" t="s">
        <v>1364</v>
      </c>
      <c r="AG73" s="5" t="s">
        <v>1365</v>
      </c>
      <c r="AH73" s="5" t="s">
        <v>1366</v>
      </c>
    </row>
    <row r="74" spans="2:34" ht="12.75" x14ac:dyDescent="0.2">
      <c r="B74" s="79"/>
      <c r="C74" s="598" t="s">
        <v>1259</v>
      </c>
      <c r="D74" s="356" t="s">
        <v>1255</v>
      </c>
      <c r="G74" s="254"/>
      <c r="AA74" s="192">
        <f>SASSA!H9</f>
        <v>6636955295.988719</v>
      </c>
      <c r="AB74" s="192">
        <f>SASSA!M9</f>
        <v>6636955295.988719</v>
      </c>
      <c r="AC74" s="192">
        <f>SASSA!L9</f>
        <v>6636955295.988719</v>
      </c>
    </row>
    <row r="75" spans="2:34" ht="12.75" x14ac:dyDescent="0.2">
      <c r="B75" s="5" t="s">
        <v>1282</v>
      </c>
      <c r="C75" s="597">
        <f>SASSA!H23</f>
        <v>7.0000000000000007E-2</v>
      </c>
      <c r="D75" s="634">
        <f>'Budget Choices'!E104/100</f>
        <v>7.0000000000000007E-2</v>
      </c>
      <c r="G75" s="650">
        <f>MAX(0,K75)</f>
        <v>0</v>
      </c>
      <c r="H75" s="193">
        <f>SASSA!T100</f>
        <v>0</v>
      </c>
      <c r="I75" s="620" t="str">
        <f>IF(K75&lt;0,"You cannot increase expenditure on this","Fewer children receiving SROD grants")</f>
        <v>Fewer children receiving SROD grants</v>
      </c>
      <c r="K75" s="641">
        <f>H75*SASSA!$M$73</f>
        <v>0</v>
      </c>
      <c r="AA75" s="193">
        <f>SASSA!H25</f>
        <v>116742.18023856706</v>
      </c>
      <c r="AB75" s="193">
        <f>SASSA!M25</f>
        <v>116742.18023856706</v>
      </c>
      <c r="AC75" s="193">
        <f>SASSA!L25</f>
        <v>116742.18023856706</v>
      </c>
    </row>
    <row r="76" spans="2:34" ht="12.75" x14ac:dyDescent="0.2">
      <c r="B76" s="5" t="s">
        <v>1283</v>
      </c>
      <c r="C76" s="597">
        <f>SASSA!H24</f>
        <v>0.03</v>
      </c>
      <c r="D76" s="634">
        <f>'Budget Choices'!E105/100</f>
        <v>0.03</v>
      </c>
      <c r="G76" s="650">
        <f t="shared" ref="G76" si="27">MAX(0,K76)</f>
        <v>0</v>
      </c>
      <c r="H76" s="193">
        <f>SASSA!T101</f>
        <v>0</v>
      </c>
      <c r="I76" s="620" t="str">
        <f>IF(K76&lt;0,"You cannot increase expenditure on this","Fewer children receiving SROD grants")</f>
        <v>Fewer children receiving SROD grants</v>
      </c>
      <c r="K76" s="641">
        <f>H76*SASSA!$M$73</f>
        <v>0</v>
      </c>
    </row>
    <row r="77" spans="2:34" ht="12.75" x14ac:dyDescent="0.2">
      <c r="D77" s="680"/>
      <c r="F77" s="328"/>
      <c r="G77" s="650"/>
    </row>
    <row r="79" spans="2:34" x14ac:dyDescent="0.2">
      <c r="H79" s="193">
        <f>ROUND(H75,0)</f>
        <v>0</v>
      </c>
    </row>
    <row r="80" spans="2:34" x14ac:dyDescent="0.2">
      <c r="H80" s="193">
        <f>ROUND(H76,0)</f>
        <v>0</v>
      </c>
      <c r="AG80" s="5" t="s">
        <v>1435</v>
      </c>
    </row>
    <row r="81" spans="2:49" x14ac:dyDescent="0.2">
      <c r="AG81" s="5" t="s">
        <v>1379</v>
      </c>
    </row>
    <row r="82" spans="2:49" x14ac:dyDescent="0.2">
      <c r="AN82" s="5" t="s">
        <v>1479</v>
      </c>
      <c r="AR82" s="5" t="s">
        <v>1486</v>
      </c>
    </row>
    <row r="83" spans="2:49" x14ac:dyDescent="0.2">
      <c r="Z83" s="5" t="s">
        <v>1416</v>
      </c>
      <c r="AH83" s="186">
        <f>IF(AB23&lt;AA23,AA23-(AA23-AB23),AA23)</f>
        <v>4746494.0952466419</v>
      </c>
      <c r="AI83" s="186">
        <f>IF(AB23&lt;AA23,AA23-AB23,0)</f>
        <v>0</v>
      </c>
      <c r="AJ83" s="186">
        <f>IF(AB23&gt;AA23,AB23-AA23,0)</f>
        <v>0</v>
      </c>
      <c r="AT83" s="5" t="s">
        <v>1487</v>
      </c>
    </row>
    <row r="84" spans="2:49" x14ac:dyDescent="0.2">
      <c r="AA84" s="5" t="s">
        <v>1417</v>
      </c>
      <c r="AH84" s="5" t="s">
        <v>1432</v>
      </c>
      <c r="AI84" s="5" t="s">
        <v>1431</v>
      </c>
      <c r="AJ84" s="5" t="s">
        <v>1433</v>
      </c>
      <c r="AN84" s="176" t="s">
        <v>1484</v>
      </c>
      <c r="AO84" s="193" t="str">
        <f>AI84</f>
        <v>Children excluded</v>
      </c>
      <c r="AP84" s="176" t="str">
        <f>AJ84</f>
        <v>Children added</v>
      </c>
      <c r="AQ84" s="5" t="s">
        <v>1481</v>
      </c>
      <c r="AR84" s="5" t="s">
        <v>1480</v>
      </c>
      <c r="AT84" s="186">
        <f>AN86+AP86</f>
        <v>4746494.0952466419</v>
      </c>
      <c r="AV84" s="5" t="b">
        <f>OR(AQ86&lt;0,AQ85&lt;0,AQ87&lt;0)</f>
        <v>0</v>
      </c>
    </row>
    <row r="85" spans="2:49" x14ac:dyDescent="0.2">
      <c r="AM85" s="5" t="str">
        <f>AG89</f>
        <v>Vitamin A</v>
      </c>
      <c r="AN85" s="193">
        <f>AH89</f>
        <v>4746494.0952466419</v>
      </c>
      <c r="AO85" s="193">
        <f>AI89</f>
        <v>0</v>
      </c>
      <c r="AP85" s="193">
        <f>AJ89</f>
        <v>0</v>
      </c>
      <c r="AQ85" s="193">
        <f>MAX(0,AR85-(AN85+AP85+AO85))</f>
        <v>0</v>
      </c>
      <c r="AR85" s="193">
        <f>AC25</f>
        <v>4359677.440404539</v>
      </c>
      <c r="AT85" s="186"/>
      <c r="AW85" s="186">
        <f>AR85-(AN85+AP85+AO85)</f>
        <v>-386816.6548421029</v>
      </c>
    </row>
    <row r="86" spans="2:49" x14ac:dyDescent="0.2">
      <c r="Z86" s="5" t="s">
        <v>47</v>
      </c>
      <c r="AA86" s="186">
        <f>Z7-AA7</f>
        <v>0</v>
      </c>
      <c r="AG86" s="5" t="s">
        <v>47</v>
      </c>
      <c r="AH86" s="186">
        <f>IF(AA7&lt;Z7,Z7-(Z7-AA7),Z7)</f>
        <v>4746494.0952466419</v>
      </c>
      <c r="AI86" s="186">
        <f>IF(AA7&lt;Z7,Z7-AA7,0)</f>
        <v>0</v>
      </c>
      <c r="AJ86" s="186">
        <f>IF(AA7&gt;Z7,AA7-Z7,0)</f>
        <v>0</v>
      </c>
      <c r="AM86" s="5" t="str">
        <f>AG86</f>
        <v>Deworming</v>
      </c>
      <c r="AN86" s="193">
        <f>AH86</f>
        <v>4746494.0952466419</v>
      </c>
      <c r="AO86" s="193">
        <f>AI86</f>
        <v>0</v>
      </c>
      <c r="AP86" s="193">
        <f>AJ86</f>
        <v>0</v>
      </c>
      <c r="AQ86" s="193">
        <f t="shared" ref="AQ86:AQ87" si="28">MAX(0,AR86-(AN86+AP86+AO86))</f>
        <v>0</v>
      </c>
      <c r="AR86" s="193">
        <f>AB7</f>
        <v>4359677.440404539</v>
      </c>
      <c r="AT86" s="186">
        <f>AN85+AP85</f>
        <v>4746494.0952466419</v>
      </c>
      <c r="AW86" s="186">
        <f t="shared" ref="AW86:AW87" si="29">AR86-(AN86+AP86+AO86)</f>
        <v>-386816.6548421029</v>
      </c>
    </row>
    <row r="87" spans="2:49" x14ac:dyDescent="0.2">
      <c r="Z87" s="5" t="s">
        <v>46</v>
      </c>
      <c r="AA87" s="186">
        <f>AC7-AD7</f>
        <v>0</v>
      </c>
      <c r="AM87" s="5" t="s">
        <v>1379</v>
      </c>
      <c r="AN87" s="193">
        <f>AH83</f>
        <v>4746494.0952466419</v>
      </c>
      <c r="AO87" s="193">
        <f>AI83</f>
        <v>0</v>
      </c>
      <c r="AP87" s="193">
        <f>AJ83</f>
        <v>0</v>
      </c>
      <c r="AQ87" s="193">
        <f t="shared" si="28"/>
        <v>0</v>
      </c>
      <c r="AR87" s="193">
        <f>PDOH!L28</f>
        <v>4359677.440404539</v>
      </c>
      <c r="AT87" s="186">
        <f t="shared" ref="AT87" si="30">AN87+AP87</f>
        <v>4746494.0952466419</v>
      </c>
      <c r="AW87" s="186">
        <f t="shared" si="29"/>
        <v>-386816.6548421029</v>
      </c>
    </row>
    <row r="88" spans="2:49" x14ac:dyDescent="0.2">
      <c r="B88" s="5" t="s">
        <v>0</v>
      </c>
      <c r="Z88" s="5" t="s">
        <v>982</v>
      </c>
      <c r="AA88" s="186">
        <f>AF7-AG7</f>
        <v>0</v>
      </c>
      <c r="AH88" s="5" t="s">
        <v>1432</v>
      </c>
      <c r="AI88" s="5" t="s">
        <v>1431</v>
      </c>
      <c r="AJ88" s="5" t="s">
        <v>1433</v>
      </c>
    </row>
    <row r="89" spans="2:49" x14ac:dyDescent="0.2">
      <c r="B89" s="5" t="s">
        <v>1410</v>
      </c>
      <c r="C89" s="793">
        <f>MIN(1,(D9-D10)/D9)</f>
        <v>0.12599730259110759</v>
      </c>
      <c r="AG89" s="5" t="s">
        <v>46</v>
      </c>
      <c r="AH89" s="186">
        <f>IF(AD7&lt;AC7,AC7-(AC7-AD7),AC7)</f>
        <v>4746494.0952466419</v>
      </c>
      <c r="AI89" s="186">
        <f>IF(AD7&lt;AC7,AC7-AD7,0)</f>
        <v>0</v>
      </c>
      <c r="AJ89" s="186">
        <f>IF(AD7&gt;AC7,AD7-AC7,0)</f>
        <v>0</v>
      </c>
      <c r="AN89" s="5" t="s">
        <v>1488</v>
      </c>
      <c r="AO89" s="5" t="s">
        <v>1489</v>
      </c>
      <c r="AP89" s="5" t="s">
        <v>1490</v>
      </c>
      <c r="AQ89" s="5" t="s">
        <v>1493</v>
      </c>
      <c r="AR89" s="5" t="s">
        <v>1491</v>
      </c>
    </row>
    <row r="90" spans="2:49" x14ac:dyDescent="0.2">
      <c r="B90" s="5" t="s">
        <v>1411</v>
      </c>
      <c r="C90" s="793">
        <f>MAX(0,D10/D9)</f>
        <v>0.87400269740889247</v>
      </c>
      <c r="AM90" s="5" t="s">
        <v>1438</v>
      </c>
      <c r="AN90" s="186">
        <f>AH113</f>
        <v>249.60000000000002</v>
      </c>
      <c r="AO90" s="186">
        <f>AI113</f>
        <v>0</v>
      </c>
      <c r="AP90" s="186">
        <f>AJ113</f>
        <v>0</v>
      </c>
      <c r="AQ90" s="193">
        <f>MAX(0,AR90-(AN90+AP90+AO90))</f>
        <v>0</v>
      </c>
      <c r="AR90" s="186">
        <f>AH12</f>
        <v>249.60000000000002</v>
      </c>
    </row>
    <row r="91" spans="2:49" x14ac:dyDescent="0.2">
      <c r="AH91" s="5" t="s">
        <v>1432</v>
      </c>
      <c r="AI91" s="5" t="s">
        <v>1431</v>
      </c>
      <c r="AJ91" s="5" t="s">
        <v>1433</v>
      </c>
      <c r="AM91" s="5" t="s">
        <v>1424</v>
      </c>
      <c r="AN91" s="186">
        <f>AH110</f>
        <v>21385</v>
      </c>
      <c r="AO91" s="186">
        <f t="shared" ref="AO91:AP91" si="31">AI110</f>
        <v>0</v>
      </c>
      <c r="AP91" s="186">
        <f t="shared" si="31"/>
        <v>0</v>
      </c>
      <c r="AQ91" s="193">
        <f t="shared" ref="AQ91:AQ92" si="32">MAX(0,AR91-(AN91+AP91+AO91))</f>
        <v>0</v>
      </c>
      <c r="AR91" s="186">
        <f>AE12</f>
        <v>21385</v>
      </c>
    </row>
    <row r="92" spans="2:49" x14ac:dyDescent="0.2">
      <c r="B92" s="5" t="s">
        <v>1412</v>
      </c>
      <c r="Z92" s="5" t="s">
        <v>1418</v>
      </c>
      <c r="AG92" s="5" t="s">
        <v>982</v>
      </c>
      <c r="AH92" s="186">
        <f>AF7</f>
        <v>716847.09126237838</v>
      </c>
      <c r="AI92" s="186">
        <f>IF(AG7&lt;AF7,AF7-AG7,0)</f>
        <v>0</v>
      </c>
      <c r="AJ92" s="186">
        <f>IF(AG7&gt;AF7,AG7-AF7,0)</f>
        <v>0</v>
      </c>
      <c r="AM92" s="5" t="s">
        <v>833</v>
      </c>
      <c r="AN92" s="186">
        <f>AH107</f>
        <v>17905</v>
      </c>
      <c r="AO92" s="186">
        <f>AI107</f>
        <v>0</v>
      </c>
      <c r="AP92" s="186">
        <f>AJ107</f>
        <v>0</v>
      </c>
      <c r="AQ92" s="193">
        <f t="shared" si="32"/>
        <v>0</v>
      </c>
      <c r="AR92" s="186">
        <f>AB12</f>
        <v>17905</v>
      </c>
    </row>
    <row r="93" spans="2:49" x14ac:dyDescent="0.2">
      <c r="B93" s="5" t="s">
        <v>1410</v>
      </c>
      <c r="C93" s="793">
        <f>MIN(1,(D45-D46)/D45)</f>
        <v>0.26539245216356067</v>
      </c>
      <c r="AA93" s="5" t="s">
        <v>1419</v>
      </c>
    </row>
    <row r="94" spans="2:49" x14ac:dyDescent="0.2">
      <c r="B94" s="5" t="s">
        <v>1411</v>
      </c>
      <c r="C94" s="793">
        <f>MAX(0,D46/D45)</f>
        <v>0.73460754783643933</v>
      </c>
      <c r="Z94" s="5" t="s">
        <v>1420</v>
      </c>
      <c r="AA94" s="186">
        <f>Z16-AA16</f>
        <v>0</v>
      </c>
      <c r="AH94" s="5" t="s">
        <v>1432</v>
      </c>
      <c r="AI94" s="5" t="s">
        <v>1431</v>
      </c>
      <c r="AN94" s="176" t="s">
        <v>1484</v>
      </c>
      <c r="AO94" s="193" t="s">
        <v>1431</v>
      </c>
      <c r="AP94" s="176" t="s">
        <v>1433</v>
      </c>
      <c r="AQ94" s="5" t="s">
        <v>1481</v>
      </c>
      <c r="AR94" s="5" t="s">
        <v>1480</v>
      </c>
    </row>
    <row r="95" spans="2:49" x14ac:dyDescent="0.2">
      <c r="Z95" s="5" t="s">
        <v>1421</v>
      </c>
      <c r="AA95" s="186">
        <f>AC16-AD16</f>
        <v>0</v>
      </c>
      <c r="AG95" s="5" t="s">
        <v>1434</v>
      </c>
      <c r="AH95" s="186">
        <f>AF26</f>
        <v>14336.941825247568</v>
      </c>
      <c r="AI95" s="186">
        <f>AF26-AG26</f>
        <v>0</v>
      </c>
      <c r="AM95" s="5" t="s">
        <v>1494</v>
      </c>
      <c r="AN95" s="186">
        <f>AH104</f>
        <v>47464.940952466422</v>
      </c>
      <c r="AO95" s="186">
        <f>AI104</f>
        <v>0</v>
      </c>
      <c r="AP95" s="186">
        <f>AJ104</f>
        <v>0</v>
      </c>
      <c r="AQ95" s="193">
        <f>MAX(0,AR95-(AN95+AP95+AO95))</f>
        <v>0</v>
      </c>
      <c r="AR95" s="186">
        <f>'Acute Prevalence'!G21+'Acute Prevalence'!G22</f>
        <v>21798.387202022695</v>
      </c>
    </row>
    <row r="96" spans="2:49" x14ac:dyDescent="0.2">
      <c r="B96" s="5" t="s">
        <v>1413</v>
      </c>
      <c r="Z96" s="5" t="s">
        <v>1422</v>
      </c>
      <c r="AA96" s="186">
        <f>AF16-AG16</f>
        <v>0</v>
      </c>
      <c r="AM96" s="5" t="s">
        <v>1136</v>
      </c>
      <c r="AN96" s="186">
        <f>AH101</f>
        <v>189859.76380986569</v>
      </c>
      <c r="AO96" s="186">
        <f t="shared" ref="AO96:AP96" si="33">AI101</f>
        <v>0</v>
      </c>
      <c r="AP96" s="186">
        <f t="shared" si="33"/>
        <v>0</v>
      </c>
      <c r="AQ96" s="193">
        <f t="shared" ref="AQ96:AQ97" si="34">MAX(0,AR96-(AN96+AP96+AO96))</f>
        <v>0</v>
      </c>
      <c r="AR96" s="186">
        <f>'Acute Prevalence'!G20</f>
        <v>87193.548808090782</v>
      </c>
    </row>
    <row r="97" spans="2:44" x14ac:dyDescent="0.2">
      <c r="B97" s="5" t="s">
        <v>1410</v>
      </c>
      <c r="C97" s="795">
        <f>MIN(1,(D69-D70)/D69)</f>
        <v>0</v>
      </c>
      <c r="AH97" s="5" t="s">
        <v>1432</v>
      </c>
      <c r="AI97" s="5" t="s">
        <v>1431</v>
      </c>
      <c r="AJ97" s="5" t="s">
        <v>1433</v>
      </c>
      <c r="AM97" s="5" t="s">
        <v>1388</v>
      </c>
      <c r="AN97" s="186">
        <f>AH98</f>
        <v>474649.40952466422</v>
      </c>
      <c r="AO97" s="186">
        <f>AI98</f>
        <v>0</v>
      </c>
      <c r="AP97" s="186">
        <f>AJ98</f>
        <v>0</v>
      </c>
      <c r="AQ97" s="193">
        <f t="shared" si="34"/>
        <v>0</v>
      </c>
      <c r="AR97" s="186">
        <f>'Acute Prevalence'!G18</f>
        <v>261580.64642427233</v>
      </c>
    </row>
    <row r="98" spans="2:44" x14ac:dyDescent="0.2">
      <c r="B98" s="5" t="s">
        <v>1411</v>
      </c>
      <c r="C98" s="795">
        <f>MAX(0,D70/D69)</f>
        <v>1</v>
      </c>
      <c r="AG98" s="5" t="s">
        <v>1420</v>
      </c>
      <c r="AH98" s="186">
        <f>IF(AA16&lt;Z16,Z16-(Z16-AA16),Z16)</f>
        <v>474649.40952466422</v>
      </c>
      <c r="AI98" s="186">
        <f>IF(AA16&lt;Z16,Z16-AA16,0)</f>
        <v>0</v>
      </c>
      <c r="AJ98" s="186">
        <f>IF(AA16&gt;Z16,AA16-Z16,0)</f>
        <v>0</v>
      </c>
    </row>
    <row r="100" spans="2:44" x14ac:dyDescent="0.2">
      <c r="AH100" s="5" t="s">
        <v>1432</v>
      </c>
      <c r="AI100" s="5" t="s">
        <v>1431</v>
      </c>
      <c r="AJ100" s="5" t="s">
        <v>1433</v>
      </c>
    </row>
    <row r="101" spans="2:44" x14ac:dyDescent="0.2">
      <c r="Z101" s="5" t="s">
        <v>1423</v>
      </c>
      <c r="AG101" s="5" t="s">
        <v>1421</v>
      </c>
      <c r="AH101" s="186">
        <f>IF(AD16&lt;AC16,AC16-(AC16-AD16),AC16)</f>
        <v>189859.76380986569</v>
      </c>
      <c r="AI101" s="186">
        <f>IF(AD16&lt;AC16,AC16-AD16,0)</f>
        <v>0</v>
      </c>
      <c r="AJ101" s="186">
        <f>IF(AD16&gt;AC16,AD16-AC16,0)</f>
        <v>0</v>
      </c>
      <c r="AM101" s="5">
        <f>AG116</f>
        <v>0</v>
      </c>
      <c r="AN101" s="5" t="str">
        <f t="shared" ref="AN101:AR101" si="35">AH116</f>
        <v>Children covered</v>
      </c>
      <c r="AO101" s="5" t="str">
        <f t="shared" si="35"/>
        <v>Children excluded</v>
      </c>
      <c r="AP101" s="5" t="str">
        <f t="shared" si="35"/>
        <v>Children added</v>
      </c>
      <c r="AQ101" s="5" t="str">
        <f t="shared" si="35"/>
        <v>Children uncovered</v>
      </c>
      <c r="AR101" s="5" t="str">
        <f t="shared" si="35"/>
        <v>Full Coverage</v>
      </c>
    </row>
    <row r="102" spans="2:44" x14ac:dyDescent="0.2">
      <c r="AA102" s="5" t="s">
        <v>1426</v>
      </c>
      <c r="AM102" s="5" t="str">
        <f>AG117</f>
        <v>Children in ECD centres</v>
      </c>
      <c r="AN102" s="193">
        <f t="shared" ref="AN102:AR102" si="36">AH117</f>
        <v>1120375.7461139867</v>
      </c>
      <c r="AO102" s="193">
        <f t="shared" si="36"/>
        <v>204635.2276685359</v>
      </c>
      <c r="AP102" s="193">
        <f t="shared" si="36"/>
        <v>0</v>
      </c>
      <c r="AQ102" s="193">
        <f>MAX(0,AK117)</f>
        <v>183315.42750552646</v>
      </c>
      <c r="AR102" s="193">
        <f t="shared" si="36"/>
        <v>1508326.4012880491</v>
      </c>
    </row>
    <row r="103" spans="2:44" x14ac:dyDescent="0.2">
      <c r="Z103" s="5" t="s">
        <v>833</v>
      </c>
      <c r="AA103" s="192">
        <f>Z12-AA12</f>
        <v>0</v>
      </c>
      <c r="AH103" s="5" t="s">
        <v>1432</v>
      </c>
      <c r="AI103" s="5" t="s">
        <v>1431</v>
      </c>
      <c r="AJ103" s="5" t="s">
        <v>1433</v>
      </c>
    </row>
    <row r="104" spans="2:44" x14ac:dyDescent="0.2">
      <c r="Z104" s="5" t="s">
        <v>1424</v>
      </c>
      <c r="AA104" s="844">
        <f>AC12-AD12</f>
        <v>0</v>
      </c>
      <c r="AG104" s="5" t="s">
        <v>1422</v>
      </c>
      <c r="AH104" s="186">
        <f>IF(AG16&lt;AF16,AF16-(AF16-AG16),AF16)</f>
        <v>47464.940952466422</v>
      </c>
      <c r="AI104" s="186">
        <f>IF(AG16&lt;AF16,AF16-AG16,0)</f>
        <v>0</v>
      </c>
      <c r="AJ104" s="186">
        <f>IF(AG16&gt;AF16,AG16-AF16,0)</f>
        <v>0</v>
      </c>
    </row>
    <row r="105" spans="2:44" x14ac:dyDescent="0.2">
      <c r="B105" s="5" t="s">
        <v>1514</v>
      </c>
      <c r="Z105" s="5" t="s">
        <v>1425</v>
      </c>
      <c r="AA105" s="844">
        <f>AF12-AG12</f>
        <v>0</v>
      </c>
      <c r="AM105" s="5" t="str">
        <f>AG121</f>
        <v>SROD beneficiaries</v>
      </c>
      <c r="AN105" s="193">
        <f t="shared" ref="AN105:AR105" si="37">AH121</f>
        <v>116742.18023856706</v>
      </c>
      <c r="AO105" s="193">
        <f t="shared" si="37"/>
        <v>0</v>
      </c>
      <c r="AP105" s="193">
        <f t="shared" si="37"/>
        <v>0</v>
      </c>
      <c r="AQ105" s="193">
        <f>MAX(0,AK121)</f>
        <v>0</v>
      </c>
      <c r="AR105" s="193">
        <f t="shared" si="37"/>
        <v>116742.18023856706</v>
      </c>
    </row>
    <row r="106" spans="2:44" x14ac:dyDescent="0.2">
      <c r="AH106" s="5" t="s">
        <v>1432</v>
      </c>
      <c r="AI106" s="5" t="s">
        <v>1436</v>
      </c>
      <c r="AJ106" s="5" t="s">
        <v>1437</v>
      </c>
    </row>
    <row r="107" spans="2:44" x14ac:dyDescent="0.2">
      <c r="B107" s="5" t="s">
        <v>669</v>
      </c>
      <c r="C107" s="192">
        <f>'Catg-Health'!E71</f>
        <v>291.16790171513952</v>
      </c>
      <c r="AG107" s="5" t="s">
        <v>833</v>
      </c>
      <c r="AH107" s="186">
        <f>IF(AA12&lt;Z12,Z12-(Z12-AA12),Z12)</f>
        <v>17905</v>
      </c>
      <c r="AI107" s="186">
        <f>IF(AA12&lt;Z12,Z12-AA12,0)</f>
        <v>0</v>
      </c>
      <c r="AJ107" s="186">
        <f>IF(AA12&gt;Z12,AA12-Z12,0)</f>
        <v>0</v>
      </c>
    </row>
    <row r="108" spans="2:44" x14ac:dyDescent="0.2">
      <c r="B108" s="5" t="str">
        <f>'Catg-Health'!D73</f>
        <v>Growth Monitoring and Feeding</v>
      </c>
      <c r="C108" s="192">
        <f>'Catg-Health'!E73</f>
        <v>1384.9586193488369</v>
      </c>
    </row>
    <row r="109" spans="2:44" x14ac:dyDescent="0.2">
      <c r="B109" s="5" t="str">
        <f>'Catg-Health'!D74</f>
        <v>Moderate Acute Malnutrition</v>
      </c>
      <c r="C109" s="192">
        <f>'Catg-Health'!E74</f>
        <v>11612.815427932817</v>
      </c>
      <c r="AH109" s="5" t="s">
        <v>1432</v>
      </c>
      <c r="AI109" s="5" t="s">
        <v>1436</v>
      </c>
      <c r="AJ109" s="5" t="s">
        <v>1437</v>
      </c>
    </row>
    <row r="110" spans="2:44" x14ac:dyDescent="0.2">
      <c r="B110" s="5" t="str">
        <f>'Catg-Health'!D75</f>
        <v>SAM without medical complications</v>
      </c>
      <c r="C110" s="192">
        <f>'Catg-Health'!E75</f>
        <v>13692.183601484141</v>
      </c>
      <c r="Z110" s="5" t="s">
        <v>1427</v>
      </c>
      <c r="AG110" s="5" t="s">
        <v>1424</v>
      </c>
      <c r="AH110" s="186">
        <f>IF(AD12&lt;AC12,AC12-(AC12-AD12),AC12)</f>
        <v>21385</v>
      </c>
      <c r="AI110" s="186">
        <f>IF(AD12&lt;AC12,AC12-AD12,0)</f>
        <v>0</v>
      </c>
      <c r="AJ110" s="186">
        <f>IF(AD12&gt;AC12,AD12-AC12,0)</f>
        <v>0</v>
      </c>
    </row>
    <row r="111" spans="2:44" x14ac:dyDescent="0.2">
      <c r="B111" s="5" t="str">
        <f>'Catg-Health'!D76</f>
        <v>SAM with medical complications</v>
      </c>
      <c r="C111" s="192">
        <f>'Catg-Health'!E76</f>
        <v>65825.868271912143</v>
      </c>
      <c r="AA111" s="5" t="s">
        <v>1428</v>
      </c>
    </row>
    <row r="112" spans="2:44" x14ac:dyDescent="0.2">
      <c r="AA112" s="210">
        <f>AA53-AB53</f>
        <v>204635.2276685359</v>
      </c>
      <c r="AC112" s="210">
        <f>ROUND(AA112,0)</f>
        <v>204635</v>
      </c>
      <c r="AD112" s="210">
        <f>AC112</f>
        <v>204635</v>
      </c>
      <c r="AH112" s="5" t="s">
        <v>1432</v>
      </c>
      <c r="AI112" s="5" t="s">
        <v>1436</v>
      </c>
      <c r="AJ112" s="5" t="s">
        <v>1437</v>
      </c>
    </row>
    <row r="113" spans="2:39" x14ac:dyDescent="0.2">
      <c r="AG113" s="5" t="s">
        <v>1438</v>
      </c>
      <c r="AH113" s="186">
        <f>IF(AG12&lt;AF12,AF12-(AF12-AG12),AF12)</f>
        <v>249.60000000000002</v>
      </c>
      <c r="AI113" s="186">
        <f>IF(AG12&lt;AF12,AF12-AG12,0)</f>
        <v>0</v>
      </c>
      <c r="AJ113" s="186">
        <f>IF(AG12&gt;AF12,AG12-AF12,0)</f>
        <v>0</v>
      </c>
    </row>
    <row r="115" spans="2:39" x14ac:dyDescent="0.2">
      <c r="AG115" s="884"/>
      <c r="AH115" s="884"/>
      <c r="AI115" s="884"/>
      <c r="AJ115" s="884"/>
      <c r="AK115" s="884"/>
      <c r="AL115" s="884"/>
      <c r="AM115" s="884"/>
    </row>
    <row r="116" spans="2:39" x14ac:dyDescent="0.2">
      <c r="B116" s="5" t="s">
        <v>1514</v>
      </c>
      <c r="Z116" s="5" t="s">
        <v>1429</v>
      </c>
      <c r="AG116" s="884"/>
      <c r="AH116" s="884" t="s">
        <v>1484</v>
      </c>
      <c r="AI116" s="884" t="s">
        <v>1431</v>
      </c>
      <c r="AJ116" s="884" t="s">
        <v>1433</v>
      </c>
      <c r="AK116" s="5" t="s">
        <v>1481</v>
      </c>
      <c r="AL116" s="5" t="s">
        <v>1480</v>
      </c>
      <c r="AM116" s="884"/>
    </row>
    <row r="117" spans="2:39" x14ac:dyDescent="0.2">
      <c r="AA117" s="5" t="s">
        <v>1430</v>
      </c>
      <c r="AG117" s="884" t="s">
        <v>1444</v>
      </c>
      <c r="AH117" s="885">
        <f>IF(AB53&lt;AA53,AA53-(AA53-AB53),AA53)</f>
        <v>1120375.7461139867</v>
      </c>
      <c r="AI117" s="885">
        <f>IF(AB53&lt;AA53,AA53-AB53,0)</f>
        <v>204635.2276685359</v>
      </c>
      <c r="AJ117" s="885">
        <f>IF(AB53&gt;AA53,AB53-AA53,0)</f>
        <v>0</v>
      </c>
      <c r="AK117" s="193">
        <f>AL117-(AH117+AJ117+AI117)</f>
        <v>183315.42750552646</v>
      </c>
      <c r="AL117" s="884">
        <f>PDSD!L32</f>
        <v>1508326.4012880491</v>
      </c>
      <c r="AM117" s="884"/>
    </row>
    <row r="118" spans="2:39" x14ac:dyDescent="0.2">
      <c r="AA118" s="845">
        <f>AA75-AB75</f>
        <v>0</v>
      </c>
      <c r="AC118" s="845">
        <f>ROUND(AA118,0)</f>
        <v>0</v>
      </c>
    </row>
    <row r="120" spans="2:39" x14ac:dyDescent="0.2">
      <c r="AH120" s="5" t="s">
        <v>1432</v>
      </c>
      <c r="AI120" s="5" t="s">
        <v>1446</v>
      </c>
      <c r="AJ120" s="5" t="s">
        <v>1447</v>
      </c>
      <c r="AK120" s="5" t="s">
        <v>1481</v>
      </c>
      <c r="AL120" s="5" t="s">
        <v>1480</v>
      </c>
    </row>
    <row r="121" spans="2:39" x14ac:dyDescent="0.2">
      <c r="AG121" s="5" t="s">
        <v>1445</v>
      </c>
      <c r="AH121" s="186">
        <f>IF(AB75&lt;AA75,AA75-(AA75-AB75),AA75)</f>
        <v>116742.18023856706</v>
      </c>
      <c r="AI121" s="186">
        <f>IF(AB75&lt;AA75,AA75-AB75,0)</f>
        <v>0</v>
      </c>
      <c r="AJ121" s="186">
        <f>IF(AB75&gt;AA75,AB75-AA75,0)</f>
        <v>0</v>
      </c>
      <c r="AK121" s="193">
        <f>AL121-(AH121+AJ121+AI121)</f>
        <v>0</v>
      </c>
      <c r="AL121" s="884">
        <f>SASSA!L25</f>
        <v>116742.18023856706</v>
      </c>
    </row>
    <row r="124" spans="2:39" x14ac:dyDescent="0.2">
      <c r="AH124" s="5" t="s">
        <v>1432</v>
      </c>
      <c r="AI124" s="5" t="s">
        <v>1452</v>
      </c>
      <c r="AJ124" s="5" t="s">
        <v>1453</v>
      </c>
    </row>
    <row r="125" spans="2:39" x14ac:dyDescent="0.2">
      <c r="AG125" s="5" t="s">
        <v>1451</v>
      </c>
      <c r="AH125" s="186">
        <f>IF('Budget Choices'!$E$37=68,AG128,IF('Budget Choices'!$E$37&lt;68,AG128-H22,AG128))</f>
        <v>3866107.3600000003</v>
      </c>
      <c r="AI125" s="186">
        <f>IF('Budget Choices'!$E$37&lt;68,H22,0)</f>
        <v>0</v>
      </c>
      <c r="AJ125" s="186">
        <f>IF('Budget Choices'!$E$37&lt;68,0,ABS(H22))</f>
        <v>0</v>
      </c>
    </row>
    <row r="128" spans="2:39" x14ac:dyDescent="0.2">
      <c r="AE128" s="5" t="s">
        <v>1454</v>
      </c>
      <c r="AG128" s="5">
        <f>PDOH!M444*68%</f>
        <v>3866107.3600000003</v>
      </c>
    </row>
    <row r="139" spans="2:43" x14ac:dyDescent="0.2">
      <c r="AG139" s="5" t="s">
        <v>1157</v>
      </c>
    </row>
    <row r="140" spans="2:43" x14ac:dyDescent="0.2">
      <c r="C140" s="5" t="s">
        <v>865</v>
      </c>
      <c r="D140" s="5" t="s">
        <v>1516</v>
      </c>
      <c r="E140" s="5" t="s">
        <v>425</v>
      </c>
      <c r="F140" s="79" t="s">
        <v>1517</v>
      </c>
      <c r="G140" s="649" t="s">
        <v>1518</v>
      </c>
      <c r="AQ140" s="5" t="s">
        <v>1515</v>
      </c>
    </row>
    <row r="141" spans="2:43" x14ac:dyDescent="0.2">
      <c r="B141" s="5" t="s">
        <v>669</v>
      </c>
      <c r="C141" s="192">
        <f>'Catg-Health'!E18</f>
        <v>1162923967.3289428</v>
      </c>
      <c r="E141" s="897">
        <f>'Catg-Health'!E20</f>
        <v>47729891.810816929</v>
      </c>
      <c r="G141" s="896">
        <f>'Catg-Health'!E14+'Catg-Health'!E19</f>
        <v>171372867.07650426</v>
      </c>
      <c r="H141" s="193">
        <f>PDOH!H28</f>
        <v>4746494.0952466419</v>
      </c>
    </row>
    <row r="142" spans="2:43" x14ac:dyDescent="0.2">
      <c r="B142" s="5" t="s">
        <v>1144</v>
      </c>
      <c r="C142" s="193">
        <f>PDOH!H269</f>
        <v>575515444.59720457</v>
      </c>
      <c r="D142" s="193">
        <f>PDOH!H274</f>
        <v>13646170.523834096</v>
      </c>
      <c r="E142" s="193">
        <f>PDOH!H279</f>
        <v>68208175.768981025</v>
      </c>
      <c r="F142" s="193"/>
      <c r="H142" s="193">
        <f>'Acute Prevalence'!C18</f>
        <v>474649.40952466422</v>
      </c>
      <c r="AP142" s="5">
        <f>PDOH!H279</f>
        <v>68208175.768981025</v>
      </c>
    </row>
    <row r="143" spans="2:43" x14ac:dyDescent="0.2">
      <c r="B143" s="5" t="s">
        <v>1104</v>
      </c>
      <c r="C143" s="193">
        <f>PDOH!H270</f>
        <v>1108488332.4452515</v>
      </c>
      <c r="D143" s="193">
        <f>PDOH!H275</f>
        <v>77431452.976201296</v>
      </c>
      <c r="E143" s="193">
        <f>PDOH!H280</f>
        <v>22122848.89164136</v>
      </c>
      <c r="F143" s="193">
        <f>PDOH!H284</f>
        <v>996763760.00179482</v>
      </c>
      <c r="H143" s="193">
        <f>'Acute Prevalence'!C20</f>
        <v>189859.76380986569</v>
      </c>
    </row>
    <row r="144" spans="2:43" x14ac:dyDescent="0.2">
      <c r="B144" s="5" t="s">
        <v>1241</v>
      </c>
      <c r="C144" s="193">
        <f>PDOH!H271</f>
        <v>103428792.33595884</v>
      </c>
      <c r="D144" s="193">
        <f>PDOH!H276</f>
        <v>12419114.276761582</v>
      </c>
      <c r="E144" s="193">
        <f>PDOH!H281</f>
        <v>5365538.3103806786</v>
      </c>
      <c r="F144" s="193">
        <f>PDOH!H285</f>
        <v>398705504.00071794</v>
      </c>
      <c r="H144" s="193">
        <f>'Acute Prevalence'!C21</f>
        <v>37971.952761973138</v>
      </c>
    </row>
    <row r="145" spans="2:9" x14ac:dyDescent="0.2">
      <c r="B145" s="5" t="s">
        <v>1389</v>
      </c>
      <c r="C145" s="193">
        <f>PDOH!H272</f>
        <v>309427086.80262947</v>
      </c>
      <c r="D145" s="193">
        <f>PDOH!H277</f>
        <v>27843459.282772679</v>
      </c>
      <c r="E145" s="193">
        <f>PDOH!H282</f>
        <v>2823998.3340278277</v>
      </c>
      <c r="F145" s="193">
        <f>PDOH!H286+PDOH!H287</f>
        <v>284789645.71479851</v>
      </c>
      <c r="H145" s="193">
        <f>'Acute Prevalence'!C22</f>
        <v>9492.9881904932827</v>
      </c>
    </row>
    <row r="147" spans="2:9" x14ac:dyDescent="0.2">
      <c r="B147" s="1014" t="s">
        <v>1514</v>
      </c>
      <c r="C147" s="1015" t="s">
        <v>865</v>
      </c>
      <c r="D147" s="1015" t="s">
        <v>1516</v>
      </c>
      <c r="E147" s="1015" t="s">
        <v>425</v>
      </c>
      <c r="F147" s="1015" t="s">
        <v>1517</v>
      </c>
      <c r="G147" s="1016" t="s">
        <v>1518</v>
      </c>
      <c r="H147" s="1017"/>
    </row>
    <row r="148" spans="2:9" ht="12.75" x14ac:dyDescent="0.2">
      <c r="B148" s="1015" t="s">
        <v>669</v>
      </c>
      <c r="C148" s="1018">
        <f>C141/$H141</f>
        <v>245.00693437995602</v>
      </c>
      <c r="D148" s="1018">
        <f t="shared" ref="D148:G148" si="38">D141/$H141</f>
        <v>0</v>
      </c>
      <c r="E148" s="1018">
        <f t="shared" si="38"/>
        <v>10.055820328232546</v>
      </c>
      <c r="F148" s="1018">
        <f t="shared" si="38"/>
        <v>0</v>
      </c>
      <c r="G148" s="1018">
        <f t="shared" si="38"/>
        <v>36.105147006950865</v>
      </c>
      <c r="H148" s="1017">
        <f>SUM(C148:G148)</f>
        <v>291.16790171513946</v>
      </c>
      <c r="I148" s="192">
        <f>SUM(C141:G141)</f>
        <v>1382026726.216264</v>
      </c>
    </row>
    <row r="149" spans="2:9" ht="12.75" x14ac:dyDescent="0.2">
      <c r="B149" s="1015" t="s">
        <v>1144</v>
      </c>
      <c r="C149" s="1018">
        <f t="shared" ref="C149:G149" si="39">C142/$H142</f>
        <v>1212.506395348837</v>
      </c>
      <c r="D149" s="1018">
        <f t="shared" si="39"/>
        <v>28.75</v>
      </c>
      <c r="E149" s="1018">
        <f t="shared" si="39"/>
        <v>143.70222399999997</v>
      </c>
      <c r="F149" s="1018">
        <f t="shared" si="39"/>
        <v>0</v>
      </c>
      <c r="G149" s="1018">
        <f t="shared" si="39"/>
        <v>0</v>
      </c>
      <c r="H149" s="1017">
        <f t="shared" ref="H149:H152" si="40">SUM(C149:G149)</f>
        <v>1384.9586193488369</v>
      </c>
      <c r="I149" s="192">
        <f t="shared" ref="I149:I152" si="41">SUM(C142:G142)</f>
        <v>657369790.89001966</v>
      </c>
    </row>
    <row r="150" spans="2:9" ht="12.75" x14ac:dyDescent="0.2">
      <c r="B150" s="1015" t="s">
        <v>1104</v>
      </c>
      <c r="C150" s="1018">
        <f t="shared" ref="C150:G150" si="42">C143/$H143</f>
        <v>5838.4583979328172</v>
      </c>
      <c r="D150" s="1018">
        <f t="shared" si="42"/>
        <v>407.83497999999997</v>
      </c>
      <c r="E150" s="1018">
        <f t="shared" si="42"/>
        <v>116.52204999999999</v>
      </c>
      <c r="F150" s="1018">
        <f t="shared" si="42"/>
        <v>5250</v>
      </c>
      <c r="G150" s="1018">
        <f t="shared" si="42"/>
        <v>0</v>
      </c>
      <c r="H150" s="1017">
        <f t="shared" si="40"/>
        <v>11612.815427932816</v>
      </c>
      <c r="I150" s="186">
        <f>SUM(C143:G143)</f>
        <v>2204806394.314889</v>
      </c>
    </row>
    <row r="151" spans="2:9" ht="12.75" x14ac:dyDescent="0.2">
      <c r="B151" s="1015" t="s">
        <v>1241</v>
      </c>
      <c r="C151" s="1018">
        <f t="shared" ref="C151:G151" si="43">C144/$H144</f>
        <v>2723.8207364341083</v>
      </c>
      <c r="D151" s="1018">
        <f t="shared" si="43"/>
        <v>327.0601950500332</v>
      </c>
      <c r="E151" s="1018">
        <f t="shared" si="43"/>
        <v>141.30267000000001</v>
      </c>
      <c r="F151" s="1018">
        <f t="shared" si="43"/>
        <v>10500</v>
      </c>
      <c r="G151" s="1018">
        <f t="shared" si="43"/>
        <v>0</v>
      </c>
      <c r="H151" s="1017">
        <f t="shared" si="40"/>
        <v>13692.183601484141</v>
      </c>
      <c r="I151" s="192">
        <f t="shared" si="41"/>
        <v>519918948.92381907</v>
      </c>
    </row>
    <row r="152" spans="2:9" ht="12.75" x14ac:dyDescent="0.2">
      <c r="B152" s="1015" t="s">
        <v>1389</v>
      </c>
      <c r="C152" s="1018">
        <f t="shared" ref="C152:G152" si="44">C145/$H145</f>
        <v>32595.330426356588</v>
      </c>
      <c r="D152" s="1018">
        <f t="shared" si="44"/>
        <v>2933.0552955555563</v>
      </c>
      <c r="E152" s="1018">
        <f t="shared" si="44"/>
        <v>297.48255</v>
      </c>
      <c r="F152" s="1018">
        <f t="shared" si="44"/>
        <v>30000.000000000004</v>
      </c>
      <c r="G152" s="1018">
        <f t="shared" si="44"/>
        <v>0</v>
      </c>
      <c r="H152" s="1017">
        <f t="shared" si="40"/>
        <v>65825.868271912143</v>
      </c>
      <c r="I152" s="192">
        <f t="shared" si="41"/>
        <v>624884190.13422847</v>
      </c>
    </row>
    <row r="153" spans="2:9" x14ac:dyDescent="0.2">
      <c r="H153" s="909">
        <f>H148/H152</f>
        <v>4.4233051436919765E-3</v>
      </c>
    </row>
    <row r="154" spans="2:9" x14ac:dyDescent="0.2">
      <c r="B154" s="5" t="s">
        <v>1520</v>
      </c>
      <c r="C154" s="5" t="s">
        <v>865</v>
      </c>
      <c r="D154" s="5" t="s">
        <v>1516</v>
      </c>
      <c r="E154" s="5" t="s">
        <v>425</v>
      </c>
      <c r="F154" s="79" t="s">
        <v>1517</v>
      </c>
      <c r="G154" s="649" t="s">
        <v>1518</v>
      </c>
      <c r="H154" s="909">
        <f>H148/H149</f>
        <v>0.2102358132924125</v>
      </c>
    </row>
    <row r="155" spans="2:9" x14ac:dyDescent="0.2">
      <c r="H155" s="193">
        <f>H152/H148</f>
        <v>226.07529155570202</v>
      </c>
    </row>
    <row r="156" spans="2:9" x14ac:dyDescent="0.2">
      <c r="H156" s="193">
        <f>H149/H148</f>
        <v>4.7565635195042688</v>
      </c>
      <c r="I156" s="5">
        <f>H150/H149</f>
        <v>8.3849548034819907</v>
      </c>
    </row>
    <row r="160" spans="2:9" ht="12.75" x14ac:dyDescent="0.2">
      <c r="B160" s="5" t="s">
        <v>669</v>
      </c>
      <c r="C160" s="219">
        <f t="shared" ref="C160:G164" si="45">C148/$H148</f>
        <v>0.84146271940255124</v>
      </c>
      <c r="D160" s="219">
        <f t="shared" si="45"/>
        <v>0</v>
      </c>
      <c r="E160" s="219">
        <f t="shared" si="45"/>
        <v>3.4536156866873786E-2</v>
      </c>
      <c r="F160" s="219">
        <f t="shared" si="45"/>
        <v>0</v>
      </c>
      <c r="G160" s="219">
        <f t="shared" si="45"/>
        <v>0.12400112373057484</v>
      </c>
    </row>
    <row r="161" spans="2:7" ht="12.75" x14ac:dyDescent="0.2">
      <c r="B161" s="5" t="s">
        <v>1144</v>
      </c>
      <c r="C161" s="219">
        <f t="shared" si="45"/>
        <v>0.8754820385311719</v>
      </c>
      <c r="D161" s="219">
        <f t="shared" si="45"/>
        <v>2.0758742967726593E-2</v>
      </c>
      <c r="E161" s="219">
        <f t="shared" si="45"/>
        <v>0.1037592185011016</v>
      </c>
      <c r="F161" s="219">
        <f t="shared" si="45"/>
        <v>0</v>
      </c>
      <c r="G161" s="219">
        <f t="shared" si="45"/>
        <v>0</v>
      </c>
    </row>
    <row r="162" spans="2:7" ht="12.75" x14ac:dyDescent="0.2">
      <c r="B162" s="5" t="s">
        <v>1104</v>
      </c>
      <c r="C162" s="219">
        <f t="shared" si="45"/>
        <v>0.50275994087439957</v>
      </c>
      <c r="D162" s="219">
        <f t="shared" si="45"/>
        <v>3.5119388793437338E-2</v>
      </c>
      <c r="E162" s="219">
        <f t="shared" si="45"/>
        <v>1.0033919054609651E-2</v>
      </c>
      <c r="F162" s="219">
        <f t="shared" si="45"/>
        <v>0.4520867512775536</v>
      </c>
      <c r="G162" s="219">
        <f t="shared" si="45"/>
        <v>0</v>
      </c>
    </row>
    <row r="163" spans="2:7" ht="12.75" x14ac:dyDescent="0.2">
      <c r="B163" s="5" t="s">
        <v>1241</v>
      </c>
      <c r="C163" s="219">
        <f t="shared" si="45"/>
        <v>0.19893253083013468</v>
      </c>
      <c r="D163" s="219">
        <f t="shared" si="45"/>
        <v>2.3886635219716311E-2</v>
      </c>
      <c r="E163" s="219">
        <f t="shared" si="45"/>
        <v>1.0319951449138014E-2</v>
      </c>
      <c r="F163" s="219">
        <f t="shared" si="45"/>
        <v>0.76686088250101103</v>
      </c>
      <c r="G163" s="219">
        <f t="shared" si="45"/>
        <v>0</v>
      </c>
    </row>
    <row r="164" spans="2:7" ht="12.75" x14ac:dyDescent="0.2">
      <c r="B164" s="5" t="s">
        <v>1389</v>
      </c>
      <c r="C164" s="219">
        <f t="shared" si="45"/>
        <v>0.49517509274184529</v>
      </c>
      <c r="D164" s="219">
        <f t="shared" si="45"/>
        <v>4.4557791223349331E-2</v>
      </c>
      <c r="E164" s="219">
        <f t="shared" si="45"/>
        <v>4.5192347295924026E-3</v>
      </c>
      <c r="F164" s="219">
        <f t="shared" si="45"/>
        <v>0.45574788130521304</v>
      </c>
      <c r="G164" s="219">
        <f t="shared" si="45"/>
        <v>0</v>
      </c>
    </row>
    <row r="185" spans="2:8" ht="11.25" customHeight="1" x14ac:dyDescent="0.2"/>
    <row r="186" spans="2:8" ht="32.25" customHeight="1" x14ac:dyDescent="0.2">
      <c r="B186" s="1108"/>
      <c r="C186" s="1011"/>
      <c r="D186" s="1094" t="s">
        <v>669</v>
      </c>
      <c r="E186" s="1094" t="s">
        <v>1144</v>
      </c>
      <c r="F186" s="1094" t="s">
        <v>1104</v>
      </c>
      <c r="G186" s="1094" t="s">
        <v>1241</v>
      </c>
      <c r="H186" s="1109" t="s">
        <v>1389</v>
      </c>
    </row>
    <row r="187" spans="2:8" ht="27" customHeight="1" x14ac:dyDescent="0.2">
      <c r="B187" s="1110"/>
      <c r="C187" s="1105" t="s">
        <v>1828</v>
      </c>
      <c r="D187" s="1106">
        <v>291.16790171513946</v>
      </c>
      <c r="E187" s="1106">
        <v>1384.9586193488369</v>
      </c>
      <c r="F187" s="1106">
        <v>11612.815427932816</v>
      </c>
      <c r="G187" s="1107">
        <v>13692.183601484141</v>
      </c>
      <c r="H187" s="1111">
        <v>65825.868271912143</v>
      </c>
    </row>
    <row r="188" spans="2:8" ht="28.5" customHeight="1" x14ac:dyDescent="0.2">
      <c r="B188" s="1112" t="s">
        <v>669</v>
      </c>
      <c r="C188" s="1095">
        <v>291.16790171513946</v>
      </c>
      <c r="D188" s="1098">
        <f>C188/$D$187</f>
        <v>1</v>
      </c>
      <c r="E188" s="1099"/>
      <c r="F188" s="1099"/>
      <c r="G188" s="1099"/>
      <c r="H188" s="1113"/>
    </row>
    <row r="189" spans="2:8" ht="28.5" customHeight="1" x14ac:dyDescent="0.2">
      <c r="B189" s="1114" t="s">
        <v>1144</v>
      </c>
      <c r="C189" s="1096">
        <v>1384.9586193488369</v>
      </c>
      <c r="D189" s="1100">
        <f t="shared" ref="D189:D192" si="46">C189/$D$187</f>
        <v>4.7565635195042688</v>
      </c>
      <c r="E189" s="1098">
        <f>C189/$E$187</f>
        <v>1</v>
      </c>
      <c r="F189" s="1099"/>
      <c r="G189" s="1099"/>
      <c r="H189" s="1113"/>
    </row>
    <row r="190" spans="2:8" ht="28.5" customHeight="1" x14ac:dyDescent="0.2">
      <c r="B190" s="1114" t="s">
        <v>1104</v>
      </c>
      <c r="C190" s="1096">
        <v>11612.815427932816</v>
      </c>
      <c r="D190" s="1100">
        <f t="shared" si="46"/>
        <v>39.883570130934523</v>
      </c>
      <c r="E190" s="1100">
        <f t="shared" ref="E190:E192" si="47">C190/$E$187</f>
        <v>8.3849548034819907</v>
      </c>
      <c r="F190" s="1101">
        <f>C190/$F$187</f>
        <v>1</v>
      </c>
      <c r="G190" s="1099"/>
      <c r="H190" s="1113"/>
    </row>
    <row r="191" spans="2:8" ht="28.5" customHeight="1" x14ac:dyDescent="0.2">
      <c r="B191" s="1114" t="s">
        <v>1241</v>
      </c>
      <c r="C191" s="1096">
        <v>13692.183601484141</v>
      </c>
      <c r="D191" s="1100">
        <f t="shared" si="46"/>
        <v>47.02504472790315</v>
      </c>
      <c r="E191" s="1100">
        <f t="shared" si="47"/>
        <v>9.886348523482793</v>
      </c>
      <c r="F191" s="1102">
        <f>C191/$F$187</f>
        <v>1.1790580575791922</v>
      </c>
      <c r="G191" s="1101">
        <f>C191/$G$187</f>
        <v>1</v>
      </c>
      <c r="H191" s="1113"/>
    </row>
    <row r="192" spans="2:8" ht="28.5" customHeight="1" x14ac:dyDescent="0.2">
      <c r="B192" s="1115" t="s">
        <v>1389</v>
      </c>
      <c r="C192" s="1097">
        <v>65825.868271912143</v>
      </c>
      <c r="D192" s="1103">
        <f t="shared" si="46"/>
        <v>226.07529155570202</v>
      </c>
      <c r="E192" s="1103">
        <f t="shared" si="47"/>
        <v>47.529122785532287</v>
      </c>
      <c r="F192" s="1104">
        <f t="shared" ref="F192" si="48">C192/$F$187</f>
        <v>5.6683815118234193</v>
      </c>
      <c r="G192" s="1104">
        <f>C192/$G$187</f>
        <v>4.8075508032756042</v>
      </c>
      <c r="H192" s="1116">
        <f>H187/C192</f>
        <v>1</v>
      </c>
    </row>
    <row r="195" spans="5:8" ht="12.75" x14ac:dyDescent="0.2">
      <c r="E195" s="5"/>
      <c r="F195" s="5"/>
      <c r="G195" s="5"/>
      <c r="H195" s="5"/>
    </row>
  </sheetData>
  <mergeCells count="1">
    <mergeCell ref="C50:D51"/>
  </mergeCells>
  <conditionalFormatting sqref="D26:D27">
    <cfRule type="expression" dxfId="106" priority="114">
      <formula>D26="Cut"</formula>
    </cfRule>
    <cfRule type="expression" dxfId="105" priority="115">
      <formula>D26="Don't cut"</formula>
    </cfRule>
  </conditionalFormatting>
  <conditionalFormatting sqref="I25:I27">
    <cfRule type="expression" dxfId="104" priority="110">
      <formula>H25&gt;0</formula>
    </cfRule>
  </conditionalFormatting>
  <conditionalFormatting sqref="I22">
    <cfRule type="expression" dxfId="103" priority="47">
      <formula>$K22&lt;0</formula>
    </cfRule>
    <cfRule type="expression" dxfId="102" priority="109">
      <formula>H22&gt;0</formula>
    </cfRule>
  </conditionalFormatting>
  <conditionalFormatting sqref="I53:I56 I58:I61">
    <cfRule type="expression" dxfId="101" priority="105">
      <formula>H53&gt;0</formula>
    </cfRule>
  </conditionalFormatting>
  <conditionalFormatting sqref="D10">
    <cfRule type="expression" dxfId="100" priority="102">
      <formula>$E10&lt;0</formula>
    </cfRule>
    <cfRule type="expression" dxfId="99" priority="104">
      <formula>$E10&gt;0</formula>
    </cfRule>
  </conditionalFormatting>
  <conditionalFormatting sqref="B10">
    <cfRule type="expression" dxfId="98" priority="100">
      <formula>$E10&lt;0</formula>
    </cfRule>
    <cfRule type="expression" dxfId="97" priority="101">
      <formula>$E10&gt;0</formula>
    </cfRule>
  </conditionalFormatting>
  <conditionalFormatting sqref="D46">
    <cfRule type="expression" dxfId="96" priority="98">
      <formula>$E46&lt;0</formula>
    </cfRule>
    <cfRule type="expression" dxfId="95" priority="99">
      <formula>$E46&gt;0</formula>
    </cfRule>
  </conditionalFormatting>
  <conditionalFormatting sqref="B46">
    <cfRule type="expression" dxfId="94" priority="96">
      <formula>$E46&lt;0</formula>
    </cfRule>
    <cfRule type="expression" dxfId="93" priority="97">
      <formula>$E46&gt;0</formula>
    </cfRule>
  </conditionalFormatting>
  <conditionalFormatting sqref="D17:D18">
    <cfRule type="expression" dxfId="92" priority="94">
      <formula>D17="Cut"</formula>
    </cfRule>
    <cfRule type="expression" dxfId="91" priority="95">
      <formula>D17="Don't cut"</formula>
    </cfRule>
  </conditionalFormatting>
  <conditionalFormatting sqref="B70">
    <cfRule type="expression" dxfId="90" priority="92">
      <formula>$E70&lt;0</formula>
    </cfRule>
    <cfRule type="expression" dxfId="89" priority="93">
      <formula>$E70&gt;0</formula>
    </cfRule>
  </conditionalFormatting>
  <conditionalFormatting sqref="G17 H34">
    <cfRule type="expression" dxfId="88" priority="51">
      <formula>$K17&lt;0</formula>
    </cfRule>
  </conditionalFormatting>
  <conditionalFormatting sqref="G18">
    <cfRule type="expression" dxfId="87" priority="50">
      <formula>$K18&lt;0</formula>
    </cfRule>
  </conditionalFormatting>
  <conditionalFormatting sqref="G22">
    <cfRule type="expression" dxfId="86" priority="49">
      <formula>$K22&lt;0</formula>
    </cfRule>
  </conditionalFormatting>
  <conditionalFormatting sqref="I24">
    <cfRule type="expression" dxfId="85" priority="43">
      <formula>$K24&lt;0</formula>
    </cfRule>
    <cfRule type="expression" dxfId="84" priority="46">
      <formula>H24&gt;0</formula>
    </cfRule>
  </conditionalFormatting>
  <conditionalFormatting sqref="G24">
    <cfRule type="expression" dxfId="83" priority="42">
      <formula>$K24&lt;0</formula>
    </cfRule>
  </conditionalFormatting>
  <conditionalFormatting sqref="G25">
    <cfRule type="expression" dxfId="82" priority="40">
      <formula>$K25&lt;0</formula>
    </cfRule>
  </conditionalFormatting>
  <conditionalFormatting sqref="G26">
    <cfRule type="expression" dxfId="81" priority="38">
      <formula>$K26&lt;0</formula>
    </cfRule>
  </conditionalFormatting>
  <conditionalFormatting sqref="H26">
    <cfRule type="expression" dxfId="80" priority="37">
      <formula>$K26&lt;0</formula>
    </cfRule>
  </conditionalFormatting>
  <conditionalFormatting sqref="G27">
    <cfRule type="expression" dxfId="79" priority="36">
      <formula>$K27&lt;0</formula>
    </cfRule>
  </conditionalFormatting>
  <conditionalFormatting sqref="H27">
    <cfRule type="expression" dxfId="78" priority="35">
      <formula>$K27&lt;0</formula>
    </cfRule>
  </conditionalFormatting>
  <conditionalFormatting sqref="G29">
    <cfRule type="expression" dxfId="77" priority="34">
      <formula>$K29&lt;0</formula>
    </cfRule>
  </conditionalFormatting>
  <conditionalFormatting sqref="H29">
    <cfRule type="expression" dxfId="76" priority="33">
      <formula>$K29&lt;0</formula>
    </cfRule>
  </conditionalFormatting>
  <conditionalFormatting sqref="G30">
    <cfRule type="expression" dxfId="75" priority="32">
      <formula>$K30&lt;0</formula>
    </cfRule>
  </conditionalFormatting>
  <conditionalFormatting sqref="H30">
    <cfRule type="expression" dxfId="74" priority="31">
      <formula>$K30&lt;0</formula>
    </cfRule>
  </conditionalFormatting>
  <conditionalFormatting sqref="G31:G33">
    <cfRule type="expression" dxfId="73" priority="30">
      <formula>$K31&lt;0</formula>
    </cfRule>
  </conditionalFormatting>
  <conditionalFormatting sqref="H31:H33">
    <cfRule type="expression" dxfId="72" priority="29">
      <formula>$K31&lt;0</formula>
    </cfRule>
  </conditionalFormatting>
  <conditionalFormatting sqref="G34:G35">
    <cfRule type="expression" dxfId="71" priority="28">
      <formula>$K34&lt;0</formula>
    </cfRule>
  </conditionalFormatting>
  <conditionalFormatting sqref="G36">
    <cfRule type="expression" dxfId="70" priority="26">
      <formula>$K36&lt;0</formula>
    </cfRule>
  </conditionalFormatting>
  <conditionalFormatting sqref="H35">
    <cfRule type="expression" dxfId="69" priority="25">
      <formula>$K36&lt;0</formula>
    </cfRule>
  </conditionalFormatting>
  <conditionalFormatting sqref="I29:I36">
    <cfRule type="expression" dxfId="68" priority="21">
      <formula>$K29&lt;0</formula>
    </cfRule>
    <cfRule type="expression" dxfId="67" priority="22">
      <formula>K29&gt;0</formula>
    </cfRule>
  </conditionalFormatting>
  <conditionalFormatting sqref="G62">
    <cfRule type="expression" dxfId="66" priority="20">
      <formula>$K62&lt;0</formula>
    </cfRule>
  </conditionalFormatting>
  <conditionalFormatting sqref="H62">
    <cfRule type="expression" dxfId="65" priority="19">
      <formula>$K62&lt;0</formula>
    </cfRule>
  </conditionalFormatting>
  <conditionalFormatting sqref="I75">
    <cfRule type="expression" dxfId="64" priority="15">
      <formula>$K75&lt;0</formula>
    </cfRule>
    <cfRule type="expression" dxfId="63" priority="16">
      <formula>H75&gt;0</formula>
    </cfRule>
  </conditionalFormatting>
  <conditionalFormatting sqref="I76">
    <cfRule type="expression" dxfId="62" priority="13">
      <formula>$K76&lt;0</formula>
    </cfRule>
    <cfRule type="expression" dxfId="61" priority="14">
      <formula>H76&gt;0</formula>
    </cfRule>
  </conditionalFormatting>
  <conditionalFormatting sqref="G75">
    <cfRule type="expression" dxfId="60" priority="12">
      <formula>$K75&lt;0</formula>
    </cfRule>
  </conditionalFormatting>
  <conditionalFormatting sqref="H75">
    <cfRule type="expression" dxfId="59" priority="11">
      <formula>$K75&lt;0</formula>
    </cfRule>
  </conditionalFormatting>
  <conditionalFormatting sqref="G76">
    <cfRule type="expression" dxfId="58" priority="10">
      <formula>$K76&lt;0</formula>
    </cfRule>
  </conditionalFormatting>
  <conditionalFormatting sqref="H76">
    <cfRule type="expression" dxfId="57" priority="9">
      <formula>$K76&lt;0</formula>
    </cfRule>
  </conditionalFormatting>
  <conditionalFormatting sqref="G4:G76">
    <cfRule type="cellIs" dxfId="56" priority="8" operator="greaterThan">
      <formula>0</formula>
    </cfRule>
  </conditionalFormatting>
  <conditionalFormatting sqref="D70">
    <cfRule type="expression" dxfId="55" priority="6">
      <formula>$E70&lt;0</formula>
    </cfRule>
    <cfRule type="expression" dxfId="54" priority="7">
      <formula>$E70&gt;0</formula>
    </cfRule>
  </conditionalFormatting>
  <conditionalFormatting sqref="G77">
    <cfRule type="expression" dxfId="53" priority="5">
      <formula>$K77&lt;0</formula>
    </cfRule>
  </conditionalFormatting>
  <conditionalFormatting sqref="G77">
    <cfRule type="cellIs" dxfId="52" priority="4" operator="greaterThan">
      <formula>0</formula>
    </cfRule>
  </conditionalFormatting>
  <conditionalFormatting sqref="H36">
    <cfRule type="expression" dxfId="51" priority="117">
      <formula>$K35&lt;0</formula>
    </cfRule>
  </conditionalFormatting>
  <conditionalFormatting sqref="I62">
    <cfRule type="expression" dxfId="50" priority="2">
      <formula>$K62&lt;0</formula>
    </cfRule>
    <cfRule type="expression" dxfId="49" priority="3">
      <formula>K62&gt;0</formula>
    </cfRule>
  </conditionalFormatting>
  <dataValidations count="2">
    <dataValidation type="list" allowBlank="1" showInputMessage="1" showErrorMessage="1" sqref="D58:D61">
      <formula1>List_YesNO</formula1>
    </dataValidation>
    <dataValidation type="list" allowBlank="1" showInputMessage="1" showErrorMessage="1" sqref="D17:D18 D26:D27">
      <formula1>"Continue,Discontinue"</formula1>
    </dataValidation>
  </dataValidations>
  <hyperlinks>
    <hyperlink ref="D2" location="'Budget Choices Workings'!AN87" display="stack graph data"/>
    <hyperlink ref="C2" location="'Budget Choices Workings'!H160" display="report graphs"/>
  </hyperlinks>
  <pageMargins left="0.7" right="0.7" top="0.75" bottom="0.75" header="0.3" footer="0.3"/>
  <pageSetup paperSize="9" orientation="portrait" horizontalDpi="4294967292" verticalDpi="4294967292" r:id="rId1"/>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B1:H86"/>
  <sheetViews>
    <sheetView showGridLines="0" zoomScale="90" zoomScaleNormal="90" zoomScalePageLayoutView="90" workbookViewId="0">
      <pane xSplit="2" ySplit="7" topLeftCell="C8" activePane="bottomRight" state="frozen"/>
      <selection activeCell="H37" sqref="H37"/>
      <selection pane="topRight" activeCell="H37" sqref="H37"/>
      <selection pane="bottomLeft" activeCell="H37" sqref="H37"/>
      <selection pane="bottomRight" activeCell="H37" sqref="H37"/>
    </sheetView>
  </sheetViews>
  <sheetFormatPr defaultColWidth="8.85546875" defaultRowHeight="12.75" x14ac:dyDescent="0.2"/>
  <cols>
    <col min="1" max="1" width="8.85546875" style="5"/>
    <col min="2" max="2" width="53.42578125" style="5" customWidth="1"/>
    <col min="3" max="7" width="21" style="5" customWidth="1"/>
    <col min="8" max="8" width="18.28515625" style="5" customWidth="1"/>
    <col min="9" max="16384" width="8.85546875" style="5"/>
  </cols>
  <sheetData>
    <row r="1" spans="2:8" s="3" customFormat="1" ht="20.25" x14ac:dyDescent="0.3">
      <c r="B1" s="421" t="s">
        <v>1340</v>
      </c>
    </row>
    <row r="3" spans="2:8" x14ac:dyDescent="0.2">
      <c r="B3" s="5" t="s">
        <v>1030</v>
      </c>
    </row>
    <row r="4" spans="2:8" x14ac:dyDescent="0.2">
      <c r="B4" s="420" t="str">
        <f>'Budget Choices'!B2</f>
        <v>South Africa</v>
      </c>
      <c r="C4" s="287"/>
      <c r="D4" s="287"/>
      <c r="E4" s="287"/>
      <c r="F4" s="287"/>
      <c r="G4" s="287"/>
      <c r="H4" s="287"/>
    </row>
    <row r="5" spans="2:8" hidden="1" x14ac:dyDescent="0.2">
      <c r="B5" s="5">
        <f>IF(B4="South Africa",1,0)</f>
        <v>1</v>
      </c>
      <c r="C5" s="288"/>
      <c r="D5" s="289"/>
      <c r="E5" s="290"/>
      <c r="F5" s="291"/>
      <c r="G5" s="291"/>
      <c r="H5" s="292"/>
    </row>
    <row r="6" spans="2:8" x14ac:dyDescent="0.2">
      <c r="C6" s="1130" t="s">
        <v>381</v>
      </c>
      <c r="D6" s="1130"/>
      <c r="E6" s="1130"/>
      <c r="F6" s="28" t="s">
        <v>382</v>
      </c>
      <c r="G6" s="29" t="s">
        <v>383</v>
      </c>
      <c r="H6" s="607" t="s">
        <v>1796</v>
      </c>
    </row>
    <row r="7" spans="2:8" x14ac:dyDescent="0.2">
      <c r="C7" s="280" t="s">
        <v>385</v>
      </c>
      <c r="D7" s="280" t="s">
        <v>386</v>
      </c>
      <c r="E7" s="404" t="s">
        <v>1033</v>
      </c>
      <c r="F7" s="28" t="s">
        <v>385</v>
      </c>
      <c r="G7" s="29" t="s">
        <v>385</v>
      </c>
      <c r="H7" s="29" t="s">
        <v>385</v>
      </c>
    </row>
    <row r="8" spans="2:8" x14ac:dyDescent="0.2">
      <c r="B8" s="230" t="s">
        <v>0</v>
      </c>
      <c r="C8" s="303">
        <f>C15+C19+C36</f>
        <v>5417212197.7657471</v>
      </c>
      <c r="D8" s="303">
        <f t="shared" ref="D8:H8" si="0">D15+D19+D36</f>
        <v>5903776065.9587812</v>
      </c>
      <c r="E8" s="303">
        <f t="shared" si="0"/>
        <v>6281337546.8242931</v>
      </c>
      <c r="F8" s="303">
        <f t="shared" si="0"/>
        <v>2525317715.4389639</v>
      </c>
      <c r="G8" s="303">
        <f t="shared" ref="G8" si="1">G15+G19+G36</f>
        <v>3509444696.0672464</v>
      </c>
      <c r="H8" s="303">
        <f t="shared" si="0"/>
        <v>4860680276.4540138</v>
      </c>
    </row>
    <row r="9" spans="2:8" x14ac:dyDescent="0.2">
      <c r="B9" s="299" t="s">
        <v>22</v>
      </c>
      <c r="C9" s="304">
        <f t="shared" ref="C9:H9" si="2">C41+C45+C57</f>
        <v>9271829627.2403107</v>
      </c>
      <c r="D9" s="304">
        <f t="shared" si="2"/>
        <v>9781200919.1737003</v>
      </c>
      <c r="E9" s="304">
        <f t="shared" si="2"/>
        <v>10307422703.798107</v>
      </c>
      <c r="F9" s="304">
        <f t="shared" si="2"/>
        <v>7745046262.1966152</v>
      </c>
      <c r="G9" s="304">
        <f t="shared" si="2"/>
        <v>9635976406.8964634</v>
      </c>
      <c r="H9" s="304">
        <f t="shared" si="2"/>
        <v>8865332148.1481361</v>
      </c>
    </row>
    <row r="10" spans="2:8" x14ac:dyDescent="0.2">
      <c r="B10" s="301" t="s">
        <v>578</v>
      </c>
      <c r="C10" s="305">
        <f>C72+C76</f>
        <v>30434615.869029142</v>
      </c>
      <c r="D10" s="305">
        <f t="shared" ref="D10:H10" si="3">D72+D76</f>
        <v>32273481.213419173</v>
      </c>
      <c r="E10" s="305">
        <f t="shared" si="3"/>
        <v>34224201.789572857</v>
      </c>
      <c r="F10" s="305">
        <f t="shared" si="3"/>
        <v>30434615.869029142</v>
      </c>
      <c r="G10" s="305">
        <f t="shared" ref="G10" si="4">G72+G76</f>
        <v>30434615.869029142</v>
      </c>
      <c r="H10" s="305">
        <f t="shared" si="3"/>
        <v>30434615.869029142</v>
      </c>
    </row>
    <row r="11" spans="2:8" ht="13.5" thickBot="1" x14ac:dyDescent="0.25">
      <c r="C11" s="295">
        <f>SUM(C8:C10)</f>
        <v>14719476440.875088</v>
      </c>
      <c r="D11" s="295">
        <f t="shared" ref="D11:H11" si="5">SUM(D8:D10)</f>
        <v>15717250466.3459</v>
      </c>
      <c r="E11" s="295">
        <f t="shared" si="5"/>
        <v>16622984452.411974</v>
      </c>
      <c r="F11" s="295">
        <f t="shared" si="5"/>
        <v>10300798593.504608</v>
      </c>
      <c r="G11" s="295">
        <f t="shared" ref="G11" si="6">SUM(G8:G10)</f>
        <v>13175855718.832741</v>
      </c>
      <c r="H11" s="295">
        <f t="shared" si="5"/>
        <v>13756447040.47118</v>
      </c>
    </row>
    <row r="12" spans="2:8" ht="13.5" thickTop="1" x14ac:dyDescent="0.2">
      <c r="C12" s="531"/>
      <c r="D12" s="368"/>
      <c r="E12" s="368"/>
      <c r="F12" s="368"/>
      <c r="G12" s="368"/>
      <c r="H12" s="368"/>
    </row>
    <row r="14" spans="2:8" x14ac:dyDescent="0.2">
      <c r="B14" s="230" t="s">
        <v>0</v>
      </c>
      <c r="C14" s="224"/>
      <c r="D14" s="224"/>
      <c r="E14" s="224"/>
      <c r="F14" s="224"/>
      <c r="G14" s="224"/>
      <c r="H14" s="224"/>
    </row>
    <row r="15" spans="2:8" ht="13.5" thickBot="1" x14ac:dyDescent="0.25">
      <c r="B15" s="4" t="s">
        <v>899</v>
      </c>
      <c r="C15" s="295">
        <f>SUM(C16:C17)</f>
        <v>1776779.06</v>
      </c>
      <c r="D15" s="295">
        <f t="shared" ref="D15:H15" si="7">SUM(D16:D17)</f>
        <v>1853869.0479600001</v>
      </c>
      <c r="E15" s="295">
        <f t="shared" si="7"/>
        <v>1967567.9190453601</v>
      </c>
      <c r="F15" s="295">
        <f>SUM(F16:F17)</f>
        <v>1776779.06</v>
      </c>
      <c r="G15" s="295">
        <f>SUM(G16:G17)</f>
        <v>1776779.06</v>
      </c>
      <c r="H15" s="295">
        <f t="shared" si="7"/>
        <v>1421566.5499999998</v>
      </c>
    </row>
    <row r="16" spans="2:8" ht="13.5" thickTop="1" x14ac:dyDescent="0.2">
      <c r="B16" s="6" t="s">
        <v>596</v>
      </c>
      <c r="C16" s="294">
        <f>NDOH!H4*$B$5</f>
        <v>927036.05999999994</v>
      </c>
      <c r="D16" s="294">
        <f>NDOH!I4*$B$5</f>
        <v>988220.43995999999</v>
      </c>
      <c r="E16" s="294">
        <f>NDOH!J4*$B$5</f>
        <v>1053442.98899736</v>
      </c>
      <c r="F16" s="294">
        <f>NDOH!K4*$B$5</f>
        <v>927036.05999999994</v>
      </c>
      <c r="G16" s="294">
        <f>NDOH!L4*$B$5</f>
        <v>927036.05999999994</v>
      </c>
      <c r="H16" s="294">
        <f>NDOH!M4*$B$5</f>
        <v>639233.54999999993</v>
      </c>
    </row>
    <row r="17" spans="2:8" x14ac:dyDescent="0.2">
      <c r="B17" s="6" t="s">
        <v>597</v>
      </c>
      <c r="C17" s="294">
        <f>NDOH!H5*$B$5</f>
        <v>849743</v>
      </c>
      <c r="D17" s="294">
        <f>NDOH!I5*$B$5</f>
        <v>865648.60800000001</v>
      </c>
      <c r="E17" s="294">
        <f>NDOH!J5*$B$5</f>
        <v>914124.93004800007</v>
      </c>
      <c r="F17" s="294">
        <f>NDOH!K5*$B$5</f>
        <v>849743</v>
      </c>
      <c r="G17" s="294">
        <f>NDOH!L5*$B$5</f>
        <v>849743</v>
      </c>
      <c r="H17" s="294">
        <f>NDOH!M5*$B$5</f>
        <v>782333</v>
      </c>
    </row>
    <row r="19" spans="2:8" ht="13.5" thickBot="1" x14ac:dyDescent="0.25">
      <c r="B19" s="4" t="s">
        <v>900</v>
      </c>
      <c r="C19" s="295">
        <f>SUM(C20:C22)</f>
        <v>5415237790.8297777</v>
      </c>
      <c r="D19" s="295">
        <f t="shared" ref="D19:H19" si="8">SUM(D20:D22)</f>
        <v>5901713505.3673172</v>
      </c>
      <c r="E19" s="295">
        <f t="shared" si="8"/>
        <v>6279149591.4473515</v>
      </c>
      <c r="F19" s="295">
        <f t="shared" si="8"/>
        <v>2523342368.9932351</v>
      </c>
      <c r="G19" s="295">
        <f t="shared" ref="G19" si="9">SUM(G20:G22)</f>
        <v>3507470289.1312776</v>
      </c>
      <c r="H19" s="295">
        <f t="shared" si="8"/>
        <v>4859061082.0280447</v>
      </c>
    </row>
    <row r="20" spans="2:8" ht="13.5" thickTop="1" x14ac:dyDescent="0.2">
      <c r="B20" s="6" t="s">
        <v>596</v>
      </c>
      <c r="C20" s="294">
        <f>PDOH!H4</f>
        <v>3277499881.7672434</v>
      </c>
      <c r="D20" s="294">
        <f>PDOH!I4</f>
        <v>3634591854.1862683</v>
      </c>
      <c r="E20" s="294">
        <f>PDOH!J4</f>
        <v>3874474916.562561</v>
      </c>
      <c r="F20" s="294">
        <f>PDOH!K4</f>
        <v>1359528124.3201585</v>
      </c>
      <c r="G20" s="294">
        <f>PDOH!L4</f>
        <v>2446272429.7759981</v>
      </c>
      <c r="H20" s="294">
        <f>PDOH!M4</f>
        <v>2721869185.2104716</v>
      </c>
    </row>
    <row r="21" spans="2:8" x14ac:dyDescent="0.2">
      <c r="B21" s="6" t="s">
        <v>597</v>
      </c>
      <c r="C21" s="294">
        <f>PDOH!H5</f>
        <v>1851871442.8563151</v>
      </c>
      <c r="D21" s="294">
        <f>PDOH!I5</f>
        <v>1955527203.0162692</v>
      </c>
      <c r="E21" s="294">
        <f>PDOH!J5</f>
        <v>2065036726.3851805</v>
      </c>
      <c r="F21" s="294">
        <f>PDOH!K5</f>
        <v>1015420922.1303449</v>
      </c>
      <c r="G21" s="294">
        <f>PDOH!L5</f>
        <v>902717119.46836877</v>
      </c>
      <c r="H21" s="294">
        <f>PDOH!M5</f>
        <v>1851325430.6113539</v>
      </c>
    </row>
    <row r="22" spans="2:8" x14ac:dyDescent="0.2">
      <c r="B22" s="6" t="s">
        <v>863</v>
      </c>
      <c r="C22" s="296">
        <f>PDOH!H6</f>
        <v>285866466.20621949</v>
      </c>
      <c r="D22" s="296">
        <f>PDOH!I6</f>
        <v>311594448.16477931</v>
      </c>
      <c r="E22" s="296">
        <f>PDOH!J6</f>
        <v>339637948.49960947</v>
      </c>
      <c r="F22" s="296">
        <f>PDOH!K6</f>
        <v>148393322.54273188</v>
      </c>
      <c r="G22" s="296">
        <f>PDOH!L6</f>
        <v>158480739.88691095</v>
      </c>
      <c r="H22" s="296">
        <f>PDOH!M6</f>
        <v>285866466.20621949</v>
      </c>
    </row>
    <row r="23" spans="2:8" x14ac:dyDescent="0.2">
      <c r="B23" s="24" t="s">
        <v>1032</v>
      </c>
      <c r="C23" s="192"/>
    </row>
    <row r="24" spans="2:8" ht="13.5" thickBot="1" x14ac:dyDescent="0.25">
      <c r="B24" s="4" t="s">
        <v>862</v>
      </c>
      <c r="C24" s="295">
        <f>SUM(C25:C30)</f>
        <v>5129371324.623559</v>
      </c>
      <c r="D24" s="295">
        <f t="shared" ref="D24:H24" si="10">SUM(D25:D30)</f>
        <v>5590119057.2025366</v>
      </c>
      <c r="E24" s="295">
        <f t="shared" si="10"/>
        <v>5939511642.9477415</v>
      </c>
      <c r="F24" s="295">
        <f t="shared" si="10"/>
        <v>2374949046.4505033</v>
      </c>
      <c r="G24" s="295">
        <f t="shared" ref="G24" si="11">SUM(G25:G30)</f>
        <v>3348989549.2443671</v>
      </c>
      <c r="H24" s="295">
        <f t="shared" si="10"/>
        <v>4573194615.821825</v>
      </c>
    </row>
    <row r="25" spans="2:8" ht="13.5" thickTop="1" x14ac:dyDescent="0.2">
      <c r="B25" s="6" t="s">
        <v>849</v>
      </c>
      <c r="C25" s="294">
        <f>PDOH!H10</f>
        <v>2095620.5018294575</v>
      </c>
      <c r="D25" s="294">
        <f>PDOH!I10</f>
        <v>2182756.0149502018</v>
      </c>
      <c r="E25" s="294">
        <f>PDOH!J10</f>
        <v>2325053.9695369154</v>
      </c>
      <c r="F25" s="294">
        <f>PDOH!K10</f>
        <v>2095620.5018294575</v>
      </c>
      <c r="G25" s="294">
        <f>PDOH!L10</f>
        <v>2095620.5018294575</v>
      </c>
      <c r="H25" s="294">
        <f>PDOH!M10</f>
        <v>1548276.2678294573</v>
      </c>
    </row>
    <row r="26" spans="2:8" x14ac:dyDescent="0.2">
      <c r="B26" s="6" t="s">
        <v>8</v>
      </c>
      <c r="C26" s="294">
        <f>PDOH!H11</f>
        <v>15860303.817926358</v>
      </c>
      <c r="D26" s="294">
        <f>PDOH!I11</f>
        <v>16906822.0092845</v>
      </c>
      <c r="E26" s="294">
        <f>PDOH!J11</f>
        <v>18022395.737077273</v>
      </c>
      <c r="F26" s="294">
        <f>PDOH!K11</f>
        <v>15860303.817926358</v>
      </c>
      <c r="G26" s="294">
        <f>PDOH!L11</f>
        <v>15860303.817926358</v>
      </c>
      <c r="H26" s="294">
        <f>PDOH!M11</f>
        <v>15860303.817926358</v>
      </c>
    </row>
    <row r="27" spans="2:8" x14ac:dyDescent="0.2">
      <c r="B27" s="6" t="s">
        <v>855</v>
      </c>
      <c r="C27" s="293">
        <f>PDOH!H12</f>
        <v>110897333.33333333</v>
      </c>
      <c r="D27" s="293">
        <f>PDOH!I12</f>
        <v>117107584</v>
      </c>
      <c r="E27" s="293">
        <f>PDOH!J12</f>
        <v>123665608.70400001</v>
      </c>
      <c r="F27" s="293">
        <f>PDOH!K12</f>
        <v>83524533.333333328</v>
      </c>
      <c r="G27" s="293">
        <f>PDOH!L12</f>
        <v>113178400</v>
      </c>
      <c r="H27" s="293">
        <f>PDOH!M12</f>
        <v>110897333.33333333</v>
      </c>
    </row>
    <row r="28" spans="2:8" x14ac:dyDescent="0.2">
      <c r="B28" s="6" t="s">
        <v>851</v>
      </c>
      <c r="C28" s="293">
        <f>PDOH!H13</f>
        <v>668340920.07211387</v>
      </c>
      <c r="D28" s="293">
        <f>PDOH!I13</f>
        <v>711846665.45944178</v>
      </c>
      <c r="E28" s="293">
        <f>PDOH!J13</f>
        <v>758189923.74343705</v>
      </c>
      <c r="F28" s="293">
        <f>PDOH!K13</f>
        <v>243730131.3150439</v>
      </c>
      <c r="G28" s="293">
        <f>PDOH!L13</f>
        <v>676990558.70206952</v>
      </c>
      <c r="H28" s="293">
        <f>PDOH!M13</f>
        <v>667770136.5043807</v>
      </c>
    </row>
    <row r="29" spans="2:8" x14ac:dyDescent="0.2">
      <c r="B29" s="6" t="s">
        <v>850</v>
      </c>
      <c r="C29" s="548">
        <f>PDOH!H14</f>
        <v>2651918237.1810446</v>
      </c>
      <c r="D29" s="548">
        <f>PDOH!I14</f>
        <v>2967721821.0573797</v>
      </c>
      <c r="E29" s="548">
        <f>PDOH!J14</f>
        <v>3163591461.2471666</v>
      </c>
      <c r="F29" s="548">
        <f>PDOH!K14</f>
        <v>1157308294.6939931</v>
      </c>
      <c r="G29" s="548">
        <f>PDOH!L14</f>
        <v>1811708614.3148825</v>
      </c>
      <c r="H29" s="548">
        <f>PDOH!M14</f>
        <v>2096859656.1810446</v>
      </c>
    </row>
    <row r="30" spans="2:8" x14ac:dyDescent="0.2">
      <c r="B30" s="6" t="s">
        <v>1177</v>
      </c>
      <c r="C30" s="296">
        <f>PDOH!H15</f>
        <v>1680258909.7173111</v>
      </c>
      <c r="D30" s="296">
        <f>PDOH!I15</f>
        <v>1774353408.6614807</v>
      </c>
      <c r="E30" s="296">
        <f>PDOH!J15</f>
        <v>1873717199.5465238</v>
      </c>
      <c r="F30" s="296">
        <f>PDOH!K15</f>
        <v>872430162.7883774</v>
      </c>
      <c r="G30" s="296">
        <f>PDOH!L15</f>
        <v>729156051.90765917</v>
      </c>
      <c r="H30" s="296">
        <f>PDOH!M15</f>
        <v>1680258909.7173111</v>
      </c>
    </row>
    <row r="31" spans="2:8" ht="13.5" thickBot="1" x14ac:dyDescent="0.25">
      <c r="B31" s="4" t="s">
        <v>1031</v>
      </c>
      <c r="C31" s="295">
        <f>SUM(C32:C34)</f>
        <v>285866466.20621949</v>
      </c>
      <c r="D31" s="295">
        <f t="shared" ref="D31:H31" si="12">SUM(D32:D34)</f>
        <v>311594448.16477931</v>
      </c>
      <c r="E31" s="295">
        <f t="shared" si="12"/>
        <v>339637948.49960947</v>
      </c>
      <c r="F31" s="295">
        <f t="shared" si="12"/>
        <v>148393322.54273185</v>
      </c>
      <c r="G31" s="295">
        <f t="shared" ref="G31" si="13">SUM(G32:G34)</f>
        <v>158480739.88691097</v>
      </c>
      <c r="H31" s="295">
        <f t="shared" si="12"/>
        <v>285866466.20621949</v>
      </c>
    </row>
    <row r="32" spans="2:8" ht="13.5" thickTop="1" x14ac:dyDescent="0.2">
      <c r="B32" s="6" t="s">
        <v>1176</v>
      </c>
      <c r="C32" s="294">
        <f>PDOH!H17</f>
        <v>56005707.841618955</v>
      </c>
      <c r="D32" s="294">
        <f>PDOH!I17</f>
        <v>61046221.54736466</v>
      </c>
      <c r="E32" s="294">
        <f>PDOH!J17</f>
        <v>66540381.486627489</v>
      </c>
      <c r="F32" s="294">
        <f>PDOH!K17</f>
        <v>29044180.765273891</v>
      </c>
      <c r="G32" s="294">
        <f>PDOH!L17</f>
        <v>51419374.309627831</v>
      </c>
      <c r="H32" s="294">
        <f>PDOH!M17</f>
        <v>56005707.841618955</v>
      </c>
    </row>
    <row r="33" spans="2:8" x14ac:dyDescent="0.2">
      <c r="B33" s="6" t="s">
        <v>1174</v>
      </c>
      <c r="C33" s="294">
        <f>PDOH!H19</f>
        <v>98520561.305030897</v>
      </c>
      <c r="D33" s="294">
        <f>PDOH!I19</f>
        <v>107387411.82248367</v>
      </c>
      <c r="E33" s="294">
        <f>PDOH!J19</f>
        <v>117052278.88650721</v>
      </c>
      <c r="F33" s="294">
        <f>PDOH!K19</f>
        <v>51154205.366964035</v>
      </c>
      <c r="G33" s="294">
        <f>PDOH!L19</f>
        <v>51170308.963499546</v>
      </c>
      <c r="H33" s="294">
        <f>PDOH!M19</f>
        <v>98520561.305030897</v>
      </c>
    </row>
    <row r="34" spans="2:8" x14ac:dyDescent="0.2">
      <c r="B34" s="6" t="s">
        <v>1175</v>
      </c>
      <c r="C34" s="294">
        <f>PDOH!H18</f>
        <v>131340197.05956964</v>
      </c>
      <c r="D34" s="294">
        <f>PDOH!I18</f>
        <v>143160814.79493093</v>
      </c>
      <c r="E34" s="294">
        <f>PDOH!J18</f>
        <v>156045288.12647474</v>
      </c>
      <c r="F34" s="294">
        <f>PDOH!K18</f>
        <v>68194936.410493925</v>
      </c>
      <c r="G34" s="294">
        <f>PDOH!L18</f>
        <v>55891056.61378359</v>
      </c>
      <c r="H34" s="294">
        <f>PDOH!M18</f>
        <v>131340197.05956964</v>
      </c>
    </row>
    <row r="35" spans="2:8" x14ac:dyDescent="0.2">
      <c r="B35" s="6"/>
    </row>
    <row r="36" spans="2:8" ht="13.5" thickBot="1" x14ac:dyDescent="0.25">
      <c r="B36" s="4" t="s">
        <v>925</v>
      </c>
      <c r="C36" s="295">
        <f>SUM(C37:C38)</f>
        <v>197627.87596899224</v>
      </c>
      <c r="D36" s="295">
        <f t="shared" ref="D36:H36" si="14">SUM(D37:D38)</f>
        <v>208691.54350387599</v>
      </c>
      <c r="E36" s="295">
        <f t="shared" si="14"/>
        <v>220387.45789606203</v>
      </c>
      <c r="F36" s="295">
        <f t="shared" si="14"/>
        <v>198567.38572899223</v>
      </c>
      <c r="G36" s="295">
        <f t="shared" ref="G36" si="15">SUM(G37:G38)</f>
        <v>197627.87596899224</v>
      </c>
      <c r="H36" s="295">
        <f t="shared" si="14"/>
        <v>197627.87596899224</v>
      </c>
    </row>
    <row r="37" spans="2:8" ht="13.5" thickTop="1" x14ac:dyDescent="0.2">
      <c r="B37" s="6" t="s">
        <v>596</v>
      </c>
      <c r="C37" s="293">
        <f>'DM&amp;Metros'!H4</f>
        <v>22707.875968992248</v>
      </c>
      <c r="D37" s="293">
        <f>'DM&amp;Metros'!I4</f>
        <v>23976.023503875971</v>
      </c>
      <c r="E37" s="293">
        <f>'DM&amp;Metros'!J4</f>
        <v>25327.86877606202</v>
      </c>
      <c r="F37" s="293">
        <f>'DM&amp;Metros'!K4</f>
        <v>22707.875968992248</v>
      </c>
      <c r="G37" s="293">
        <f>'DM&amp;Metros'!L4</f>
        <v>22707.875968992248</v>
      </c>
      <c r="H37" s="293">
        <f>'DM&amp;Metros'!M4</f>
        <v>22707.875968992248</v>
      </c>
    </row>
    <row r="38" spans="2:8" x14ac:dyDescent="0.2">
      <c r="B38" s="6" t="s">
        <v>597</v>
      </c>
      <c r="C38" s="296">
        <f>'DM&amp;Metros'!H5</f>
        <v>174920</v>
      </c>
      <c r="D38" s="296">
        <f>'DM&amp;Metros'!I5</f>
        <v>184715.52000000002</v>
      </c>
      <c r="E38" s="296">
        <f>'DM&amp;Metros'!J5</f>
        <v>195059.58912000002</v>
      </c>
      <c r="F38" s="296">
        <f>'DM&amp;Metros'!K5</f>
        <v>175859.50975999999</v>
      </c>
      <c r="G38" s="296">
        <f>'DM&amp;Metros'!L5</f>
        <v>174920</v>
      </c>
      <c r="H38" s="296">
        <f>'DM&amp;Metros'!M5</f>
        <v>174920</v>
      </c>
    </row>
    <row r="40" spans="2:8" x14ac:dyDescent="0.2">
      <c r="B40" s="299" t="s">
        <v>22</v>
      </c>
      <c r="C40" s="300"/>
      <c r="D40" s="300"/>
      <c r="E40" s="300"/>
      <c r="F40" s="300"/>
      <c r="G40" s="300"/>
      <c r="H40" s="300"/>
    </row>
    <row r="41" spans="2:8" ht="13.5" thickBot="1" x14ac:dyDescent="0.25">
      <c r="B41" s="89" t="s">
        <v>694</v>
      </c>
      <c r="C41" s="295">
        <f>SUM(C42:C43)</f>
        <v>111390.93</v>
      </c>
      <c r="D41" s="295">
        <f t="shared" ref="D41:H41" si="16">SUM(D42:D43)</f>
        <v>111641.13138000002</v>
      </c>
      <c r="E41" s="295">
        <f t="shared" si="16"/>
        <v>118939.75005108</v>
      </c>
      <c r="F41" s="295">
        <f t="shared" si="16"/>
        <v>111390.93</v>
      </c>
      <c r="G41" s="295">
        <f t="shared" ref="G41" si="17">SUM(G42:G43)</f>
        <v>111390.93</v>
      </c>
      <c r="H41" s="295">
        <f t="shared" si="16"/>
        <v>111390.93</v>
      </c>
    </row>
    <row r="42" spans="2:8" ht="13.5" thickTop="1" x14ac:dyDescent="0.2">
      <c r="B42" s="65" t="s">
        <v>596</v>
      </c>
      <c r="C42" s="293">
        <f>NDSD!H4*$B$5</f>
        <v>98190.93</v>
      </c>
      <c r="D42" s="293">
        <f>NDSD!I4*$B$5</f>
        <v>104671.53138000001</v>
      </c>
      <c r="E42" s="293">
        <f>NDSD!J4*$B$5</f>
        <v>111579.85245108001</v>
      </c>
      <c r="F42" s="293">
        <f>NDSD!K4*$B$5</f>
        <v>98190.93</v>
      </c>
      <c r="G42" s="293">
        <f>NDSD!L4*$B$5</f>
        <v>98190.93</v>
      </c>
      <c r="H42" s="293">
        <f>NDSD!M4*$B$5</f>
        <v>98190.93</v>
      </c>
    </row>
    <row r="43" spans="2:8" x14ac:dyDescent="0.2">
      <c r="B43" s="65" t="s">
        <v>597</v>
      </c>
      <c r="C43" s="296">
        <f>NDSD!H5*$B$5</f>
        <v>13200</v>
      </c>
      <c r="D43" s="296">
        <f>NDSD!I5*$B$5</f>
        <v>6969.6</v>
      </c>
      <c r="E43" s="296">
        <f>NDSD!J5*$B$5</f>
        <v>7359.8976000000002</v>
      </c>
      <c r="F43" s="296">
        <f>NDSD!K5*$B$5</f>
        <v>13200</v>
      </c>
      <c r="G43" s="296">
        <f>NDSD!L5*$B$5</f>
        <v>13200</v>
      </c>
      <c r="H43" s="296">
        <f>NDSD!M5*$B$5</f>
        <v>13200</v>
      </c>
    </row>
    <row r="45" spans="2:8" ht="13.5" thickBot="1" x14ac:dyDescent="0.25">
      <c r="B45" s="4" t="s">
        <v>446</v>
      </c>
      <c r="C45" s="295">
        <f>SUM(C46:C48)</f>
        <v>2634762940.3215928</v>
      </c>
      <c r="D45" s="295">
        <f t="shared" ref="D45:H45" si="18">SUM(D46:D48)</f>
        <v>2810350285.4719319</v>
      </c>
      <c r="E45" s="295">
        <f t="shared" si="18"/>
        <v>2985979762.4884081</v>
      </c>
      <c r="F45" s="295">
        <f t="shared" si="18"/>
        <v>1107979575.2778959</v>
      </c>
      <c r="G45" s="295">
        <f t="shared" ref="G45" si="19">SUM(G46:G48)</f>
        <v>2998909719.9777451</v>
      </c>
      <c r="H45" s="295">
        <f t="shared" si="18"/>
        <v>2228265461.2294183</v>
      </c>
    </row>
    <row r="46" spans="2:8" ht="13.5" thickTop="1" x14ac:dyDescent="0.2">
      <c r="B46" s="6" t="s">
        <v>596</v>
      </c>
      <c r="C46" s="293">
        <f>PDSD!H4</f>
        <v>5638872.6042786734</v>
      </c>
      <c r="D46" s="293">
        <f>PDSD!I4</f>
        <v>6011038.1961610653</v>
      </c>
      <c r="E46" s="293">
        <f>PDSD!J4</f>
        <v>6407766.7171076965</v>
      </c>
      <c r="F46" s="293">
        <f>PDSD!K4</f>
        <v>3931791.5537055451</v>
      </c>
      <c r="G46" s="293">
        <f>PDSD!L4</f>
        <v>6046021.4384948844</v>
      </c>
      <c r="H46" s="293">
        <f>PDSD!M4</f>
        <v>5184371.8810250256</v>
      </c>
    </row>
    <row r="47" spans="2:8" x14ac:dyDescent="0.2">
      <c r="B47" s="6" t="s">
        <v>597</v>
      </c>
      <c r="C47" s="293">
        <f>PDSD!H5</f>
        <v>5602339.6279195156</v>
      </c>
      <c r="D47" s="293">
        <f>PDSD!I5</f>
        <v>5916070.6470830077</v>
      </c>
      <c r="E47" s="293">
        <f>PDSD!J5</f>
        <v>6247370.6033196561</v>
      </c>
      <c r="F47" s="293">
        <f>PDSD!K5</f>
        <v>2352589.8704525451</v>
      </c>
      <c r="G47" s="293">
        <f>PDSD!L5</f>
        <v>6377423.9889127258</v>
      </c>
      <c r="H47" s="293">
        <f>PDSD!M5</f>
        <v>4737112.0426995773</v>
      </c>
    </row>
    <row r="48" spans="2:8" x14ac:dyDescent="0.2">
      <c r="B48" s="6" t="s">
        <v>756</v>
      </c>
      <c r="C48" s="296">
        <f>PDSD!H6</f>
        <v>2623521728.0893946</v>
      </c>
      <c r="D48" s="296">
        <f>PDSD!I6</f>
        <v>2798423176.6286879</v>
      </c>
      <c r="E48" s="296">
        <f>PDSD!J6</f>
        <v>2973324625.1679807</v>
      </c>
      <c r="F48" s="296">
        <f>PDSD!K6</f>
        <v>1101695193.8537378</v>
      </c>
      <c r="G48" s="296">
        <f>PDSD!L6</f>
        <v>2986486274.5503373</v>
      </c>
      <c r="H48" s="296">
        <f>PDSD!M6</f>
        <v>2218343977.3056936</v>
      </c>
    </row>
    <row r="50" spans="2:8" ht="13.5" thickBot="1" x14ac:dyDescent="0.25">
      <c r="B50" s="24" t="s">
        <v>1032</v>
      </c>
      <c r="C50" s="295">
        <f>SUM(C51:C55)</f>
        <v>2634762940.3215923</v>
      </c>
      <c r="D50" s="295">
        <f t="shared" ref="D50:H50" si="20">SUM(D51:D55)</f>
        <v>2810350285.4719319</v>
      </c>
      <c r="E50" s="295">
        <f t="shared" si="20"/>
        <v>2985979762.4884081</v>
      </c>
      <c r="F50" s="295">
        <f t="shared" si="20"/>
        <v>1107979575.2778959</v>
      </c>
      <c r="G50" s="295">
        <f t="shared" ref="G50" si="21">SUM(G51:G55)</f>
        <v>2998909719.9777451</v>
      </c>
      <c r="H50" s="295">
        <f t="shared" si="20"/>
        <v>2228265461.2294183</v>
      </c>
    </row>
    <row r="51" spans="2:8" ht="13.5" thickTop="1" x14ac:dyDescent="0.2">
      <c r="B51" s="6" t="s">
        <v>726</v>
      </c>
      <c r="C51" s="293">
        <f>PDSD!H10</f>
        <v>2623521728.0893946</v>
      </c>
      <c r="D51" s="293">
        <f>PDSD!I10</f>
        <v>2798423176.6286879</v>
      </c>
      <c r="E51" s="293">
        <f>PDSD!J10</f>
        <v>2973324625.1679807</v>
      </c>
      <c r="F51" s="293">
        <f>PDSD!K10</f>
        <v>1101695193.8537378</v>
      </c>
      <c r="G51" s="293">
        <f>PDSD!L10</f>
        <v>2986486274.5503373</v>
      </c>
      <c r="H51" s="293">
        <f>PDSD!M10</f>
        <v>2218343977.3056936</v>
      </c>
    </row>
    <row r="52" spans="2:8" x14ac:dyDescent="0.2">
      <c r="B52" s="6" t="s">
        <v>454</v>
      </c>
      <c r="C52" s="293">
        <f>PDSD!H11</f>
        <v>3356781.1800720682</v>
      </c>
      <c r="D52" s="293">
        <f>PDSD!I11</f>
        <v>3578231.8465293674</v>
      </c>
      <c r="E52" s="293">
        <f>PDSD!J11</f>
        <v>3814292.8310529105</v>
      </c>
      <c r="F52" s="293">
        <f>PDSD!K11</f>
        <v>1784842.8926486219</v>
      </c>
      <c r="G52" s="293">
        <f>PDSD!L11</f>
        <v>3731697.6733278567</v>
      </c>
      <c r="H52" s="293">
        <f>PDSD!M11</f>
        <v>2938261.4570019832</v>
      </c>
    </row>
    <row r="53" spans="2:8" x14ac:dyDescent="0.2">
      <c r="B53" s="6" t="s">
        <v>456</v>
      </c>
      <c r="C53" s="293">
        <f>PDSD!H12</f>
        <v>1583338.0349494237</v>
      </c>
      <c r="D53" s="293">
        <f>PDSD!I12</f>
        <v>1681378.9167588961</v>
      </c>
      <c r="E53" s="293">
        <f>PDSD!J12</f>
        <v>1785528.7687719509</v>
      </c>
      <c r="F53" s="293">
        <f>PDSD!K12</f>
        <v>1067882.7506020251</v>
      </c>
      <c r="G53" s="293">
        <f>PDSD!L12</f>
        <v>1706277.140882425</v>
      </c>
      <c r="H53" s="293">
        <f>PDSD!M12</f>
        <v>1446100.9661751245</v>
      </c>
    </row>
    <row r="54" spans="2:8" x14ac:dyDescent="0.2">
      <c r="B54" s="6" t="s">
        <v>455</v>
      </c>
      <c r="C54" s="293">
        <f>PDSD!H13</f>
        <v>1354385.3817219452</v>
      </c>
      <c r="D54" s="293">
        <f>PDSD!I13</f>
        <v>1443774.8169155936</v>
      </c>
      <c r="E54" s="293">
        <f>PDSD!J13</f>
        <v>1539063.954832023</v>
      </c>
      <c r="F54" s="293">
        <f>PDSD!K13</f>
        <v>1354385.3817219452</v>
      </c>
      <c r="G54" s="293">
        <f>PDSD!L13</f>
        <v>1354385.3817219452</v>
      </c>
      <c r="H54" s="293">
        <f>PDSD!M13</f>
        <v>1354385.3817219452</v>
      </c>
    </row>
    <row r="55" spans="2:8" x14ac:dyDescent="0.2">
      <c r="B55" s="6" t="s">
        <v>543</v>
      </c>
      <c r="C55" s="296">
        <f>PDSD!H14</f>
        <v>4946707.6354547506</v>
      </c>
      <c r="D55" s="296">
        <f>PDSD!I14</f>
        <v>5223723.2630402166</v>
      </c>
      <c r="E55" s="296">
        <f>PDSD!J14</f>
        <v>5516251.7657704689</v>
      </c>
      <c r="F55" s="296">
        <f>PDSD!K14</f>
        <v>2077270.3991854985</v>
      </c>
      <c r="G55" s="296">
        <f>PDSD!L14</f>
        <v>5631085.231475383</v>
      </c>
      <c r="H55" s="296">
        <f>PDSD!M14</f>
        <v>4182736.1188255497</v>
      </c>
    </row>
    <row r="57" spans="2:8" ht="13.5" thickBot="1" x14ac:dyDescent="0.25">
      <c r="B57" s="4" t="s">
        <v>926</v>
      </c>
      <c r="C57" s="295">
        <f>SUM(C58:C62)</f>
        <v>6636955295.988719</v>
      </c>
      <c r="D57" s="295">
        <f t="shared" ref="D57:H57" si="22">SUM(D58:D62)</f>
        <v>6970738992.5703878</v>
      </c>
      <c r="E57" s="295">
        <f t="shared" si="22"/>
        <v>7321324001.5596476</v>
      </c>
      <c r="F57" s="295">
        <f t="shared" si="22"/>
        <v>6636955295.988719</v>
      </c>
      <c r="G57" s="295">
        <f t="shared" ref="G57" si="23">SUM(G58:G62)</f>
        <v>6636955295.988719</v>
      </c>
      <c r="H57" s="295">
        <f t="shared" si="22"/>
        <v>6636955295.988719</v>
      </c>
    </row>
    <row r="58" spans="2:8" ht="13.5" thickTop="1" x14ac:dyDescent="0.2">
      <c r="B58" s="6" t="s">
        <v>596</v>
      </c>
      <c r="C58" s="293">
        <f>SASSA!H4</f>
        <v>22363186.860505082</v>
      </c>
      <c r="D58" s="293">
        <f>SASSA!I4</f>
        <v>23839157.193298414</v>
      </c>
      <c r="E58" s="293">
        <f>SASSA!J4</f>
        <v>25412541.568056114</v>
      </c>
      <c r="F58" s="293">
        <f>SASSA!K4</f>
        <v>22363186.860505082</v>
      </c>
      <c r="G58" s="293">
        <f>SASSA!L4</f>
        <v>22363186.860505082</v>
      </c>
      <c r="H58" s="293">
        <f>SASSA!M4</f>
        <v>22363186.860505082</v>
      </c>
    </row>
    <row r="59" spans="2:8" x14ac:dyDescent="0.2">
      <c r="B59" s="6" t="s">
        <v>597</v>
      </c>
      <c r="C59" s="293">
        <f>SASSA!H5</f>
        <v>807855.88725088409</v>
      </c>
      <c r="D59" s="293">
        <f>SASSA!I5</f>
        <v>850350.04085772263</v>
      </c>
      <c r="E59" s="293">
        <f>SASSA!J5</f>
        <v>895223.86706654401</v>
      </c>
      <c r="F59" s="293">
        <f>SASSA!K5</f>
        <v>807855.88725088409</v>
      </c>
      <c r="G59" s="293">
        <f>SASSA!L5</f>
        <v>807855.88725088409</v>
      </c>
      <c r="H59" s="293">
        <f>SASSA!M5</f>
        <v>807855.88725088409</v>
      </c>
    </row>
    <row r="60" spans="2:8" x14ac:dyDescent="0.2">
      <c r="B60" s="6" t="s">
        <v>1746</v>
      </c>
      <c r="C60" s="293">
        <f>SASSA!H8</f>
        <v>6351114347.7041874</v>
      </c>
      <c r="D60" s="293">
        <f>SASSA!I8</f>
        <v>6668670065.0893965</v>
      </c>
      <c r="E60" s="293">
        <f>SASSA!J8</f>
        <v>7002103568.3438663</v>
      </c>
      <c r="F60" s="293">
        <f>SASSA!K8</f>
        <v>6351114347.7041874</v>
      </c>
      <c r="G60" s="293">
        <f>SASSA!L8</f>
        <v>6351114347.7041874</v>
      </c>
      <c r="H60" s="293">
        <f>SASSA!M8</f>
        <v>6351114347.7041874</v>
      </c>
    </row>
    <row r="61" spans="2:8" x14ac:dyDescent="0.2">
      <c r="B61" s="6" t="s">
        <v>781</v>
      </c>
      <c r="C61" s="293">
        <f>SASSA!H6</f>
        <v>157601943.32206556</v>
      </c>
      <c r="D61" s="293">
        <f>SASSA!I6</f>
        <v>166427652.14810124</v>
      </c>
      <c r="E61" s="293">
        <f>SASSA!J6</f>
        <v>175747600.66839492</v>
      </c>
      <c r="F61" s="293">
        <f>SASSA!K6</f>
        <v>157601943.32206556</v>
      </c>
      <c r="G61" s="293">
        <f>SASSA!L6</f>
        <v>157601943.32206556</v>
      </c>
      <c r="H61" s="293">
        <f>SASSA!M6</f>
        <v>157601943.32206556</v>
      </c>
    </row>
    <row r="62" spans="2:8" x14ac:dyDescent="0.2">
      <c r="B62" s="6" t="s">
        <v>782</v>
      </c>
      <c r="C62" s="296">
        <f>SASSA!H7</f>
        <v>105067962.21471035</v>
      </c>
      <c r="D62" s="296">
        <f>SASSA!I7</f>
        <v>110951768.09873414</v>
      </c>
      <c r="E62" s="296">
        <f>SASSA!J7</f>
        <v>117165067.11226326</v>
      </c>
      <c r="F62" s="296">
        <f>SASSA!K7</f>
        <v>105067962.21471035</v>
      </c>
      <c r="G62" s="296">
        <f>SASSA!L7</f>
        <v>105067962.21471035</v>
      </c>
      <c r="H62" s="296">
        <f>SASSA!M7</f>
        <v>105067962.21471035</v>
      </c>
    </row>
    <row r="63" spans="2:8" x14ac:dyDescent="0.2">
      <c r="B63" s="4"/>
    </row>
    <row r="64" spans="2:8" ht="13.5" thickBot="1" x14ac:dyDescent="0.25">
      <c r="B64" s="24" t="s">
        <v>1032</v>
      </c>
      <c r="C64" s="295">
        <f>SUM(C65:C69)</f>
        <v>285840948.28453189</v>
      </c>
      <c r="D64" s="295">
        <f t="shared" ref="D64:H64" si="24">SUM(D65:D69)</f>
        <v>302068927.48099148</v>
      </c>
      <c r="E64" s="295">
        <f t="shared" si="24"/>
        <v>319220433.21578085</v>
      </c>
      <c r="F64" s="295">
        <f t="shared" si="24"/>
        <v>285840948.28453189</v>
      </c>
      <c r="G64" s="295">
        <f t="shared" ref="G64" si="25">SUM(G65:G69)</f>
        <v>285840948.28453189</v>
      </c>
      <c r="H64" s="295">
        <f t="shared" si="24"/>
        <v>285840948.28453189</v>
      </c>
    </row>
    <row r="65" spans="2:8" ht="13.5" thickTop="1" x14ac:dyDescent="0.2">
      <c r="B65" s="6" t="s">
        <v>780</v>
      </c>
      <c r="C65" s="293">
        <f>SASSA!H13</f>
        <v>262669905.53677592</v>
      </c>
      <c r="D65" s="293">
        <f>SASSA!I13</f>
        <v>277379420.24683535</v>
      </c>
      <c r="E65" s="293">
        <f>SASSA!J13</f>
        <v>292912667.78065819</v>
      </c>
      <c r="F65" s="293">
        <f>SASSA!K13</f>
        <v>262669905.53677592</v>
      </c>
      <c r="G65" s="293">
        <f>SASSA!L13</f>
        <v>262669905.53677592</v>
      </c>
      <c r="H65" s="293">
        <f>SASSA!M13</f>
        <v>262669905.53677592</v>
      </c>
    </row>
    <row r="66" spans="2:8" x14ac:dyDescent="0.2">
      <c r="B66" s="6" t="s">
        <v>490</v>
      </c>
      <c r="C66" s="293">
        <f>SASSA!H14</f>
        <v>412150.96570019814</v>
      </c>
      <c r="D66" s="293">
        <f>SASSA!I14</f>
        <v>436116.83620019816</v>
      </c>
      <c r="E66" s="293">
        <f>SASSA!J14</f>
        <v>461664.45415319817</v>
      </c>
      <c r="F66" s="293">
        <f>SASSA!K14</f>
        <v>412150.96570019814</v>
      </c>
      <c r="G66" s="293">
        <f>SASSA!L14</f>
        <v>412150.96570019814</v>
      </c>
      <c r="H66" s="293">
        <f>SASSA!M14</f>
        <v>412150.96570019814</v>
      </c>
    </row>
    <row r="67" spans="2:8" x14ac:dyDescent="0.2">
      <c r="B67" s="6" t="s">
        <v>491</v>
      </c>
      <c r="C67" s="293">
        <f>SASSA!H15</f>
        <v>48083.04069767442</v>
      </c>
      <c r="D67" s="293">
        <f>SASSA!I15</f>
        <v>51256.521383720938</v>
      </c>
      <c r="E67" s="293">
        <f>SASSA!J15</f>
        <v>54639.451795046531</v>
      </c>
      <c r="F67" s="293">
        <f>SASSA!K15</f>
        <v>48083.04069767442</v>
      </c>
      <c r="G67" s="293">
        <f>SASSA!L15</f>
        <v>48083.04069767442</v>
      </c>
      <c r="H67" s="293">
        <f>SASSA!M15</f>
        <v>48083.04069767442</v>
      </c>
    </row>
    <row r="68" spans="2:8" x14ac:dyDescent="0.2">
      <c r="B68" s="6" t="s">
        <v>492</v>
      </c>
      <c r="C68" s="293">
        <f>SASSA!H16</f>
        <v>159945.20694385847</v>
      </c>
      <c r="D68" s="293">
        <f>SASSA!I16</f>
        <v>170501.59060215313</v>
      </c>
      <c r="E68" s="293">
        <f>SASSA!J16</f>
        <v>181754.69558189524</v>
      </c>
      <c r="F68" s="293">
        <f>SASSA!K16</f>
        <v>159945.20694385847</v>
      </c>
      <c r="G68" s="293">
        <f>SASSA!L16</f>
        <v>159945.20694385847</v>
      </c>
      <c r="H68" s="293">
        <f>SASSA!M16</f>
        <v>159945.20694385847</v>
      </c>
    </row>
    <row r="69" spans="2:8" x14ac:dyDescent="0.2">
      <c r="B69" s="6" t="s">
        <v>493</v>
      </c>
      <c r="C69" s="296">
        <f>SASSA!H17</f>
        <v>22550863.534414236</v>
      </c>
      <c r="D69" s="296">
        <f>SASSA!I17</f>
        <v>24031632.285970062</v>
      </c>
      <c r="E69" s="296">
        <f>SASSA!J17</f>
        <v>25609706.833592515</v>
      </c>
      <c r="F69" s="296">
        <f>SASSA!K17</f>
        <v>22550863.534414236</v>
      </c>
      <c r="G69" s="296">
        <f>SASSA!L17</f>
        <v>22550863.534414236</v>
      </c>
      <c r="H69" s="296">
        <f>SASSA!M17</f>
        <v>22550863.534414236</v>
      </c>
    </row>
    <row r="71" spans="2:8" x14ac:dyDescent="0.2">
      <c r="B71" s="301" t="s">
        <v>578</v>
      </c>
      <c r="C71" s="302"/>
      <c r="D71" s="302"/>
      <c r="E71" s="302"/>
      <c r="F71" s="302"/>
      <c r="G71" s="302"/>
      <c r="H71" s="302"/>
    </row>
    <row r="72" spans="2:8" ht="13.5" thickBot="1" x14ac:dyDescent="0.25">
      <c r="B72" s="4" t="s">
        <v>927</v>
      </c>
      <c r="C72" s="295">
        <f>SUM(C73:C74)</f>
        <v>189710.84441860468</v>
      </c>
      <c r="D72" s="295">
        <f t="shared" ref="D72:H72" si="26">SUM(D73:D74)</f>
        <v>202051.76015023259</v>
      </c>
      <c r="E72" s="295">
        <f t="shared" si="26"/>
        <v>215197.09632014795</v>
      </c>
      <c r="F72" s="295">
        <f t="shared" si="26"/>
        <v>189710.84441860468</v>
      </c>
      <c r="G72" s="295">
        <f t="shared" ref="G72" si="27">SUM(G73:G74)</f>
        <v>189710.84441860468</v>
      </c>
      <c r="H72" s="295">
        <f t="shared" si="26"/>
        <v>189710.84441860468</v>
      </c>
    </row>
    <row r="73" spans="2:8" ht="13.5" thickTop="1" x14ac:dyDescent="0.2">
      <c r="B73" s="6" t="s">
        <v>596</v>
      </c>
      <c r="C73" s="293">
        <f>Agriculture!H9*$B$5</f>
        <v>171710.84441860468</v>
      </c>
      <c r="D73" s="293">
        <f>Agriculture!I9*$B$5</f>
        <v>183043.76015023259</v>
      </c>
      <c r="E73" s="293">
        <f>Agriculture!J9*$B$5</f>
        <v>195124.64832014794</v>
      </c>
      <c r="F73" s="293">
        <f>Agriculture!K9*$B$5</f>
        <v>171710.84441860468</v>
      </c>
      <c r="G73" s="293">
        <f>Agriculture!L9*$B$5</f>
        <v>171710.84441860468</v>
      </c>
      <c r="H73" s="293">
        <f>Agriculture!M9*$B$5</f>
        <v>171710.84441860468</v>
      </c>
    </row>
    <row r="74" spans="2:8" x14ac:dyDescent="0.2">
      <c r="B74" s="6" t="s">
        <v>597</v>
      </c>
      <c r="C74" s="293">
        <f>Agriculture!H10*$B$5</f>
        <v>18000</v>
      </c>
      <c r="D74" s="293">
        <f>Agriculture!I10*$B$5</f>
        <v>19008</v>
      </c>
      <c r="E74" s="293">
        <f>Agriculture!J10*$B$5</f>
        <v>20072.448</v>
      </c>
      <c r="F74" s="293">
        <f>Agriculture!K10*$B$5</f>
        <v>18000</v>
      </c>
      <c r="G74" s="293">
        <f>Agriculture!L10*$B$5</f>
        <v>18000</v>
      </c>
      <c r="H74" s="293">
        <f>Agriculture!M10*$B$5</f>
        <v>18000</v>
      </c>
    </row>
    <row r="76" spans="2:8" ht="13.5" thickBot="1" x14ac:dyDescent="0.25">
      <c r="B76" s="4" t="s">
        <v>470</v>
      </c>
      <c r="C76" s="295">
        <f>SUM(C77:C78)</f>
        <v>30244905.024610538</v>
      </c>
      <c r="D76" s="295">
        <f t="shared" ref="D76:H76" si="28">SUM(D77:D78)</f>
        <v>32071429.453268941</v>
      </c>
      <c r="E76" s="295">
        <f t="shared" si="28"/>
        <v>34009004.693252712</v>
      </c>
      <c r="F76" s="295">
        <f t="shared" si="28"/>
        <v>30244905.024610538</v>
      </c>
      <c r="G76" s="295">
        <f t="shared" ref="G76" si="29">SUM(G77:G78)</f>
        <v>30244905.024610538</v>
      </c>
      <c r="H76" s="295">
        <f t="shared" si="28"/>
        <v>30244905.024610538</v>
      </c>
    </row>
    <row r="77" spans="2:8" ht="13.5" thickTop="1" x14ac:dyDescent="0.2">
      <c r="B77" s="6" t="s">
        <v>596</v>
      </c>
      <c r="C77" s="293">
        <f>Agriculture!H13</f>
        <v>13280974.72802088</v>
      </c>
      <c r="D77" s="293">
        <f>Agriculture!I13</f>
        <v>14157519.060070258</v>
      </c>
      <c r="E77" s="293">
        <f>Agriculture!J13</f>
        <v>15091915.318034898</v>
      </c>
      <c r="F77" s="293">
        <f>Agriculture!K13</f>
        <v>13280974.72802088</v>
      </c>
      <c r="G77" s="293">
        <f>Agriculture!L13</f>
        <v>13280974.72802088</v>
      </c>
      <c r="H77" s="293">
        <f>Agriculture!M13</f>
        <v>13280974.72802088</v>
      </c>
    </row>
    <row r="78" spans="2:8" x14ac:dyDescent="0.2">
      <c r="B78" s="6" t="s">
        <v>597</v>
      </c>
      <c r="C78" s="296">
        <f>Agriculture!H14</f>
        <v>16963930.296589658</v>
      </c>
      <c r="D78" s="296">
        <f>Agriculture!I14</f>
        <v>17913910.393198684</v>
      </c>
      <c r="E78" s="296">
        <f>Agriculture!J14</f>
        <v>18917089.375217814</v>
      </c>
      <c r="F78" s="296">
        <f>Agriculture!K14</f>
        <v>16963930.296589658</v>
      </c>
      <c r="G78" s="296">
        <f>Agriculture!L14</f>
        <v>16963930.296589658</v>
      </c>
      <c r="H78" s="296">
        <f>Agriculture!M14</f>
        <v>16963930.296589658</v>
      </c>
    </row>
    <row r="79" spans="2:8" x14ac:dyDescent="0.2">
      <c r="B79" s="6"/>
    </row>
    <row r="80" spans="2:8" ht="13.5" thickBot="1" x14ac:dyDescent="0.25">
      <c r="B80" s="24" t="s">
        <v>1032</v>
      </c>
      <c r="C80" s="295">
        <f>SUM(C81:C83)</f>
        <v>30244905.024610542</v>
      </c>
      <c r="D80" s="295">
        <f t="shared" ref="D80:H80" si="30">SUM(D81:D83)</f>
        <v>32071429.453268941</v>
      </c>
      <c r="E80" s="295">
        <f t="shared" si="30"/>
        <v>34009004.693252705</v>
      </c>
      <c r="F80" s="295">
        <f t="shared" si="30"/>
        <v>30244905.024610542</v>
      </c>
      <c r="G80" s="295">
        <f t="shared" ref="G80" si="31">SUM(G81:G83)</f>
        <v>30244905.024610542</v>
      </c>
      <c r="H80" s="295">
        <f t="shared" si="30"/>
        <v>30244905.024610542</v>
      </c>
    </row>
    <row r="81" spans="2:8" ht="13.5" thickTop="1" x14ac:dyDescent="0.2">
      <c r="B81" s="65" t="s">
        <v>901</v>
      </c>
      <c r="C81" s="293">
        <f>Agriculture!H16</f>
        <v>296024.07000000007</v>
      </c>
      <c r="D81" s="293">
        <f>Agriculture!I16</f>
        <v>315561.65862</v>
      </c>
      <c r="E81" s="293">
        <f>Agriculture!J16</f>
        <v>336388.72808892</v>
      </c>
      <c r="F81" s="293">
        <f>Agriculture!K16</f>
        <v>296024.07000000007</v>
      </c>
      <c r="G81" s="293">
        <f>Agriculture!L16</f>
        <v>296024.07000000007</v>
      </c>
      <c r="H81" s="293">
        <f>Agriculture!M16</f>
        <v>296024.07000000007</v>
      </c>
    </row>
    <row r="82" spans="2:8" x14ac:dyDescent="0.2">
      <c r="B82" s="65" t="s">
        <v>902</v>
      </c>
      <c r="C82" s="293">
        <f>Agriculture!H17</f>
        <v>25285632.024377983</v>
      </c>
      <c r="D82" s="293">
        <f>Agriculture!I17</f>
        <v>26830384.435021035</v>
      </c>
      <c r="E82" s="293">
        <f>Agriculture!J17</f>
        <v>28470140.943800438</v>
      </c>
      <c r="F82" s="293">
        <f>Agriculture!K17</f>
        <v>25285632.024377983</v>
      </c>
      <c r="G82" s="293">
        <f>Agriculture!L17</f>
        <v>25285632.024377983</v>
      </c>
      <c r="H82" s="293">
        <f>Agriculture!M17</f>
        <v>25285632.024377983</v>
      </c>
    </row>
    <row r="83" spans="2:8" x14ac:dyDescent="0.2">
      <c r="B83" s="272" t="s">
        <v>903</v>
      </c>
      <c r="C83" s="296">
        <f>Agriculture!H18</f>
        <v>4663248.9302325584</v>
      </c>
      <c r="D83" s="296">
        <f>Agriculture!I18</f>
        <v>4925483.3596279072</v>
      </c>
      <c r="E83" s="296">
        <f>Agriculture!J18</f>
        <v>5202475.0213633496</v>
      </c>
      <c r="F83" s="296">
        <f>Agriculture!K18</f>
        <v>4663248.9302325584</v>
      </c>
      <c r="G83" s="296">
        <f>Agriculture!L18</f>
        <v>4663248.9302325584</v>
      </c>
      <c r="H83" s="296">
        <f>Agriculture!M18</f>
        <v>4663248.9302325584</v>
      </c>
    </row>
    <row r="86" spans="2:8" x14ac:dyDescent="0.2">
      <c r="C86" s="192"/>
    </row>
  </sheetData>
  <mergeCells count="1">
    <mergeCell ref="C6:E6"/>
  </mergeCells>
  <dataValidations count="1">
    <dataValidation type="list" allowBlank="1" showInputMessage="1" showErrorMessage="1" sqref="B4">
      <formula1>Provinces</formula1>
    </dataValidation>
  </dataValidations>
  <pageMargins left="0.7" right="0.7" top="0.75" bottom="0.75" header="0.3" footer="0.3"/>
  <pageSetup paperSize="9" orientation="portrait" horizontalDpi="0" verticalDpi="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O45"/>
  <sheetViews>
    <sheetView showGridLines="0" topLeftCell="C1" workbookViewId="0">
      <pane xSplit="2" ySplit="6" topLeftCell="E7" activePane="bottomRight" state="frozen"/>
      <selection activeCell="H37" sqref="H37"/>
      <selection pane="topRight" activeCell="H37" sqref="H37"/>
      <selection pane="bottomLeft" activeCell="H37" sqref="H37"/>
      <selection pane="bottomRight" activeCell="H37" sqref="H37"/>
    </sheetView>
  </sheetViews>
  <sheetFormatPr defaultColWidth="8.85546875" defaultRowHeight="12.75" x14ac:dyDescent="0.2"/>
  <cols>
    <col min="1" max="1" width="3.7109375" style="5" hidden="1" customWidth="1"/>
    <col min="2" max="2" width="4.42578125" style="5" hidden="1" customWidth="1"/>
    <col min="3" max="3" width="9.140625" style="5" customWidth="1"/>
    <col min="4" max="4" width="30" style="5" bestFit="1" customWidth="1"/>
    <col min="5" max="9" width="16.85546875" style="5" customWidth="1"/>
    <col min="10" max="10" width="16.85546875" style="5" hidden="1" customWidth="1"/>
    <col min="11" max="12" width="8.85546875" style="5"/>
    <col min="13" max="13" width="14" style="366" bestFit="1" customWidth="1"/>
    <col min="14" max="15" width="12.85546875" style="366" bestFit="1" customWidth="1"/>
    <col min="16" max="16384" width="8.85546875" style="5"/>
  </cols>
  <sheetData>
    <row r="1" spans="1:15" ht="23.25" x14ac:dyDescent="0.35">
      <c r="B1" s="421"/>
      <c r="C1" s="109"/>
      <c r="D1" s="109" t="s">
        <v>1009</v>
      </c>
      <c r="E1" s="109"/>
      <c r="F1" s="109"/>
      <c r="G1" s="109"/>
      <c r="H1" s="109"/>
      <c r="I1" s="109"/>
      <c r="J1" s="109"/>
    </row>
    <row r="2" spans="1:15" x14ac:dyDescent="0.2">
      <c r="D2" s="418" t="str">
        <f>Summary!B4</f>
        <v>South Africa</v>
      </c>
      <c r="E2" s="5" t="s">
        <v>1337</v>
      </c>
    </row>
    <row r="4" spans="1:15" x14ac:dyDescent="0.2">
      <c r="E4" s="288"/>
      <c r="F4" s="289"/>
      <c r="G4" s="290"/>
      <c r="H4" s="291"/>
      <c r="I4" s="291"/>
      <c r="J4" s="292"/>
    </row>
    <row r="5" spans="1:15" x14ac:dyDescent="0.2">
      <c r="C5" s="389"/>
      <c r="E5" s="1130" t="s">
        <v>381</v>
      </c>
      <c r="F5" s="1130"/>
      <c r="G5" s="1130"/>
      <c r="H5" s="28" t="s">
        <v>382</v>
      </c>
      <c r="I5" s="29" t="s">
        <v>383</v>
      </c>
      <c r="J5" s="607" t="s">
        <v>1289</v>
      </c>
    </row>
    <row r="6" spans="1:15" x14ac:dyDescent="0.2">
      <c r="C6" s="389"/>
      <c r="E6" s="404" t="s">
        <v>385</v>
      </c>
      <c r="F6" s="404" t="s">
        <v>386</v>
      </c>
      <c r="G6" s="404" t="s">
        <v>1033</v>
      </c>
      <c r="H6" s="28" t="s">
        <v>385</v>
      </c>
      <c r="I6" s="28" t="s">
        <v>385</v>
      </c>
      <c r="J6" s="29" t="s">
        <v>385</v>
      </c>
    </row>
    <row r="7" spans="1:15" x14ac:dyDescent="0.2">
      <c r="B7" s="5" t="s">
        <v>984</v>
      </c>
      <c r="C7" s="389"/>
      <c r="D7" s="423" t="s">
        <v>945</v>
      </c>
      <c r="E7" s="424">
        <f>SUMIF(NDOH!$R:$R,$B7,NDOH!H:H)+SUMIF(PDOH!$R:$R,$B7,PDOH!H:H)+SUMIF('DM&amp;Metros'!$R:$R,$B7,'DM&amp;Metros'!H:H)+SUMIF(NDSD!$R:$R,$B7,NDSD!H:H)+SUMIF(PDSD!$R:$R,$B7,PDSD!H:H)+SUMIF(SASSA!$R:$R,$B7,SASSA!H:H)+SUMIF(Agriculture!$R:$R,$B7,Agriculture!H:H)</f>
        <v>26025523.812806435</v>
      </c>
      <c r="F7" s="424">
        <f>SUMIF(NDOH!$R:$R,$B7,NDOH!I:I)+SUMIF(PDOH!$R:$R,$B7,PDOH!I:I)+SUMIF('DM&amp;Metros'!$R:$R,$B7,'DM&amp;Metros'!I:I)+SUMIF(NDSD!$R:$R,$B7,NDSD!I:I)+SUMIF(PDSD!$R:$R,$B7,PDSD!I:I)+SUMIF(SASSA!$R:$R,$B7,SASSA!I:I)+SUMIF(Agriculture!$R:$R,$B7,Agriculture!I:I)</f>
        <v>27642877.561622951</v>
      </c>
      <c r="G7" s="424">
        <f>SUMIF(NDOH!$R:$R,$B7,NDOH!J:J)+SUMIF(PDOH!$R:$R,$B7,PDOH!J:J)+SUMIF('DM&amp;Metros'!$R:$R,$B7,'DM&amp;Metros'!J:J)+SUMIF(NDSD!$R:$R,$B7,NDSD!J:J)+SUMIF(PDSD!$R:$R,$B7,PDSD!J:J)+SUMIF(SASSA!$R:$R,$B7,SASSA!J:J)+SUMIF(Agriculture!$R:$R,$B7,Agriculture!J:J)</f>
        <v>29447419.246070556</v>
      </c>
      <c r="H7" s="424">
        <f>SUMIF(NDOH!$R:$R,$B7,NDOH!K:K)+SUMIF(PDOH!$R:$R,$B7,PDOH!K:K)+SUMIF('DM&amp;Metros'!$R:$R,$B7,'DM&amp;Metros'!K:K)+SUMIF(NDSD!$R:$R,$B7,NDSD!K:K)+SUMIF(PDSD!$R:$R,$B7,PDSD!K:K)+SUMIF(SASSA!$R:$R,$B7,SASSA!K:K)+SUMIF(Agriculture!$R:$R,$B7,Agriculture!K:K)</f>
        <v>23939069.750795592</v>
      </c>
      <c r="I7" s="424">
        <f>SUMIF(NDOH!$R:$R,$B7,NDOH!L:L)+SUMIF(PDOH!$R:$R,$B7,PDOH!L:L)+SUMIF('DM&amp;Metros'!$R:$R,$B7,'DM&amp;Metros'!L:L)+SUMIF(NDSD!$R:$R,$B7,NDSD!L:L)+SUMIF(PDSD!$R:$R,$B7,PDSD!L:L)+SUMIF(SASSA!$R:$R,$B7,SASSA!L:L)+SUMIF(Agriculture!$R:$R,$B7,Agriculture!L:L)</f>
        <v>26523379.411995225</v>
      </c>
      <c r="J7" s="424">
        <f>SUMIF(NDOH!$R:$R,$B7,NDOH!M:M)+SUMIF(PDOH!$R:$R,$B7,PDOH!M:M)+SUMIF('DM&amp;Metros'!$R:$R,$B7,'DM&amp;Metros'!M:M)+SUMIF(NDSD!$R:$R,$B7,NDSD!M:M)+SUMIF(PDSD!$R:$R,$B7,PDSD!M:M)+SUMIF(SASSA!$R:$R,$B7,SASSA!M:M)+SUMIF(Agriculture!$R:$R,$B7,Agriculture!M:M)</f>
        <v>24567210.276962057</v>
      </c>
      <c r="M7" s="366">
        <f>E7-SUM(E8:E11)</f>
        <v>0</v>
      </c>
      <c r="N7" s="366">
        <f t="shared" ref="N7:O7" si="0">F7-SUM(F8:F11)</f>
        <v>0</v>
      </c>
      <c r="O7" s="366">
        <f t="shared" si="0"/>
        <v>0</v>
      </c>
    </row>
    <row r="8" spans="1:15" x14ac:dyDescent="0.2">
      <c r="A8" s="5" t="str">
        <f>CONCATENATE(B8,$B$7)</f>
        <v>COEPM</v>
      </c>
      <c r="B8" s="260" t="s">
        <v>865</v>
      </c>
      <c r="C8" s="389"/>
      <c r="D8" s="6" t="s">
        <v>596</v>
      </c>
      <c r="E8" s="215">
        <f>SUMIF(NDOH!$S:$S,$A8,NDOH!H:H)+SUMIF(PDOH!$S:$S,$A8,PDOH!H:H)+SUMIF('DM&amp;Metros'!$S:$S,$A8,'DM&amp;Metros'!H:H)+SUMIF(NDSD!$S:$S,$A8,NDSD!H:H)+SUMIF(PDSD!$S:$S,$A8,PDSD!H:H)+SUMIF(SASSA!$S:$S,$A8,SASSA!H:H)+SUMIF(Agriculture!$S:$S,$A8,Agriculture!H:H)</f>
        <v>24087562.757841673</v>
      </c>
      <c r="F8" s="215">
        <f>SUMIF(NDOH!$S:$S,$A8,NDOH!I:I)+SUMIF(PDOH!$S:$S,$A8,PDOH!I:I)+SUMIF('DM&amp;Metros'!$S:$S,$A8,'DM&amp;Metros'!I:I)+SUMIF(NDSD!$S:$S,$A8,NDSD!I:I)+SUMIF(PDSD!$S:$S,$A8,PDSD!I:I)+SUMIF(SASSA!$S:$S,$A8,SASSA!I:I)+SUMIF(Agriculture!$S:$S,$A8,Agriculture!I:I)</f>
        <v>25677111.327580158</v>
      </c>
      <c r="G8" s="215">
        <f>SUMIF(NDOH!$S:$S,$A8,NDOH!J:J)+SUMIF(PDOH!$S:$S,$A8,PDOH!J:J)+SUMIF('DM&amp;Metros'!$S:$S,$A8,'DM&amp;Metros'!J:J)+SUMIF(NDSD!$S:$S,$A8,NDSD!J:J)+SUMIF(PDSD!$S:$S,$A8,PDSD!J:J)+SUMIF(SASSA!$S:$S,$A8,SASSA!J:J)+SUMIF(Agriculture!$S:$S,$A8,Agriculture!J:J)</f>
        <v>27371570.10292137</v>
      </c>
      <c r="H8" s="215">
        <f>SUMIF(NDOH!$S:$S,$A8,NDOH!K:K)+SUMIF(PDOH!$S:$S,$A8,PDOH!K:K)+SUMIF('DM&amp;Metros'!$S:$S,$A8,'DM&amp;Metros'!K:K)+SUMIF(NDSD!$S:$S,$A8,NDSD!K:K)+SUMIF(PDSD!$S:$S,$A8,PDSD!K:K)+SUMIF(SASSA!$S:$S,$A8,SASSA!K:K)+SUMIF(Agriculture!$S:$S,$A8,Agriculture!K:K)</f>
        <v>22380481.707268544</v>
      </c>
      <c r="I8" s="215">
        <f>SUMIF(NDOH!$S:$S,$A8,NDOH!L:L)+SUMIF(PDOH!$S:$S,$A8,PDOH!L:L)+SUMIF('DM&amp;Metros'!$S:$S,$A8,'DM&amp;Metros'!L:L)+SUMIF(NDSD!$S:$S,$A8,NDSD!L:L)+SUMIF(PDSD!$S:$S,$A8,PDSD!L:L)+SUMIF(SASSA!$S:$S,$A8,SASSA!L:L)+SUMIF(Agriculture!$S:$S,$A8,Agriculture!L:L)</f>
        <v>24494711.592057884</v>
      </c>
      <c r="J8" s="215">
        <f>SUMIF(NDOH!$S:$S,$A8,NDOH!M:M)+SUMIF(PDOH!$S:$S,$A8,PDOH!M:M)+SUMIF('DM&amp;Metros'!$S:$S,$A8,'DM&amp;Metros'!M:M)+SUMIF(NDSD!$S:$S,$A8,NDSD!M:M)+SUMIF(PDSD!$S:$S,$A8,PDSD!M:M)+SUMIF(SASSA!$S:$S,$A8,SASSA!M:M)+SUMIF(Agriculture!$S:$S,$A8,Agriculture!M:M)</f>
        <v>23011395.290588029</v>
      </c>
    </row>
    <row r="9" spans="1:15" x14ac:dyDescent="0.2">
      <c r="A9" s="5" t="str">
        <f t="shared" ref="A9:A11" si="1">CONCATENATE(B9,$B$7)</f>
        <v>GSPM</v>
      </c>
      <c r="B9" s="260" t="s">
        <v>866</v>
      </c>
      <c r="C9" s="389"/>
      <c r="D9" s="6" t="s">
        <v>597</v>
      </c>
      <c r="E9" s="215">
        <f>SUMIF(NDOH!$S:$S,$A9,NDOH!H:H)+SUMIF(PDOH!$S:$S,$A9,PDOH!H:H)+SUMIF('DM&amp;Metros'!$S:$S,$A9,'DM&amp;Metros'!H:H)+SUMIF(NDSD!$S:$S,$A9,NDSD!H:H)+SUMIF(PDSD!$S:$S,$A9,PDSD!H:H)+SUMIF(SASSA!$S:$S,$A9,SASSA!H:H)+SUMIF(Agriculture!$S:$S,$A9,Agriculture!H:H)</f>
        <v>1937961.0549647645</v>
      </c>
      <c r="F9" s="215">
        <f>SUMIF(NDOH!$S:$S,$A9,NDOH!I:I)+SUMIF(PDOH!$S:$S,$A9,PDOH!I:I)+SUMIF('DM&amp;Metros'!$S:$S,$A9,'DM&amp;Metros'!I:I)+SUMIF(NDSD!$S:$S,$A9,NDSD!I:I)+SUMIF(PDSD!$S:$S,$A9,PDSD!I:I)+SUMIF(SASSA!$S:$S,$A9,SASSA!I:I)+SUMIF(Agriculture!$S:$S,$A9,Agriculture!I:I)</f>
        <v>1965766.2340427916</v>
      </c>
      <c r="G9" s="215">
        <f>SUMIF(NDOH!$S:$S,$A9,NDOH!J:J)+SUMIF(PDOH!$S:$S,$A9,PDOH!J:J)+SUMIF('DM&amp;Metros'!$S:$S,$A9,'DM&amp;Metros'!J:J)+SUMIF(NDSD!$S:$S,$A9,NDSD!J:J)+SUMIF(PDSD!$S:$S,$A9,PDSD!J:J)+SUMIF(SASSA!$S:$S,$A9,SASSA!J:J)+SUMIF(Agriculture!$S:$S,$A9,Agriculture!J:J)</f>
        <v>2075849.143149188</v>
      </c>
      <c r="H9" s="215">
        <f>SUMIF(NDOH!$S:$S,$A9,NDOH!K:K)+SUMIF(PDOH!$S:$S,$A9,PDOH!K:K)+SUMIF('DM&amp;Metros'!$S:$S,$A9,'DM&amp;Metros'!K:K)+SUMIF(NDSD!$S:$S,$A9,NDSD!K:K)+SUMIF(PDSD!$S:$S,$A9,PDSD!K:K)+SUMIF(SASSA!$S:$S,$A9,SASSA!K:K)+SUMIF(Agriculture!$S:$S,$A9,Agriculture!K:K)</f>
        <v>1558588.0435270469</v>
      </c>
      <c r="I9" s="215">
        <f>SUMIF(NDOH!$S:$S,$A9,NDOH!L:L)+SUMIF(PDOH!$S:$S,$A9,PDOH!L:L)+SUMIF('DM&amp;Metros'!$S:$S,$A9,'DM&amp;Metros'!L:L)+SUMIF(NDSD!$S:$S,$A9,NDSD!L:L)+SUMIF(PDSD!$S:$S,$A9,PDSD!L:L)+SUMIF(SASSA!$S:$S,$A9,SASSA!L:L)+SUMIF(Agriculture!$S:$S,$A9,Agriculture!L:L)</f>
        <v>2028667.8199373428</v>
      </c>
      <c r="J9" s="215">
        <f>SUMIF(NDOH!$S:$S,$A9,NDOH!M:M)+SUMIF(PDOH!$S:$S,$A9,PDOH!M:M)+SUMIF('DM&amp;Metros'!$S:$S,$A9,'DM&amp;Metros'!M:M)+SUMIF(NDSD!$S:$S,$A9,NDSD!M:M)+SUMIF(PDSD!$S:$S,$A9,PDSD!M:M)+SUMIF(SASSA!$S:$S,$A9,SASSA!M:M)+SUMIF(Agriculture!$S:$S,$A9,Agriculture!M:M)</f>
        <v>1555814.9863740271</v>
      </c>
    </row>
    <row r="10" spans="1:15" x14ac:dyDescent="0.2">
      <c r="A10" s="5" t="str">
        <f t="shared" si="1"/>
        <v>MSPM</v>
      </c>
      <c r="B10" s="260" t="s">
        <v>864</v>
      </c>
      <c r="C10" s="389"/>
      <c r="D10" s="6" t="s">
        <v>998</v>
      </c>
      <c r="E10" s="215">
        <f>SUMIF(NDOH!$S:$S,$A10,NDOH!H:H)+SUMIF(PDOH!$S:$S,$A10,PDOH!H:H)+SUMIF('DM&amp;Metros'!$S:$S,$A10,'DM&amp;Metros'!H:H)+SUMIF(NDSD!$S:$S,$A10,NDSD!H:H)+SUMIF(PDSD!$S:$S,$A10,PDSD!H:H)+SUMIF(SASSA!$S:$S,$A10,SASSA!H:H)+SUMIF(Agriculture!$S:$S,$A10,Agriculture!H:H)</f>
        <v>0</v>
      </c>
      <c r="F10" s="215">
        <f>SUMIF(NDOH!$S:$S,$A10,NDOH!I:I)+SUMIF(PDOH!$S:$S,$A10,PDOH!I:I)+SUMIF('DM&amp;Metros'!$S:$S,$A10,'DM&amp;Metros'!I:I)+SUMIF(NDSD!$S:$S,$A10,NDSD!I:I)+SUMIF(PDSD!$S:$S,$A10,PDSD!I:I)+SUMIF(SASSA!$S:$S,$A10,SASSA!I:I)+SUMIF(Agriculture!$S:$S,$A10,Agriculture!I:I)</f>
        <v>0</v>
      </c>
      <c r="G10" s="215">
        <f>SUMIF(NDOH!$S:$S,$A10,NDOH!J:J)+SUMIF(PDOH!$S:$S,$A10,PDOH!J:J)+SUMIF('DM&amp;Metros'!$S:$S,$A10,'DM&amp;Metros'!J:J)+SUMIF(NDSD!$S:$S,$A10,NDSD!J:J)+SUMIF(PDSD!$S:$S,$A10,PDSD!J:J)+SUMIF(SASSA!$S:$S,$A10,SASSA!J:J)+SUMIF(Agriculture!$S:$S,$A10,Agriculture!J:J)</f>
        <v>0</v>
      </c>
      <c r="H10" s="215">
        <f>SUMIF(NDOH!$S:$S,$A10,NDOH!K:K)+SUMIF(PDOH!$S:$S,$A10,PDOH!K:K)+SUMIF('DM&amp;Metros'!$S:$S,$A10,'DM&amp;Metros'!K:K)+SUMIF(NDSD!$S:$S,$A10,NDSD!K:K)+SUMIF(PDSD!$S:$S,$A10,PDSD!K:K)+SUMIF(SASSA!$S:$S,$A10,SASSA!K:K)+SUMIF(Agriculture!$S:$S,$A10,Agriculture!K:K)</f>
        <v>0</v>
      </c>
      <c r="I10" s="215">
        <f>SUMIF(NDOH!$S:$S,$A10,NDOH!L:L)+SUMIF(PDOH!$S:$S,$A10,PDOH!L:L)+SUMIF('DM&amp;Metros'!$S:$S,$A10,'DM&amp;Metros'!L:L)+SUMIF(NDSD!$S:$S,$A10,NDSD!L:L)+SUMIF(PDSD!$S:$S,$A10,PDSD!L:L)+SUMIF(SASSA!$S:$S,$A10,SASSA!L:L)+SUMIF(Agriculture!$S:$S,$A10,Agriculture!L:L)</f>
        <v>0</v>
      </c>
      <c r="J10" s="215">
        <f>SUMIF(NDOH!$S:$S,$A10,NDOH!M:M)+SUMIF(PDOH!$S:$S,$A10,PDOH!M:M)+SUMIF('DM&amp;Metros'!$S:$S,$A10,'DM&amp;Metros'!M:M)+SUMIF(NDSD!$S:$S,$A10,NDSD!M:M)+SUMIF(PDSD!$S:$S,$A10,PDSD!M:M)+SUMIF(SASSA!$S:$S,$A10,SASSA!M:M)+SUMIF(Agriculture!$S:$S,$A10,Agriculture!M:M)</f>
        <v>0</v>
      </c>
    </row>
    <row r="11" spans="1:15" x14ac:dyDescent="0.2">
      <c r="A11" s="5" t="str">
        <f t="shared" si="1"/>
        <v>TSPM</v>
      </c>
      <c r="B11" s="260" t="s">
        <v>992</v>
      </c>
      <c r="C11" s="389"/>
      <c r="D11" s="6" t="s">
        <v>756</v>
      </c>
      <c r="E11" s="215">
        <f>SUMIF(NDOH!$S:$S,$A11,NDOH!H:H)+SUMIF(PDOH!$S:$S,$A11,PDOH!H:H)+SUMIF('DM&amp;Metros'!$S:$S,$A11,'DM&amp;Metros'!H:H)+SUMIF(NDSD!$S:$S,$A11,NDSD!H:H)+SUMIF(PDSD!$S:$S,$A11,PDSD!H:H)+SUMIF(SASSA!$S:$S,$A11,SASSA!H:H)+SUMIF(Agriculture!$S:$S,$A11,Agriculture!H:H)</f>
        <v>0</v>
      </c>
      <c r="F11" s="215">
        <f>SUMIF(NDOH!$S:$S,$A11,NDOH!I:I)+SUMIF(PDOH!$S:$S,$A11,PDOH!I:I)+SUMIF('DM&amp;Metros'!$S:$S,$A11,'DM&amp;Metros'!I:I)+SUMIF(NDSD!$S:$S,$A11,NDSD!I:I)+SUMIF(PDSD!$S:$S,$A11,PDSD!I:I)+SUMIF(SASSA!$S:$S,$A11,SASSA!I:I)+SUMIF(Agriculture!$S:$S,$A11,Agriculture!I:I)</f>
        <v>0</v>
      </c>
      <c r="G11" s="215">
        <f>SUMIF(NDOH!$S:$S,$A11,NDOH!J:J)+SUMIF(PDOH!$S:$S,$A11,PDOH!J:J)+SUMIF('DM&amp;Metros'!$S:$S,$A11,'DM&amp;Metros'!J:J)+SUMIF(NDSD!$S:$S,$A11,NDSD!J:J)+SUMIF(PDSD!$S:$S,$A11,PDSD!J:J)+SUMIF(SASSA!$S:$S,$A11,SASSA!J:J)+SUMIF(Agriculture!$S:$S,$A11,Agriculture!J:J)</f>
        <v>0</v>
      </c>
      <c r="H11" s="215">
        <f>SUMIF(NDOH!$S:$S,$A11,NDOH!K:K)+SUMIF(PDOH!$S:$S,$A11,PDOH!K:K)+SUMIF('DM&amp;Metros'!$S:$S,$A11,'DM&amp;Metros'!K:K)+SUMIF(NDSD!$S:$S,$A11,NDSD!K:K)+SUMIF(PDSD!$S:$S,$A11,PDSD!K:K)+SUMIF(SASSA!$S:$S,$A11,SASSA!K:K)+SUMIF(Agriculture!$S:$S,$A11,Agriculture!K:K)</f>
        <v>0</v>
      </c>
      <c r="I11" s="215">
        <f>SUMIF(NDOH!$S:$S,$A11,NDOH!L:L)+SUMIF(PDOH!$S:$S,$A11,PDOH!L:L)+SUMIF('DM&amp;Metros'!$S:$S,$A11,'DM&amp;Metros'!L:L)+SUMIF(NDSD!$S:$S,$A11,NDSD!L:L)+SUMIF(PDSD!$S:$S,$A11,PDSD!L:L)+SUMIF(SASSA!$S:$S,$A11,SASSA!L:L)+SUMIF(Agriculture!$S:$S,$A11,Agriculture!L:L)</f>
        <v>0</v>
      </c>
      <c r="J11" s="215">
        <f>SUMIF(NDOH!$S:$S,$A11,NDOH!M:M)+SUMIF(PDOH!$S:$S,$A11,PDOH!M:M)+SUMIF('DM&amp;Metros'!$S:$S,$A11,'DM&amp;Metros'!M:M)+SUMIF(NDSD!$S:$S,$A11,NDSD!M:M)+SUMIF(PDSD!$S:$S,$A11,PDSD!M:M)+SUMIF(SASSA!$S:$S,$A11,SASSA!M:M)+SUMIF(Agriculture!$S:$S,$A11,Agriculture!M:M)</f>
        <v>0</v>
      </c>
    </row>
    <row r="12" spans="1:15" x14ac:dyDescent="0.2">
      <c r="B12" s="5" t="s">
        <v>985</v>
      </c>
      <c r="C12" s="389"/>
      <c r="D12" s="423" t="s">
        <v>946</v>
      </c>
      <c r="E12" s="424">
        <f>SUMIF(NDOH!$R:$R,$B12,NDOH!H:H)+SUMIF(PDOH!$R:$R,$B12,PDOH!H:H)+SUMIF('DM&amp;Metros'!$R:$R,$B12,'DM&amp;Metros'!H:H)+SUMIF(NDSD!$R:$R,$B12,NDSD!H:H)+SUMIF(PDSD!$R:$R,$B12,PDSD!H:H)+SUMIF(SASSA!$R:$R,$B12,SASSA!H:H)+SUMIF(Agriculture!$R:$R,$B12,Agriculture!H:H)</f>
        <v>176224817.26128435</v>
      </c>
      <c r="F12" s="424">
        <f>SUMIF(NDOH!$R:$R,$B12,NDOH!I:I)+SUMIF(PDOH!$R:$R,$B12,PDOH!I:I)+SUMIF('DM&amp;Metros'!$R:$R,$B12,'DM&amp;Metros'!I:I)+SUMIF(NDSD!$R:$R,$B12,NDSD!I:I)+SUMIF(PDSD!$R:$R,$B12,PDSD!I:I)+SUMIF(SASSA!$R:$R,$B12,SASSA!I:I)+SUMIF(Agriculture!$R:$R,$B12,Agriculture!I:I)</f>
        <v>186106950.88173354</v>
      </c>
      <c r="G12" s="424">
        <f>SUMIF(NDOH!$R:$R,$B12,NDOH!J:J)+SUMIF(PDOH!$R:$R,$B12,PDOH!J:J)+SUMIF('DM&amp;Metros'!$R:$R,$B12,'DM&amp;Metros'!J:J)+SUMIF(NDSD!$R:$R,$B12,NDSD!J:J)+SUMIF(PDSD!$R:$R,$B12,PDSD!J:J)+SUMIF(SASSA!$R:$R,$B12,SASSA!J:J)+SUMIF(Agriculture!$R:$R,$B12,Agriculture!J:J)</f>
        <v>196543377.87927973</v>
      </c>
      <c r="H12" s="424">
        <f>SUMIF(NDOH!$R:$R,$B12,NDOH!K:K)+SUMIF(PDOH!$R:$R,$B12,PDOH!K:K)+SUMIF('DM&amp;Metros'!$R:$R,$B12,'DM&amp;Metros'!K:K)+SUMIF(NDSD!$R:$R,$B12,NDSD!K:K)+SUMIF(PDSD!$R:$R,$B12,PDSD!K:K)+SUMIF(SASSA!$R:$R,$B12,SASSA!K:K)+SUMIF(Agriculture!$R:$R,$B12,Agriculture!K:K)</f>
        <v>145982580.02501512</v>
      </c>
      <c r="I12" s="424">
        <f>SUMIF(NDOH!$R:$R,$B12,NDOH!L:L)+SUMIF(PDOH!$R:$R,$B12,PDOH!L:L)+SUMIF('DM&amp;Metros'!$R:$R,$B12,'DM&amp;Metros'!L:L)+SUMIF(NDSD!$R:$R,$B12,NDSD!L:L)+SUMIF(PDSD!$R:$R,$B12,PDSD!L:L)+SUMIF(SASSA!$R:$R,$B12,SASSA!L:L)+SUMIF(Agriculture!$R:$R,$B12,Agriculture!L:L)</f>
        <v>179190261.52397168</v>
      </c>
      <c r="J12" s="424">
        <f>SUMIF(NDOH!$R:$R,$B12,NDOH!M:M)+SUMIF(PDOH!$R:$R,$B12,PDOH!M:M)+SUMIF('DM&amp;Metros'!$R:$R,$B12,'DM&amp;Metros'!M:M)+SUMIF(NDSD!$R:$R,$B12,NDSD!M:M)+SUMIF(PDSD!$R:$R,$B12,PDSD!M:M)+SUMIF(SASSA!$R:$R,$B12,SASSA!M:M)+SUMIF(Agriculture!$R:$R,$B12,Agriculture!M:M)</f>
        <v>175460845.74465516</v>
      </c>
      <c r="M12" s="366">
        <f>E12-SUM(E13:E16)</f>
        <v>0</v>
      </c>
      <c r="N12" s="366">
        <f t="shared" ref="N12" si="2">F12-SUM(F13:F16)</f>
        <v>0</v>
      </c>
      <c r="O12" s="366">
        <f t="shared" ref="O12" si="3">G12-SUM(G13:G16)</f>
        <v>0</v>
      </c>
    </row>
    <row r="13" spans="1:15" x14ac:dyDescent="0.2">
      <c r="A13" s="5" t="str">
        <f>CONCATENATE(B13,$B$12)</f>
        <v>COEEC</v>
      </c>
      <c r="B13" s="260" t="s">
        <v>865</v>
      </c>
      <c r="C13" s="389"/>
      <c r="D13" s="6" t="s">
        <v>596</v>
      </c>
      <c r="E13" s="215">
        <f>SUMIF(NDOH!$S:$S,$A13,NDOH!H:H)+SUMIF(PDOH!$S:$S,$A13,PDOH!H:H)+SUMIF('DM&amp;Metros'!$S:$S,$A13,'DM&amp;Metros'!H:H)+SUMIF(NDSD!$S:$S,$A13,NDSD!H:H)+SUMIF(PDSD!$S:$S,$A13,PDSD!H:H)+SUMIF(SASSA!$S:$S,$A13,SASSA!H:H)+SUMIF(Agriculture!$S:$S,$A13,Agriculture!H:H)</f>
        <v>1354385.3817219452</v>
      </c>
      <c r="F13" s="215">
        <f>SUMIF(NDOH!$S:$S,$A13,NDOH!I:I)+SUMIF(PDOH!$S:$S,$A13,PDOH!I:I)+SUMIF('DM&amp;Metros'!$S:$S,$A13,'DM&amp;Metros'!I:I)+SUMIF(NDSD!$S:$S,$A13,NDSD!I:I)+SUMIF(PDSD!$S:$S,$A13,PDSD!I:I)+SUMIF(SASSA!$S:$S,$A13,SASSA!I:I)+SUMIF(Agriculture!$S:$S,$A13,Agriculture!I:I)</f>
        <v>1443774.8169155936</v>
      </c>
      <c r="G13" s="215">
        <f>SUMIF(NDOH!$S:$S,$A13,NDOH!J:J)+SUMIF(PDOH!$S:$S,$A13,PDOH!J:J)+SUMIF('DM&amp;Metros'!$S:$S,$A13,'DM&amp;Metros'!J:J)+SUMIF(NDSD!$S:$S,$A13,NDSD!J:J)+SUMIF(PDSD!$S:$S,$A13,PDSD!J:J)+SUMIF(SASSA!$S:$S,$A13,SASSA!J:J)+SUMIF(Agriculture!$S:$S,$A13,Agriculture!J:J)</f>
        <v>1539063.954832023</v>
      </c>
      <c r="H13" s="215">
        <f>SUMIF(NDOH!$S:$S,$A13,NDOH!K:K)+SUMIF(PDOH!$S:$S,$A13,PDOH!K:K)+SUMIF('DM&amp;Metros'!$S:$S,$A13,'DM&amp;Metros'!K:K)+SUMIF(NDSD!$S:$S,$A13,NDSD!K:K)+SUMIF(PDSD!$S:$S,$A13,PDSD!K:K)+SUMIF(SASSA!$S:$S,$A13,SASSA!K:K)+SUMIF(Agriculture!$S:$S,$A13,Agriculture!K:K)</f>
        <v>1354385.3817219452</v>
      </c>
      <c r="I13" s="215">
        <f>SUMIF(NDOH!$S:$S,$A13,NDOH!L:L)+SUMIF(PDOH!$S:$S,$A13,PDOH!L:L)+SUMIF('DM&amp;Metros'!$S:$S,$A13,'DM&amp;Metros'!L:L)+SUMIF(NDSD!$S:$S,$A13,NDSD!L:L)+SUMIF(PDSD!$S:$S,$A13,PDSD!L:L)+SUMIF(SASSA!$S:$S,$A13,SASSA!L:L)+SUMIF(Agriculture!$S:$S,$A13,Agriculture!L:L)</f>
        <v>1354385.3817219452</v>
      </c>
      <c r="J13" s="215">
        <f>SUMIF(NDOH!$S:$S,$A13,NDOH!M:M)+SUMIF(PDOH!$S:$S,$A13,PDOH!M:M)+SUMIF('DM&amp;Metros'!$S:$S,$A13,'DM&amp;Metros'!M:M)+SUMIF(NDSD!$S:$S,$A13,NDSD!M:M)+SUMIF(PDSD!$S:$S,$A13,PDSD!M:M)+SUMIF(SASSA!$S:$S,$A13,SASSA!M:M)+SUMIF(Agriculture!$S:$S,$A13,Agriculture!M:M)</f>
        <v>1354385.3817219452</v>
      </c>
      <c r="L13" s="793"/>
    </row>
    <row r="14" spans="1:15" x14ac:dyDescent="0.2">
      <c r="A14" s="5" t="str">
        <f t="shared" ref="A14:A16" si="4">CONCATENATE(B14,$B$12)</f>
        <v>GSEC</v>
      </c>
      <c r="B14" s="260" t="s">
        <v>866</v>
      </c>
      <c r="C14" s="389"/>
      <c r="D14" s="6" t="s">
        <v>597</v>
      </c>
      <c r="E14" s="215">
        <f>SUMIF(NDOH!$S:$S,$A14,NDOH!H:H)+SUMIF(PDOH!$S:$S,$A14,PDOH!H:H)+SUMIF('DM&amp;Metros'!$S:$S,$A14,'DM&amp;Metros'!H:H)+SUMIF(NDSD!$S:$S,$A14,NDSD!H:H)+SUMIF(PDSD!$S:$S,$A14,PDSD!H:H)+SUMIF(SASSA!$S:$S,$A14,SASSA!H:H)+SUMIF(Agriculture!$S:$S,$A14,Agriculture!H:H)</f>
        <v>174870431.87956241</v>
      </c>
      <c r="F14" s="215">
        <f>SUMIF(NDOH!$S:$S,$A14,NDOH!I:I)+SUMIF(PDOH!$S:$S,$A14,PDOH!I:I)+SUMIF('DM&amp;Metros'!$S:$S,$A14,'DM&amp;Metros'!I:I)+SUMIF(NDSD!$S:$S,$A14,NDSD!I:I)+SUMIF(PDSD!$S:$S,$A14,PDSD!I:I)+SUMIF(SASSA!$S:$S,$A14,SASSA!I:I)+SUMIF(Agriculture!$S:$S,$A14,Agriculture!I:I)</f>
        <v>184663176.06481794</v>
      </c>
      <c r="G14" s="215">
        <f>SUMIF(NDOH!$S:$S,$A14,NDOH!J:J)+SUMIF(PDOH!$S:$S,$A14,PDOH!J:J)+SUMIF('DM&amp;Metros'!$S:$S,$A14,'DM&amp;Metros'!J:J)+SUMIF(NDSD!$S:$S,$A14,NDSD!J:J)+SUMIF(PDSD!$S:$S,$A14,PDSD!J:J)+SUMIF(SASSA!$S:$S,$A14,SASSA!J:J)+SUMIF(Agriculture!$S:$S,$A14,Agriculture!J:J)</f>
        <v>195004313.92444772</v>
      </c>
      <c r="H14" s="215">
        <f>SUMIF(NDOH!$S:$S,$A14,NDOH!K:K)+SUMIF(PDOH!$S:$S,$A14,PDOH!K:K)+SUMIF('DM&amp;Metros'!$S:$S,$A14,'DM&amp;Metros'!K:K)+SUMIF(NDSD!$S:$S,$A14,NDSD!K:K)+SUMIF(PDSD!$S:$S,$A14,PDSD!K:K)+SUMIF(SASSA!$S:$S,$A14,SASSA!K:K)+SUMIF(Agriculture!$S:$S,$A14,Agriculture!K:K)</f>
        <v>144628194.64329317</v>
      </c>
      <c r="I14" s="215">
        <f>SUMIF(NDOH!$S:$S,$A14,NDOH!L:L)+SUMIF(PDOH!$S:$S,$A14,PDOH!L:L)+SUMIF('DM&amp;Metros'!$S:$S,$A14,'DM&amp;Metros'!L:L)+SUMIF(NDSD!$S:$S,$A14,NDSD!L:L)+SUMIF(PDSD!$S:$S,$A14,PDSD!L:L)+SUMIF(SASSA!$S:$S,$A14,SASSA!L:L)+SUMIF(Agriculture!$S:$S,$A14,Agriculture!L:L)</f>
        <v>177835876.14224973</v>
      </c>
      <c r="J14" s="215">
        <f>SUMIF(NDOH!$S:$S,$A14,NDOH!M:M)+SUMIF(PDOH!$S:$S,$A14,PDOH!M:M)+SUMIF('DM&amp;Metros'!$S:$S,$A14,'DM&amp;Metros'!M:M)+SUMIF(NDSD!$S:$S,$A14,NDSD!M:M)+SUMIF(PDSD!$S:$S,$A14,PDSD!M:M)+SUMIF(SASSA!$S:$S,$A14,SASSA!M:M)+SUMIF(Agriculture!$S:$S,$A14,Agriculture!M:M)</f>
        <v>174106460.36293322</v>
      </c>
    </row>
    <row r="15" spans="1:15" x14ac:dyDescent="0.2">
      <c r="A15" s="5" t="str">
        <f t="shared" si="4"/>
        <v>MSEC</v>
      </c>
      <c r="B15" s="260" t="s">
        <v>864</v>
      </c>
      <c r="C15" s="389"/>
      <c r="D15" s="6" t="s">
        <v>998</v>
      </c>
      <c r="E15" s="215">
        <f>SUMIF(NDOH!$S:$S,$A15,NDOH!H:H)+SUMIF(PDOH!$S:$S,$A15,PDOH!H:H)+SUMIF('DM&amp;Metros'!$S:$S,$A15,'DM&amp;Metros'!H:H)+SUMIF(NDSD!$S:$S,$A15,NDSD!H:H)+SUMIF(PDSD!$S:$S,$A15,PDSD!H:H)+SUMIF(SASSA!$S:$S,$A15,SASSA!H:H)+SUMIF(Agriculture!$S:$S,$A15,Agriculture!H:H)</f>
        <v>0</v>
      </c>
      <c r="F15" s="215">
        <f>SUMIF(NDOH!$S:$S,$A15,NDOH!I:I)+SUMIF(PDOH!$S:$S,$A15,PDOH!I:I)+SUMIF('DM&amp;Metros'!$S:$S,$A15,'DM&amp;Metros'!I:I)+SUMIF(NDSD!$S:$S,$A15,NDSD!I:I)+SUMIF(PDSD!$S:$S,$A15,PDSD!I:I)+SUMIF(SASSA!$S:$S,$A15,SASSA!I:I)+SUMIF(Agriculture!$S:$S,$A15,Agriculture!I:I)</f>
        <v>0</v>
      </c>
      <c r="G15" s="215">
        <f>SUMIF(NDOH!$S:$S,$A15,NDOH!J:J)+SUMIF(PDOH!$S:$S,$A15,PDOH!J:J)+SUMIF('DM&amp;Metros'!$S:$S,$A15,'DM&amp;Metros'!J:J)+SUMIF(NDSD!$S:$S,$A15,NDSD!J:J)+SUMIF(PDSD!$S:$S,$A15,PDSD!J:J)+SUMIF(SASSA!$S:$S,$A15,SASSA!J:J)+SUMIF(Agriculture!$S:$S,$A15,Agriculture!J:J)</f>
        <v>0</v>
      </c>
      <c r="H15" s="215">
        <f>SUMIF(NDOH!$S:$S,$A15,NDOH!K:K)+SUMIF(PDOH!$S:$S,$A15,PDOH!K:K)+SUMIF('DM&amp;Metros'!$S:$S,$A15,'DM&amp;Metros'!K:K)+SUMIF(NDSD!$S:$S,$A15,NDSD!K:K)+SUMIF(PDSD!$S:$S,$A15,PDSD!K:K)+SUMIF(SASSA!$S:$S,$A15,SASSA!K:K)+SUMIF(Agriculture!$S:$S,$A15,Agriculture!K:K)</f>
        <v>0</v>
      </c>
      <c r="I15" s="215">
        <f>SUMIF(NDOH!$S:$S,$A15,NDOH!L:L)+SUMIF(PDOH!$S:$S,$A15,PDOH!L:L)+SUMIF('DM&amp;Metros'!$S:$S,$A15,'DM&amp;Metros'!L:L)+SUMIF(NDSD!$S:$S,$A15,NDSD!L:L)+SUMIF(PDSD!$S:$S,$A15,PDSD!L:L)+SUMIF(SASSA!$S:$S,$A15,SASSA!L:L)+SUMIF(Agriculture!$S:$S,$A15,Agriculture!L:L)</f>
        <v>0</v>
      </c>
      <c r="J15" s="215">
        <f>SUMIF(NDOH!$S:$S,$A15,NDOH!M:M)+SUMIF(PDOH!$S:$S,$A15,PDOH!M:M)+SUMIF('DM&amp;Metros'!$S:$S,$A15,'DM&amp;Metros'!M:M)+SUMIF(NDSD!$S:$S,$A15,NDSD!M:M)+SUMIF(PDSD!$S:$S,$A15,PDSD!M:M)+SUMIF(SASSA!$S:$S,$A15,SASSA!M:M)+SUMIF(Agriculture!$S:$S,$A15,Agriculture!M:M)</f>
        <v>0</v>
      </c>
    </row>
    <row r="16" spans="1:15" x14ac:dyDescent="0.2">
      <c r="A16" s="5" t="str">
        <f t="shared" si="4"/>
        <v>TSEC</v>
      </c>
      <c r="B16" s="260" t="s">
        <v>992</v>
      </c>
      <c r="C16" s="389"/>
      <c r="D16" s="6" t="s">
        <v>756</v>
      </c>
      <c r="E16" s="215">
        <f>SUMIF(NDOH!$S:$S,$A16,NDOH!H:H)+SUMIF(PDOH!$S:$S,$A16,PDOH!H:H)+SUMIF('DM&amp;Metros'!$S:$S,$A16,'DM&amp;Metros'!H:H)+SUMIF(NDSD!$S:$S,$A16,NDSD!H:H)+SUMIF(PDSD!$S:$S,$A16,PDSD!H:H)+SUMIF(SASSA!$S:$S,$A16,SASSA!H:H)+SUMIF(Agriculture!$S:$S,$A16,Agriculture!H:H)</f>
        <v>0</v>
      </c>
      <c r="F16" s="215">
        <f>SUMIF(NDOH!$S:$S,$A16,NDOH!I:I)+SUMIF(PDOH!$S:$S,$A16,PDOH!I:I)+SUMIF('DM&amp;Metros'!$S:$S,$A16,'DM&amp;Metros'!I:I)+SUMIF(NDSD!$S:$S,$A16,NDSD!I:I)+SUMIF(PDSD!$S:$S,$A16,PDSD!I:I)+SUMIF(SASSA!$S:$S,$A16,SASSA!I:I)+SUMIF(Agriculture!$S:$S,$A16,Agriculture!I:I)</f>
        <v>0</v>
      </c>
      <c r="G16" s="215">
        <f>SUMIF(NDOH!$S:$S,$A16,NDOH!J:J)+SUMIF(PDOH!$S:$S,$A16,PDOH!J:J)+SUMIF('DM&amp;Metros'!$S:$S,$A16,'DM&amp;Metros'!J:J)+SUMIF(NDSD!$S:$S,$A16,NDSD!J:J)+SUMIF(PDSD!$S:$S,$A16,PDSD!J:J)+SUMIF(SASSA!$S:$S,$A16,SASSA!J:J)+SUMIF(Agriculture!$S:$S,$A16,Agriculture!J:J)</f>
        <v>0</v>
      </c>
      <c r="H16" s="215">
        <f>SUMIF(NDOH!$S:$S,$A16,NDOH!K:K)+SUMIF(PDOH!$S:$S,$A16,PDOH!K:K)+SUMIF('DM&amp;Metros'!$S:$S,$A16,'DM&amp;Metros'!K:K)+SUMIF(NDSD!$S:$S,$A16,NDSD!K:K)+SUMIF(PDSD!$S:$S,$A16,PDSD!K:K)+SUMIF(SASSA!$S:$S,$A16,SASSA!K:K)+SUMIF(Agriculture!$S:$S,$A16,Agriculture!K:K)</f>
        <v>0</v>
      </c>
      <c r="I16" s="215">
        <f>SUMIF(NDOH!$S:$S,$A16,NDOH!L:L)+SUMIF(PDOH!$S:$S,$A16,PDOH!L:L)+SUMIF('DM&amp;Metros'!$S:$S,$A16,'DM&amp;Metros'!L:L)+SUMIF(NDSD!$S:$S,$A16,NDSD!L:L)+SUMIF(PDSD!$S:$S,$A16,PDSD!L:L)+SUMIF(SASSA!$S:$S,$A16,SASSA!L:L)+SUMIF(Agriculture!$S:$S,$A16,Agriculture!L:L)</f>
        <v>0</v>
      </c>
      <c r="J16" s="215">
        <f>SUMIF(NDOH!$S:$S,$A16,NDOH!M:M)+SUMIF(PDOH!$S:$S,$A16,PDOH!M:M)+SUMIF('DM&amp;Metros'!$S:$S,$A16,'DM&amp;Metros'!M:M)+SUMIF(NDSD!$S:$S,$A16,NDSD!M:M)+SUMIF(PDSD!$S:$S,$A16,PDSD!M:M)+SUMIF(SASSA!$S:$S,$A16,SASSA!M:M)+SUMIF(Agriculture!$S:$S,$A16,Agriculture!M:M)</f>
        <v>0</v>
      </c>
    </row>
    <row r="17" spans="1:15" x14ac:dyDescent="0.2">
      <c r="B17" s="5" t="s">
        <v>986</v>
      </c>
      <c r="C17" s="389"/>
      <c r="D17" s="423" t="s">
        <v>947</v>
      </c>
      <c r="E17" s="424">
        <f>SUMIF(NDOH!$R:$R,$B17,NDOH!H:H)+SUMIF(PDOH!$R:$R,$B17,PDOH!H:H)+SUMIF('DM&amp;Metros'!$R:$R,$B17,'DM&amp;Metros'!H:H)+SUMIF(NDSD!$R:$R,$B17,NDSD!H:H)+SUMIF(PDSD!$R:$R,$B17,PDSD!H:H)+SUMIF(SASSA!$R:$R,$B17,SASSA!H:H)+SUMIF(Agriculture!$R:$R,$B17,Agriculture!H:H)</f>
        <v>10472726078.552628</v>
      </c>
      <c r="F17" s="424">
        <f>SUMIF(NDOH!$R:$R,$B17,NDOH!I:I)+SUMIF(PDOH!$R:$R,$B17,PDOH!I:I)+SUMIF('DM&amp;Metros'!$R:$R,$B17,'DM&amp;Metros'!I:I)+SUMIF(NDSD!$R:$R,$B17,NDSD!I:I)+SUMIF(PDSD!$R:$R,$B17,PDSD!I:I)+SUMIF(SASSA!$R:$R,$B17,SASSA!I:I)+SUMIF(Agriculture!$R:$R,$B17,Agriculture!I:I)</f>
        <v>11062536545.644043</v>
      </c>
      <c r="G17" s="424">
        <f>SUMIF(NDOH!$R:$R,$B17,NDOH!J:J)+SUMIF(PDOH!$R:$R,$B17,PDOH!J:J)+SUMIF('DM&amp;Metros'!$R:$R,$B17,'DM&amp;Metros'!J:J)+SUMIF(NDSD!$R:$R,$B17,NDSD!J:J)+SUMIF(PDSD!$R:$R,$B17,PDSD!J:J)+SUMIF(SASSA!$R:$R,$B17,SASSA!J:J)+SUMIF(Agriculture!$R:$R,$B17,Agriculture!J:J)</f>
        <v>11674611519.103426</v>
      </c>
      <c r="H17" s="424">
        <f>SUMIF(NDOH!$R:$R,$B17,NDOH!K:K)+SUMIF(PDOH!$R:$R,$B17,PDOH!K:K)+SUMIF('DM&amp;Metros'!$R:$R,$B17,'DM&amp;Metros'!K:K)+SUMIF(NDSD!$R:$R,$B17,NDSD!K:K)+SUMIF(PDSD!$R:$R,$B17,PDSD!K:K)+SUMIF(SASSA!$R:$R,$B17,SASSA!K:K)+SUMIF(Agriculture!$R:$R,$B17,Agriculture!K:K)</f>
        <v>7948247546.1777067</v>
      </c>
      <c r="I17" s="424">
        <f>SUMIF(NDOH!$R:$R,$B17,NDOH!L:L)+SUMIF(PDOH!$R:$R,$B17,PDOH!L:L)+SUMIF('DM&amp;Metros'!$R:$R,$B17,'DM&amp;Metros'!L:L)+SUMIF(NDSD!$R:$R,$B17,NDSD!L:L)+SUMIF(PDSD!$R:$R,$B17,PDSD!L:L)+SUMIF(SASSA!$R:$R,$B17,SASSA!L:L)+SUMIF(Agriculture!$R:$R,$B17,Agriculture!L:L)</f>
        <v>10840428421.137239</v>
      </c>
      <c r="J17" s="424">
        <f>SUMIF(NDOH!$R:$R,$B17,NDOH!M:M)+SUMIF(PDOH!$R:$R,$B17,PDOH!M:M)+SUMIF('DM&amp;Metros'!$R:$R,$B17,'DM&amp;Metros'!M:M)+SUMIF(NDSD!$R:$R,$B17,NDSD!M:M)+SUMIF(PDSD!$R:$R,$B17,PDSD!M:M)+SUMIF(SASSA!$R:$R,$B17,SASSA!M:M)+SUMIF(Agriculture!$R:$R,$B17,Agriculture!M:M)</f>
        <v>9511918963.2011948</v>
      </c>
      <c r="M17" s="366">
        <f>E17-SUM(E18:E21)</f>
        <v>0</v>
      </c>
      <c r="N17" s="366">
        <f t="shared" ref="N17" si="5">F17-SUM(F18:F21)</f>
        <v>0</v>
      </c>
      <c r="O17" s="366">
        <f t="shared" ref="O17" si="6">G17-SUM(G18:G21)</f>
        <v>0</v>
      </c>
    </row>
    <row r="18" spans="1:15" x14ac:dyDescent="0.2">
      <c r="A18" s="5" t="str">
        <f>CONCATENATE(B18,$B$17)</f>
        <v>COEPI</v>
      </c>
      <c r="B18" s="260" t="s">
        <v>865</v>
      </c>
      <c r="C18" s="389"/>
      <c r="D18" s="6" t="s">
        <v>596</v>
      </c>
      <c r="E18" s="215">
        <f>SUMIF(NDOH!$S:$S,$A18,NDOH!H:H)+SUMIF(PDOH!$S:$S,$A18,PDOH!H:H)+SUMIF('DM&amp;Metros'!$S:$S,$A18,'DM&amp;Metros'!H:H)+SUMIF(NDSD!$S:$S,$A18,NDSD!H:H)+SUMIF(PDSD!$S:$S,$A18,PDSD!H:H)+SUMIF(SASSA!$S:$S,$A18,SASSA!H:H)+SUMIF(Agriculture!$S:$S,$A18,Agriculture!H:H)</f>
        <v>1184716006.6918063</v>
      </c>
      <c r="F18" s="215">
        <f>SUMIF(NDOH!$S:$S,$A18,NDOH!I:I)+SUMIF(PDOH!$S:$S,$A18,PDOH!I:I)+SUMIF('DM&amp;Metros'!$S:$S,$A18,'DM&amp;Metros'!I:I)+SUMIF(NDSD!$S:$S,$A18,NDSD!I:I)+SUMIF(PDSD!$S:$S,$A18,PDSD!I:I)+SUMIF(SASSA!$S:$S,$A18,SASSA!I:I)+SUMIF(Agriculture!$S:$S,$A18,Agriculture!I:I)</f>
        <v>1262907263.1334658</v>
      </c>
      <c r="G18" s="215">
        <f>SUMIF(NDOH!$S:$S,$A18,NDOH!J:J)+SUMIF(PDOH!$S:$S,$A18,PDOH!J:J)+SUMIF('DM&amp;Metros'!$S:$S,$A18,'DM&amp;Metros'!J:J)+SUMIF(NDSD!$S:$S,$A18,NDSD!J:J)+SUMIF(PDSD!$S:$S,$A18,PDSD!J:J)+SUMIF(SASSA!$S:$S,$A18,SASSA!J:J)+SUMIF(Agriculture!$S:$S,$A18,Agriculture!J:J)</f>
        <v>1346259142.5002747</v>
      </c>
      <c r="H18" s="215">
        <f>SUMIF(NDOH!$S:$S,$A18,NDOH!K:K)+SUMIF(PDOH!$S:$S,$A18,PDOH!K:K)+SUMIF('DM&amp;Metros'!$S:$S,$A18,'DM&amp;Metros'!K:K)+SUMIF(NDSD!$S:$S,$A18,NDSD!K:K)+SUMIF(PDSD!$S:$S,$A18,PDSD!K:K)+SUMIF(SASSA!$S:$S,$A18,SASSA!K:K)+SUMIF(Agriculture!$S:$S,$A18,Agriculture!K:K)</f>
        <v>206295610.73177332</v>
      </c>
      <c r="I18" s="215">
        <f>SUMIF(NDOH!$S:$S,$A18,NDOH!L:L)+SUMIF(PDOH!$S:$S,$A18,PDOH!L:L)+SUMIF('DM&amp;Metros'!$S:$S,$A18,'DM&amp;Metros'!L:L)+SUMIF(NDSD!$S:$S,$A18,NDSD!L:L)+SUMIF(PDSD!$S:$S,$A18,PDSD!L:L)+SUMIF(SASSA!$S:$S,$A18,SASSA!L:L)+SUMIF(Agriculture!$S:$S,$A18,Agriculture!L:L)</f>
        <v>1193698177.5667233</v>
      </c>
      <c r="J18" s="215">
        <f>SUMIF(NDOH!$S:$S,$A18,NDOH!M:M)+SUMIF(PDOH!$S:$S,$A18,PDOH!M:M)+SUMIF('DM&amp;Metros'!$S:$S,$A18,'DM&amp;Metros'!M:M)+SUMIF(NDSD!$S:$S,$A18,NDSD!M:M)+SUMIF(PDSD!$S:$S,$A18,PDSD!M:M)+SUMIF(SASSA!$S:$S,$A18,SASSA!M:M)+SUMIF(Agriculture!$S:$S,$A18,Agriculture!M:M)</f>
        <v>629419174.36903453</v>
      </c>
    </row>
    <row r="19" spans="1:15" x14ac:dyDescent="0.2">
      <c r="A19" s="5" t="str">
        <f t="shared" ref="A19:A21" si="7">CONCATENATE(B19,$B$17)</f>
        <v>GSPI</v>
      </c>
      <c r="B19" s="260" t="s">
        <v>866</v>
      </c>
      <c r="C19" s="389"/>
      <c r="D19" s="6" t="s">
        <v>597</v>
      </c>
      <c r="E19" s="215">
        <f>SUMIF(NDOH!$S:$S,$A19,NDOH!H:H)+SUMIF(PDOH!$S:$S,$A19,PDOH!H:H)+SUMIF('DM&amp;Metros'!$S:$S,$A19,'DM&amp;Metros'!H:H)+SUMIF(NDSD!$S:$S,$A19,NDSD!H:H)+SUMIF(PDSD!$S:$S,$A19,PDSD!H:H)+SUMIF(SASSA!$S:$S,$A19,SASSA!H:H)+SUMIF(Agriculture!$S:$S,$A19,Agriculture!H:H)</f>
        <v>2974198.7196474834</v>
      </c>
      <c r="F19" s="215">
        <f>SUMIF(NDOH!$S:$S,$A19,NDOH!I:I)+SUMIF(PDOH!$S:$S,$A19,PDOH!I:I)+SUMIF('DM&amp;Metros'!$S:$S,$A19,'DM&amp;Metros'!I:I)+SUMIF(NDSD!$S:$S,$A19,NDSD!I:I)+SUMIF(PDSD!$S:$S,$A19,PDSD!I:I)+SUMIF(SASSA!$S:$S,$A19,SASSA!I:I)+SUMIF(Agriculture!$S:$S,$A19,Agriculture!I:I)</f>
        <v>3131038.4718685318</v>
      </c>
      <c r="G19" s="215">
        <f>SUMIF(NDOH!$S:$S,$A19,NDOH!J:J)+SUMIF(PDOH!$S:$S,$A19,PDOH!J:J)+SUMIF('DM&amp;Metros'!$S:$S,$A19,'DM&amp;Metros'!J:J)+SUMIF(NDSD!$S:$S,$A19,NDSD!J:J)+SUMIF(PDSD!$S:$S,$A19,PDSD!J:J)+SUMIF(SASSA!$S:$S,$A19,SASSA!J:J)+SUMIF(Agriculture!$S:$S,$A19,Agriculture!J:J)</f>
        <v>3303630.8502139584</v>
      </c>
      <c r="H19" s="215">
        <f>SUMIF(NDOH!$S:$S,$A19,NDOH!K:K)+SUMIF(PDOH!$S:$S,$A19,PDOH!K:K)+SUMIF('DM&amp;Metros'!$S:$S,$A19,'DM&amp;Metros'!K:K)+SUMIF(NDSD!$S:$S,$A19,NDSD!K:K)+SUMIF(PDSD!$S:$S,$A19,PDSD!K:K)+SUMIF(SASSA!$S:$S,$A19,SASSA!K:K)+SUMIF(Agriculture!$S:$S,$A19,Agriculture!K:K)</f>
        <v>1725224.9226106438</v>
      </c>
      <c r="I19" s="215">
        <f>SUMIF(NDOH!$S:$S,$A19,NDOH!L:L)+SUMIF(PDOH!$S:$S,$A19,PDOH!L:L)+SUMIF('DM&amp;Metros'!$S:$S,$A19,'DM&amp;Metros'!L:L)+SUMIF(NDSD!$S:$S,$A19,NDSD!L:L)+SUMIF(PDSD!$S:$S,$A19,PDSD!L:L)+SUMIF(SASSA!$S:$S,$A19,SASSA!L:L)+SUMIF(Agriculture!$S:$S,$A19,Agriculture!L:L)</f>
        <v>2641666.4746861123</v>
      </c>
      <c r="J19" s="215">
        <f>SUMIF(NDOH!$S:$S,$A19,NDOH!M:M)+SUMIF(PDOH!$S:$S,$A19,PDOH!M:M)+SUMIF('DM&amp;Metros'!$S:$S,$A19,'DM&amp;Metros'!M:M)+SUMIF(NDSD!$S:$S,$A19,NDSD!M:M)+SUMIF(PDSD!$S:$S,$A19,PDSD!M:M)+SUMIF(SASSA!$S:$S,$A19,SASSA!M:M)+SUMIF(Agriculture!$S:$S,$A19,Agriculture!M:M)</f>
        <v>2641666.4746861123</v>
      </c>
    </row>
    <row r="20" spans="1:15" x14ac:dyDescent="0.2">
      <c r="A20" s="5" t="str">
        <f t="shared" si="7"/>
        <v>MSPI</v>
      </c>
      <c r="B20" s="260" t="s">
        <v>864</v>
      </c>
      <c r="C20" s="389"/>
      <c r="D20" s="6" t="s">
        <v>998</v>
      </c>
      <c r="E20" s="215">
        <f>SUMIF(NDOH!$S:$S,$A20,NDOH!H:H)+SUMIF(PDOH!$S:$S,$A20,PDOH!H:H)+SUMIF('DM&amp;Metros'!$S:$S,$A20,'DM&amp;Metros'!H:H)+SUMIF(NDSD!$S:$S,$A20,NDSD!H:H)+SUMIF(PDSD!$S:$S,$A20,PDSD!H:H)+SUMIF(SASSA!$S:$S,$A20,SASSA!H:H)+SUMIF(Agriculture!$S:$S,$A20,Agriculture!H:H)</f>
        <v>47729891.810816929</v>
      </c>
      <c r="F20" s="215">
        <f>SUMIF(NDOH!$S:$S,$A20,NDOH!I:I)+SUMIF(PDOH!$S:$S,$A20,PDOH!I:I)+SUMIF('DM&amp;Metros'!$S:$S,$A20,'DM&amp;Metros'!I:I)+SUMIF(NDSD!$S:$S,$A20,NDSD!I:I)+SUMIF(PDSD!$S:$S,$A20,PDSD!I:I)+SUMIF(SASSA!$S:$S,$A20,SASSA!I:I)+SUMIF(Agriculture!$S:$S,$A20,Agriculture!I:I)</f>
        <v>52025582.073790453</v>
      </c>
      <c r="G20" s="215">
        <f>SUMIF(NDOH!$S:$S,$A20,NDOH!J:J)+SUMIF(PDOH!$S:$S,$A20,PDOH!J:J)+SUMIF('DM&amp;Metros'!$S:$S,$A20,'DM&amp;Metros'!J:J)+SUMIF(NDSD!$S:$S,$A20,NDSD!J:J)+SUMIF(PDSD!$S:$S,$A20,PDSD!J:J)+SUMIF(SASSA!$S:$S,$A20,SASSA!J:J)+SUMIF(Agriculture!$S:$S,$A20,Agriculture!J:J)</f>
        <v>56707884.460431606</v>
      </c>
      <c r="H20" s="215">
        <f>SUMIF(NDOH!$S:$S,$A20,NDOH!K:K)+SUMIF(PDOH!$S:$S,$A20,PDOH!K:K)+SUMIF('DM&amp;Metros'!$S:$S,$A20,'DM&amp;Metros'!K:K)+SUMIF(NDSD!$S:$S,$A20,NDSD!K:K)+SUMIF(PDSD!$S:$S,$A20,PDSD!K:K)+SUMIF(SASSA!$S:$S,$A20,SASSA!K:K)+SUMIF(Agriculture!$S:$S,$A20,Agriculture!K:K)</f>
        <v>24747263.428621925</v>
      </c>
      <c r="I20" s="215">
        <f>SUMIF(NDOH!$S:$S,$A20,NDOH!L:L)+SUMIF(PDOH!$S:$S,$A20,PDOH!L:L)+SUMIF('DM&amp;Metros'!$S:$S,$A20,'DM&amp;Metros'!L:L)+SUMIF(NDSD!$S:$S,$A20,NDSD!L:L)+SUMIF(PDSD!$S:$S,$A20,PDSD!L:L)+SUMIF(SASSA!$S:$S,$A20,SASSA!L:L)+SUMIF(Agriculture!$S:$S,$A20,Agriculture!L:L)</f>
        <v>43818049.304529928</v>
      </c>
      <c r="J20" s="215">
        <f>SUMIF(NDOH!$S:$S,$A20,NDOH!M:M)+SUMIF(PDOH!$S:$S,$A20,PDOH!M:M)+SUMIF('DM&amp;Metros'!$S:$S,$A20,'DM&amp;Metros'!M:M)+SUMIF(NDSD!$S:$S,$A20,NDSD!M:M)+SUMIF(PDSD!$S:$S,$A20,PDSD!M:M)+SUMIF(SASSA!$S:$S,$A20,SASSA!M:M)+SUMIF(Agriculture!$S:$S,$A20,Agriculture!M:M)</f>
        <v>47729891.810816929</v>
      </c>
    </row>
    <row r="21" spans="1:15" x14ac:dyDescent="0.2">
      <c r="A21" s="5" t="str">
        <f t="shared" si="7"/>
        <v>TSPI</v>
      </c>
      <c r="B21" s="260" t="s">
        <v>992</v>
      </c>
      <c r="C21" s="389"/>
      <c r="D21" s="6" t="s">
        <v>756</v>
      </c>
      <c r="E21" s="215">
        <f>SUMIF(NDOH!$S:$S,$A21,NDOH!H:H)+SUMIF(PDOH!$S:$S,$A21,PDOH!H:H)+SUMIF('DM&amp;Metros'!$S:$S,$A21,'DM&amp;Metros'!H:H)+SUMIF(NDSD!$S:$S,$A21,NDSD!H:H)+SUMIF(PDSD!$S:$S,$A21,PDSD!H:H)+SUMIF(SASSA!$S:$S,$A21,SASSA!H:H)+SUMIF(Agriculture!$S:$S,$A21,Agriculture!H:H)</f>
        <v>9237305981.3303566</v>
      </c>
      <c r="F21" s="215">
        <f>SUMIF(NDOH!$S:$S,$A21,NDOH!I:I)+SUMIF(PDOH!$S:$S,$A21,PDOH!I:I)+SUMIF('DM&amp;Metros'!$S:$S,$A21,'DM&amp;Metros'!I:I)+SUMIF(NDSD!$S:$S,$A21,NDSD!I:I)+SUMIF(PDSD!$S:$S,$A21,PDSD!I:I)+SUMIF(SASSA!$S:$S,$A21,SASSA!I:I)+SUMIF(Agriculture!$S:$S,$A21,Agriculture!I:I)</f>
        <v>9744472661.96492</v>
      </c>
      <c r="G21" s="215">
        <f>SUMIF(NDOH!$S:$S,$A21,NDOH!J:J)+SUMIF(PDOH!$S:$S,$A21,PDOH!J:J)+SUMIF('DM&amp;Metros'!$S:$S,$A21,'DM&amp;Metros'!J:J)+SUMIF(NDSD!$S:$S,$A21,NDSD!J:J)+SUMIF(PDSD!$S:$S,$A21,PDSD!J:J)+SUMIF(SASSA!$S:$S,$A21,SASSA!J:J)+SUMIF(Agriculture!$S:$S,$A21,Agriculture!J:J)</f>
        <v>10268340861.292505</v>
      </c>
      <c r="H21" s="215">
        <f>SUMIF(NDOH!$S:$S,$A21,NDOH!K:K)+SUMIF(PDOH!$S:$S,$A21,PDOH!K:K)+SUMIF('DM&amp;Metros'!$S:$S,$A21,'DM&amp;Metros'!K:K)+SUMIF(NDSD!$S:$S,$A21,NDSD!K:K)+SUMIF(PDSD!$S:$S,$A21,PDSD!K:K)+SUMIF(SASSA!$S:$S,$A21,SASSA!K:K)+SUMIF(Agriculture!$S:$S,$A21,Agriculture!K:K)</f>
        <v>7715479447.0947008</v>
      </c>
      <c r="I21" s="215">
        <f>SUMIF(NDOH!$S:$S,$A21,NDOH!L:L)+SUMIF(PDOH!$S:$S,$A21,PDOH!L:L)+SUMIF('DM&amp;Metros'!$S:$S,$A21,'DM&amp;Metros'!L:L)+SUMIF(NDSD!$S:$S,$A21,NDSD!L:L)+SUMIF(PDSD!$S:$S,$A21,PDSD!L:L)+SUMIF(SASSA!$S:$S,$A21,SASSA!L:L)+SUMIF(Agriculture!$S:$S,$A21,Agriculture!L:L)</f>
        <v>9600270527.7912998</v>
      </c>
      <c r="J21" s="215">
        <f>SUMIF(NDOH!$S:$S,$A21,NDOH!M:M)+SUMIF(PDOH!$S:$S,$A21,PDOH!M:M)+SUMIF('DM&amp;Metros'!$S:$S,$A21,'DM&amp;Metros'!M:M)+SUMIF(NDSD!$S:$S,$A21,NDSD!M:M)+SUMIF(PDSD!$S:$S,$A21,PDSD!M:M)+SUMIF(SASSA!$S:$S,$A21,SASSA!M:M)+SUMIF(Agriculture!$S:$S,$A21,Agriculture!M:M)</f>
        <v>8832128230.5466576</v>
      </c>
    </row>
    <row r="22" spans="1:15" x14ac:dyDescent="0.2">
      <c r="B22" s="5" t="s">
        <v>987</v>
      </c>
      <c r="C22" s="389"/>
      <c r="D22" s="423" t="s">
        <v>948</v>
      </c>
      <c r="E22" s="424">
        <f>SUMIF(NDOH!$R:$R,$B22,NDOH!H:H)+SUMIF(PDOH!$R:$R,$B22,PDOH!H:H)+SUMIF('DM&amp;Metros'!$R:$R,$B22,'DM&amp;Metros'!H:H)+SUMIF(NDSD!$R:$R,$B22,NDSD!H:H)+SUMIF(PDSD!$R:$R,$B22,PDSD!H:H)+SUMIF(SASSA!$R:$R,$B22,SASSA!H:H)+SUMIF(Agriculture!$R:$R,$B22,Agriculture!H:H)</f>
        <v>4015255140.2937579</v>
      </c>
      <c r="F22" s="424">
        <f>SUMIF(NDOH!$R:$R,$B22,NDOH!I:I)+SUMIF(PDOH!$R:$R,$B22,PDOH!I:I)+SUMIF('DM&amp;Metros'!$R:$R,$B22,'DM&amp;Metros'!I:I)+SUMIF(NDSD!$R:$R,$B22,NDSD!I:I)+SUMIF(PDSD!$R:$R,$B22,PDSD!I:I)+SUMIF(SASSA!$R:$R,$B22,SASSA!I:I)+SUMIF(Agriculture!$R:$R,$B22,Agriculture!I:I)</f>
        <v>4409951648.46385</v>
      </c>
      <c r="G22" s="424">
        <f>SUMIF(NDOH!$R:$R,$B22,NDOH!J:J)+SUMIF(PDOH!$R:$R,$B22,PDOH!J:J)+SUMIF('DM&amp;Metros'!$R:$R,$B22,'DM&amp;Metros'!J:J)+SUMIF(NDSD!$R:$R,$B22,NDSD!J:J)+SUMIF(PDSD!$R:$R,$B22,PDSD!J:J)+SUMIF(SASSA!$R:$R,$B22,SASSA!J:J)+SUMIF(Agriculture!$R:$R,$B22,Agriculture!J:J)</f>
        <v>4689494575.9620314</v>
      </c>
      <c r="H22" s="424">
        <f>SUMIF(NDOH!$R:$R,$B22,NDOH!K:K)+SUMIF(PDOH!$R:$R,$B22,PDOH!K:K)+SUMIF('DM&amp;Metros'!$R:$R,$B22,'DM&amp;Metros'!K:K)+SUMIF(NDSD!$R:$R,$B22,NDSD!K:K)+SUMIF(PDSD!$R:$R,$B22,PDSD!K:K)+SUMIF(SASSA!$R:$R,$B22,SASSA!K:K)+SUMIF(Agriculture!$R:$R,$B22,Agriculture!K:K)</f>
        <v>2153384516.5964804</v>
      </c>
      <c r="I22" s="424">
        <f>SUMIF(NDOH!$R:$R,$B22,NDOH!L:L)+SUMIF(PDOH!$R:$R,$B22,PDOH!L:L)+SUMIF('DM&amp;Metros'!$R:$R,$B22,'DM&amp;Metros'!L:L)+SUMIF(NDSD!$R:$R,$B22,NDSD!L:L)+SUMIF(PDSD!$R:$R,$B22,PDSD!L:L)+SUMIF(SASSA!$R:$R,$B22,SASSA!L:L)+SUMIF(Agriculture!$R:$R,$B22,Agriculture!L:L)</f>
        <v>2100468775.8049231</v>
      </c>
      <c r="J22" s="424">
        <f>SUMIF(NDOH!$R:$R,$B22,NDOH!M:M)+SUMIF(PDOH!$R:$R,$B22,PDOH!M:M)+SUMIF('DM&amp;Metros'!$R:$R,$B22,'DM&amp;Metros'!M:M)+SUMIF(NDSD!$R:$R,$B22,NDSD!M:M)+SUMIF(PDSD!$R:$R,$B22,PDSD!M:M)+SUMIF(SASSA!$R:$R,$B22,SASSA!M:M)+SUMIF(Agriculture!$R:$R,$B22,Agriculture!M:M)</f>
        <v>4015255140.2937579</v>
      </c>
      <c r="M22" s="366">
        <f>E22-SUM(E23:E26)</f>
        <v>0</v>
      </c>
      <c r="N22" s="366">
        <f t="shared" ref="N22" si="8">F22-SUM(F23:F26)</f>
        <v>0</v>
      </c>
      <c r="O22" s="366">
        <f t="shared" ref="O22" si="9">G22-SUM(G23:G26)</f>
        <v>0</v>
      </c>
    </row>
    <row r="23" spans="1:15" x14ac:dyDescent="0.2">
      <c r="A23" s="5" t="str">
        <f>CONCATENATE(B23,$B$22)</f>
        <v>COECI</v>
      </c>
      <c r="B23" s="260" t="s">
        <v>865</v>
      </c>
      <c r="C23" s="389"/>
      <c r="D23" s="6" t="s">
        <v>596</v>
      </c>
      <c r="E23" s="215">
        <f>SUMIF(NDOH!$S:$S,$A23,NDOH!H:H)+SUMIF(PDOH!$S:$S,$A23,PDOH!H:H)+SUMIF('DM&amp;Metros'!$S:$S,$A23,'DM&amp;Metros'!H:H)+SUMIF(NDSD!$S:$S,$A23,NDSD!H:H)+SUMIF(PDSD!$S:$S,$A23,PDSD!H:H)+SUMIF(SASSA!$S:$S,$A23,SASSA!H:H)+SUMIF(Agriculture!$S:$S,$A23,Agriculture!H:H)</f>
        <v>2096859656.1810446</v>
      </c>
      <c r="F23" s="215">
        <f>SUMIF(NDOH!$S:$S,$A23,NDOH!I:I)+SUMIF(PDOH!$S:$S,$A23,PDOH!I:I)+SUMIF('DM&amp;Metros'!$S:$S,$A23,'DM&amp;Metros'!I:I)+SUMIF(NDSD!$S:$S,$A23,NDSD!I:I)+SUMIF(PDSD!$S:$S,$A23,PDSD!I:I)+SUMIF(SASSA!$S:$S,$A23,SASSA!I:I)+SUMIF(Agriculture!$S:$S,$A23,Agriculture!I:I)</f>
        <v>2376029373.7113795</v>
      </c>
      <c r="G23" s="215">
        <f>SUMIF(NDOH!$S:$S,$A23,NDOH!J:J)+SUMIF(PDOH!$S:$S,$A23,PDOH!J:J)+SUMIF('DM&amp;Metros'!$S:$S,$A23,'DM&amp;Metros'!J:J)+SUMIF(NDSD!$S:$S,$A23,NDSD!J:J)+SUMIF(PDSD!$S:$S,$A23,PDSD!J:J)+SUMIF(SASSA!$S:$S,$A23,SASSA!J:J)+SUMIF(Agriculture!$S:$S,$A23,Agriculture!J:J)</f>
        <v>2532847312.3763304</v>
      </c>
      <c r="H23" s="215">
        <f>SUMIF(NDOH!$S:$S,$A23,NDOH!K:K)+SUMIF(PDOH!$S:$S,$A23,PDOH!K:K)+SUMIF('DM&amp;Metros'!$S:$S,$A23,'DM&amp;Metros'!K:K)+SUMIF(NDSD!$S:$S,$A23,NDSD!K:K)+SUMIF(PDSD!$S:$S,$A23,PDSD!K:K)+SUMIF(SASSA!$S:$S,$A23,SASSA!K:K)+SUMIF(Agriculture!$S:$S,$A23,Agriculture!K:K)</f>
        <v>1157308294.6939931</v>
      </c>
      <c r="I23" s="215">
        <f>SUMIF(NDOH!$S:$S,$A23,NDOH!L:L)+SUMIF(PDOH!$S:$S,$A23,PDOH!L:L)+SUMIF('DM&amp;Metros'!$S:$S,$A23,'DM&amp;Metros'!L:L)+SUMIF(NDSD!$S:$S,$A23,NDSD!L:L)+SUMIF(PDSD!$S:$S,$A23,PDSD!L:L)+SUMIF(SASSA!$S:$S,$A23,SASSA!L:L)+SUMIF(Agriculture!$S:$S,$A23,Agriculture!L:L)</f>
        <v>1256650033.3148825</v>
      </c>
      <c r="J23" s="215">
        <f>SUMIF(NDOH!$S:$S,$A23,NDOH!M:M)+SUMIF(PDOH!$S:$S,$A23,PDOH!M:M)+SUMIF('DM&amp;Metros'!$S:$S,$A23,'DM&amp;Metros'!M:M)+SUMIF(NDSD!$S:$S,$A23,NDSD!M:M)+SUMIF(PDSD!$S:$S,$A23,PDSD!M:M)+SUMIF(SASSA!$S:$S,$A23,SASSA!M:M)+SUMIF(Agriculture!$S:$S,$A23,Agriculture!M:M)</f>
        <v>2096859656.1810446</v>
      </c>
    </row>
    <row r="24" spans="1:15" x14ac:dyDescent="0.2">
      <c r="A24" s="5" t="str">
        <f t="shared" ref="A24:A26" si="10">CONCATENATE(B24,$B$22)</f>
        <v>GSCI</v>
      </c>
      <c r="B24" s="260" t="s">
        <v>866</v>
      </c>
      <c r="C24" s="389"/>
      <c r="D24" s="6" t="s">
        <v>597</v>
      </c>
      <c r="E24" s="215">
        <f>SUMIF(NDOH!$S:$S,$A24,NDOH!H:H)+SUMIF(PDOH!$S:$S,$A24,PDOH!H:H)+SUMIF('DM&amp;Metros'!$S:$S,$A24,'DM&amp;Metros'!H:H)+SUMIF(NDSD!$S:$S,$A24,NDSD!H:H)+SUMIF(PDSD!$S:$S,$A24,PDSD!H:H)+SUMIF(SASSA!$S:$S,$A24,SASSA!H:H)+SUMIF(Agriculture!$S:$S,$A24,Agriculture!H:H)</f>
        <v>1680258909.7173111</v>
      </c>
      <c r="F24" s="215">
        <f>SUMIF(NDOH!$S:$S,$A24,NDOH!I:I)+SUMIF(PDOH!$S:$S,$A24,PDOH!I:I)+SUMIF('DM&amp;Metros'!$S:$S,$A24,'DM&amp;Metros'!I:I)+SUMIF(NDSD!$S:$S,$A24,NDSD!I:I)+SUMIF(PDSD!$S:$S,$A24,PDSD!I:I)+SUMIF(SASSA!$S:$S,$A24,SASSA!I:I)+SUMIF(Agriculture!$S:$S,$A24,Agriculture!I:I)</f>
        <v>1774353408.6614807</v>
      </c>
      <c r="G24" s="215">
        <f>SUMIF(NDOH!$S:$S,$A24,NDOH!J:J)+SUMIF(PDOH!$S:$S,$A24,PDOH!J:J)+SUMIF('DM&amp;Metros'!$S:$S,$A24,'DM&amp;Metros'!J:J)+SUMIF(NDSD!$S:$S,$A24,NDSD!J:J)+SUMIF(PDSD!$S:$S,$A24,PDSD!J:J)+SUMIF(SASSA!$S:$S,$A24,SASSA!J:J)+SUMIF(Agriculture!$S:$S,$A24,Agriculture!J:J)</f>
        <v>1873717199.5465238</v>
      </c>
      <c r="H24" s="215">
        <f>SUMIF(NDOH!$S:$S,$A24,NDOH!K:K)+SUMIF(PDOH!$S:$S,$A24,PDOH!K:K)+SUMIF('DM&amp;Metros'!$S:$S,$A24,'DM&amp;Metros'!K:K)+SUMIF(NDSD!$S:$S,$A24,NDSD!K:K)+SUMIF(PDSD!$S:$S,$A24,PDSD!K:K)+SUMIF(SASSA!$S:$S,$A24,SASSA!K:K)+SUMIF(Agriculture!$S:$S,$A24,Agriculture!K:K)</f>
        <v>872430162.7883774</v>
      </c>
      <c r="I24" s="215">
        <f>SUMIF(NDOH!$S:$S,$A24,NDOH!L:L)+SUMIF(PDOH!$S:$S,$A24,PDOH!L:L)+SUMIF('DM&amp;Metros'!$S:$S,$A24,'DM&amp;Metros'!L:L)+SUMIF(NDSD!$S:$S,$A24,NDSD!L:L)+SUMIF(PDSD!$S:$S,$A24,PDSD!L:L)+SUMIF(SASSA!$S:$S,$A24,SASSA!L:L)+SUMIF(Agriculture!$S:$S,$A24,Agriculture!L:L)</f>
        <v>729156051.90765917</v>
      </c>
      <c r="J24" s="215">
        <f>SUMIF(NDOH!$S:$S,$A24,NDOH!M:M)+SUMIF(PDOH!$S:$S,$A24,PDOH!M:M)+SUMIF('DM&amp;Metros'!$S:$S,$A24,'DM&amp;Metros'!M:M)+SUMIF(NDSD!$S:$S,$A24,NDSD!M:M)+SUMIF(PDSD!$S:$S,$A24,PDSD!M:M)+SUMIF(SASSA!$S:$S,$A24,SASSA!M:M)+SUMIF(Agriculture!$S:$S,$A24,Agriculture!M:M)</f>
        <v>1680258909.7173111</v>
      </c>
    </row>
    <row r="25" spans="1:15" x14ac:dyDescent="0.2">
      <c r="A25" s="5" t="str">
        <f t="shared" si="10"/>
        <v>MSCI</v>
      </c>
      <c r="B25" s="260" t="s">
        <v>864</v>
      </c>
      <c r="C25" s="389"/>
      <c r="D25" s="6" t="s">
        <v>998</v>
      </c>
      <c r="E25" s="215">
        <f>SUMIF(NDOH!$S:$S,$A25,NDOH!H:H)+SUMIF(PDOH!$S:$S,$A25,PDOH!H:H)+SUMIF('DM&amp;Metros'!$S:$S,$A25,'DM&amp;Metros'!H:H)+SUMIF(NDSD!$S:$S,$A25,NDSD!H:H)+SUMIF(PDSD!$S:$S,$A25,PDSD!H:H)+SUMIF(SASSA!$S:$S,$A25,SASSA!H:H)+SUMIF(Agriculture!$S:$S,$A25,Agriculture!H:H)</f>
        <v>238136574.39540255</v>
      </c>
      <c r="F25" s="215">
        <f>SUMIF(NDOH!$S:$S,$A25,NDOH!I:I)+SUMIF(PDOH!$S:$S,$A25,PDOH!I:I)+SUMIF('DM&amp;Metros'!$S:$S,$A25,'DM&amp;Metros'!I:I)+SUMIF(NDSD!$S:$S,$A25,NDSD!I:I)+SUMIF(PDSD!$S:$S,$A25,PDSD!I:I)+SUMIF(SASSA!$S:$S,$A25,SASSA!I:I)+SUMIF(Agriculture!$S:$S,$A25,Agriculture!I:I)</f>
        <v>259568866.09098881</v>
      </c>
      <c r="G25" s="215">
        <f>SUMIF(NDOH!$S:$S,$A25,NDOH!J:J)+SUMIF(PDOH!$S:$S,$A25,PDOH!J:J)+SUMIF('DM&amp;Metros'!$S:$S,$A25,'DM&amp;Metros'!J:J)+SUMIF(NDSD!$S:$S,$A25,NDSD!J:J)+SUMIF(PDSD!$S:$S,$A25,PDSD!J:J)+SUMIF(SASSA!$S:$S,$A25,SASSA!J:J)+SUMIF(Agriculture!$S:$S,$A25,Agriculture!J:J)</f>
        <v>282930064.03917783</v>
      </c>
      <c r="H25" s="215">
        <f>SUMIF(NDOH!$S:$S,$A25,NDOH!K:K)+SUMIF(PDOH!$S:$S,$A25,PDOH!K:K)+SUMIF('DM&amp;Metros'!$S:$S,$A25,'DM&amp;Metros'!K:K)+SUMIF(NDSD!$S:$S,$A25,NDSD!K:K)+SUMIF(PDSD!$S:$S,$A25,PDSD!K:K)+SUMIF(SASSA!$S:$S,$A25,SASSA!K:K)+SUMIF(Agriculture!$S:$S,$A25,Agriculture!K:K)</f>
        <v>123646059.11410995</v>
      </c>
      <c r="I25" s="215">
        <f>SUMIF(NDOH!$S:$S,$A25,NDOH!L:L)+SUMIF(PDOH!$S:$S,$A25,PDOH!L:L)+SUMIF('DM&amp;Metros'!$S:$S,$A25,'DM&amp;Metros'!L:L)+SUMIF(NDSD!$S:$S,$A25,NDSD!L:L)+SUMIF(PDSD!$S:$S,$A25,PDSD!L:L)+SUMIF(SASSA!$S:$S,$A25,SASSA!L:L)+SUMIF(Agriculture!$S:$S,$A25,Agriculture!L:L)</f>
        <v>114662690.58238102</v>
      </c>
      <c r="J25" s="215">
        <f>SUMIF(NDOH!$S:$S,$A25,NDOH!M:M)+SUMIF(PDOH!$S:$S,$A25,PDOH!M:M)+SUMIF('DM&amp;Metros'!$S:$S,$A25,'DM&amp;Metros'!M:M)+SUMIF(NDSD!$S:$S,$A25,NDSD!M:M)+SUMIF(PDSD!$S:$S,$A25,PDSD!M:M)+SUMIF(SASSA!$S:$S,$A25,SASSA!M:M)+SUMIF(Agriculture!$S:$S,$A25,Agriculture!M:M)</f>
        <v>238136574.39540255</v>
      </c>
    </row>
    <row r="26" spans="1:15" x14ac:dyDescent="0.2">
      <c r="A26" s="5" t="str">
        <f t="shared" si="10"/>
        <v>TSCI</v>
      </c>
      <c r="B26" s="260" t="s">
        <v>992</v>
      </c>
      <c r="C26" s="389"/>
      <c r="D26" s="6" t="s">
        <v>756</v>
      </c>
      <c r="E26" s="285">
        <f>SUMIF(NDOH!$S:$S,$A26,NDOH!H:H)+SUMIF(PDOH!$S:$S,$A26,PDOH!H:H)+SUMIF('DM&amp;Metros'!$S:$S,$A26,'DM&amp;Metros'!H:H)+SUMIF(NDSD!$S:$S,$A26,NDSD!H:H)+SUMIF(PDSD!$S:$S,$A26,PDSD!H:H)+SUMIF(SASSA!$S:$S,$A26,SASSA!H:H)+SUMIF(Agriculture!$S:$S,$A26,Agriculture!H:H)</f>
        <v>0</v>
      </c>
      <c r="F26" s="285">
        <f>SUMIF(NDOH!$S:$S,$A26,NDOH!I:I)+SUMIF(PDOH!$S:$S,$A26,PDOH!I:I)+SUMIF('DM&amp;Metros'!$S:$S,$A26,'DM&amp;Metros'!I:I)+SUMIF(NDSD!$S:$S,$A26,NDSD!I:I)+SUMIF(PDSD!$S:$S,$A26,PDSD!I:I)+SUMIF(SASSA!$S:$S,$A26,SASSA!I:I)+SUMIF(Agriculture!$S:$S,$A26,Agriculture!I:I)</f>
        <v>0</v>
      </c>
      <c r="G26" s="285">
        <f>SUMIF(NDOH!$S:$S,$A26,NDOH!J:J)+SUMIF(PDOH!$S:$S,$A26,PDOH!J:J)+SUMIF('DM&amp;Metros'!$S:$S,$A26,'DM&amp;Metros'!J:J)+SUMIF(NDSD!$S:$S,$A26,NDSD!J:J)+SUMIF(PDSD!$S:$S,$A26,PDSD!J:J)+SUMIF(SASSA!$S:$S,$A26,SASSA!J:J)+SUMIF(Agriculture!$S:$S,$A26,Agriculture!J:J)</f>
        <v>0</v>
      </c>
      <c r="H26" s="285">
        <f>SUMIF(NDOH!$S:$S,$A26,NDOH!K:K)+SUMIF(PDOH!$S:$S,$A26,PDOH!K:K)+SUMIF('DM&amp;Metros'!$S:$S,$A26,'DM&amp;Metros'!K:K)+SUMIF(NDSD!$S:$S,$A26,NDSD!K:K)+SUMIF(PDSD!$S:$S,$A26,PDSD!K:K)+SUMIF(SASSA!$S:$S,$A26,SASSA!K:K)+SUMIF(Agriculture!$S:$S,$A26,Agriculture!K:K)</f>
        <v>0</v>
      </c>
      <c r="I26" s="285">
        <f>SUMIF(NDOH!$S:$S,$A26,NDOH!L:L)+SUMIF(PDOH!$S:$S,$A26,PDOH!L:L)+SUMIF('DM&amp;Metros'!$S:$S,$A26,'DM&amp;Metros'!L:L)+SUMIF(NDSD!$S:$S,$A26,NDSD!L:L)+SUMIF(PDSD!$S:$S,$A26,PDSD!L:L)+SUMIF(SASSA!$S:$S,$A26,SASSA!L:L)+SUMIF(Agriculture!$S:$S,$A26,Agriculture!L:L)</f>
        <v>0</v>
      </c>
      <c r="J26" s="285">
        <f>SUMIF(NDOH!$S:$S,$A26,NDOH!M:M)+SUMIF(PDOH!$S:$S,$A26,PDOH!M:M)+SUMIF('DM&amp;Metros'!$S:$S,$A26,'DM&amp;Metros'!M:M)+SUMIF(NDSD!$S:$S,$A26,NDSD!M:M)+SUMIF(PDSD!$S:$S,$A26,PDSD!M:M)+SUMIF(SASSA!$S:$S,$A26,SASSA!M:M)+SUMIF(Agriculture!$S:$S,$A26,Agriculture!M:M)</f>
        <v>0</v>
      </c>
    </row>
    <row r="27" spans="1:15" x14ac:dyDescent="0.2">
      <c r="B27" s="5" t="s">
        <v>988</v>
      </c>
      <c r="C27" s="389"/>
      <c r="D27" s="423" t="s">
        <v>949</v>
      </c>
      <c r="E27" s="424">
        <f>SUMIF(NDOH!$R:$R,$B27,NDOH!H:H)+SUMIF(PDOH!$R:$R,$B27,PDOH!H:H)+SUMIF('DM&amp;Metros'!$R:$R,$B27,'DM&amp;Metros'!H:H)+SUMIF(NDSD!$R:$R,$B27,NDSD!H:H)+SUMIF(PDSD!$R:$R,$B27,PDSD!H:H)+SUMIF(SASSA!$R:$R,$B27,SASSA!H:H)+SUMIF(Agriculture!$R:$R,$B27,Agriculture!H:H)</f>
        <v>29244880.954610541</v>
      </c>
      <c r="F27" s="424">
        <f>SUMIF(NDOH!$R:$R,$B27,NDOH!I:I)+SUMIF(PDOH!$R:$R,$B27,PDOH!I:I)+SUMIF('DM&amp;Metros'!$R:$R,$B27,'DM&amp;Metros'!I:I)+SUMIF(NDSD!$R:$R,$B27,NDSD!I:I)+SUMIF(PDSD!$R:$R,$B27,PDSD!I:I)+SUMIF(SASSA!$R:$R,$B27,SASSA!I:I)+SUMIF(Agriculture!$R:$R,$B27,Agriculture!I:I)</f>
        <v>31012443.794648942</v>
      </c>
      <c r="G27" s="424">
        <f>SUMIF(NDOH!$R:$R,$B27,NDOH!J:J)+SUMIF(PDOH!$R:$R,$B27,PDOH!J:J)+SUMIF('DM&amp;Metros'!$R:$R,$B27,'DM&amp;Metros'!J:J)+SUMIF(NDSD!$R:$R,$B27,NDSD!J:J)+SUMIF(PDSD!$R:$R,$B27,PDSD!J:J)+SUMIF(SASSA!$R:$R,$B27,SASSA!J:J)+SUMIF(Agriculture!$R:$R,$B27,Agriculture!J:J)</f>
        <v>32887560.221163787</v>
      </c>
      <c r="H27" s="424">
        <f>SUMIF(NDOH!$R:$R,$B27,NDOH!K:K)+SUMIF(PDOH!$R:$R,$B27,PDOH!K:K)+SUMIF('DM&amp;Metros'!$R:$R,$B27,'DM&amp;Metros'!K:K)+SUMIF(NDSD!$R:$R,$B27,NDSD!K:K)+SUMIF(PDSD!$R:$R,$B27,PDSD!K:K)+SUMIF(SASSA!$R:$R,$B27,SASSA!K:K)+SUMIF(Agriculture!$R:$R,$B27,Agriculture!K:K)</f>
        <v>29244880.954610541</v>
      </c>
      <c r="I27" s="424">
        <f>SUMIF(NDOH!$R:$R,$B27,NDOH!L:L)+SUMIF(PDOH!$R:$R,$B27,PDOH!L:L)+SUMIF('DM&amp;Metros'!$R:$R,$B27,'DM&amp;Metros'!L:L)+SUMIF(NDSD!$R:$R,$B27,NDSD!L:L)+SUMIF(PDSD!$R:$R,$B27,PDSD!L:L)+SUMIF(SASSA!$R:$R,$B27,SASSA!L:L)+SUMIF(Agriculture!$R:$R,$B27,Agriculture!L:L)</f>
        <v>29244880.954610541</v>
      </c>
      <c r="J27" s="424">
        <f>SUMIF(NDOH!$R:$R,$B27,NDOH!M:M)+SUMIF(PDOH!$R:$R,$B27,PDOH!M:M)+SUMIF('DM&amp;Metros'!$R:$R,$B27,'DM&amp;Metros'!M:M)+SUMIF(NDSD!$R:$R,$B27,NDSD!M:M)+SUMIF(PDSD!$R:$R,$B27,PDSD!M:M)+SUMIF(SASSA!$R:$R,$B27,SASSA!M:M)+SUMIF(Agriculture!$R:$R,$B27,Agriculture!M:M)</f>
        <v>29244880.954610541</v>
      </c>
      <c r="M27" s="366">
        <f>E27-SUM(E28:E31)</f>
        <v>0</v>
      </c>
      <c r="N27" s="366">
        <f t="shared" ref="N27" si="11">F27-SUM(F28:F31)</f>
        <v>0</v>
      </c>
      <c r="O27" s="366">
        <f t="shared" ref="O27" si="12">G27-SUM(G28:G31)</f>
        <v>0</v>
      </c>
    </row>
    <row r="28" spans="1:15" hidden="1" x14ac:dyDescent="0.2">
      <c r="A28" s="5" t="str">
        <f>CONCATENATE(B28,$B$27)</f>
        <v>COENSP</v>
      </c>
      <c r="B28" s="260" t="s">
        <v>865</v>
      </c>
      <c r="C28" s="389"/>
      <c r="D28" s="6" t="s">
        <v>596</v>
      </c>
      <c r="E28" s="365">
        <f>SUMIF(NDOH!$S:$S,$A28,NDOH!H:H)+SUMIF(PDOH!$S:$S,$A28,PDOH!H:H)+SUMIF('DM&amp;Metros'!$S:$S,$A28,'DM&amp;Metros'!H:H)+SUMIF(NDSD!$S:$S,$A28,NDSD!H:H)+SUMIF(PDSD!$S:$S,$A28,PDSD!H:H)+SUMIF(SASSA!$S:$S,$A28,SASSA!H:H)+SUMIF(Agriculture!$S:$S,$A28,Agriculture!H:H)</f>
        <v>12984950.65802088</v>
      </c>
      <c r="F28" s="365">
        <f>SUMIF(NDOH!$S:$S,$A28,NDOH!I:I)+SUMIF(PDOH!$S:$S,$A28,PDOH!I:I)+SUMIF('DM&amp;Metros'!$S:$S,$A28,'DM&amp;Metros'!I:I)+SUMIF(NDSD!$S:$S,$A28,NDSD!I:I)+SUMIF(PDSD!$S:$S,$A28,PDSD!I:I)+SUMIF(SASSA!$S:$S,$A28,SASSA!I:I)+SUMIF(Agriculture!$S:$S,$A28,Agriculture!I:I)</f>
        <v>13841957.401450258</v>
      </c>
      <c r="G28" s="365">
        <f>SUMIF(NDOH!$S:$S,$A28,NDOH!J:J)+SUMIF(PDOH!$S:$S,$A28,PDOH!J:J)+SUMIF('DM&amp;Metros'!$S:$S,$A28,'DM&amp;Metros'!J:J)+SUMIF(NDSD!$S:$S,$A28,NDSD!J:J)+SUMIF(PDSD!$S:$S,$A28,PDSD!J:J)+SUMIF(SASSA!$S:$S,$A28,SASSA!J:J)+SUMIF(Agriculture!$S:$S,$A28,Agriculture!J:J)</f>
        <v>14755526.589945979</v>
      </c>
      <c r="H28" s="365">
        <f>SUMIF(NDOH!$S:$S,$A28,NDOH!K:K)+SUMIF(PDOH!$S:$S,$A28,PDOH!K:K)+SUMIF('DM&amp;Metros'!$S:$S,$A28,'DM&amp;Metros'!K:K)+SUMIF(NDSD!$S:$S,$A28,NDSD!K:K)+SUMIF(PDSD!$S:$S,$A28,PDSD!K:K)+SUMIF(SASSA!$S:$S,$A28,SASSA!K:K)+SUMIF(Agriculture!$S:$S,$A28,Agriculture!K:K)</f>
        <v>12984950.65802088</v>
      </c>
      <c r="I28" s="365">
        <f>SUMIF(NDOH!$S:$S,$A28,NDOH!L:L)+SUMIF(PDOH!$S:$S,$A28,PDOH!L:L)+SUMIF('DM&amp;Metros'!$S:$S,$A28,'DM&amp;Metros'!L:L)+SUMIF(NDSD!$S:$S,$A28,NDSD!L:L)+SUMIF(PDSD!$S:$S,$A28,PDSD!L:L)+SUMIF(SASSA!$S:$S,$A28,SASSA!L:L)+SUMIF(Agriculture!$S:$S,$A28,Agriculture!L:L)</f>
        <v>12984950.65802088</v>
      </c>
      <c r="J28" s="365">
        <f>SUMIF(NDOH!$S:$S,$A28,NDOH!M:M)+SUMIF(PDOH!$S:$S,$A28,PDOH!M:M)+SUMIF('DM&amp;Metros'!$S:$S,$A28,'DM&amp;Metros'!M:M)+SUMIF(NDSD!$S:$S,$A28,NDSD!M:M)+SUMIF(PDSD!$S:$S,$A28,PDSD!M:M)+SUMIF(SASSA!$S:$S,$A28,SASSA!M:M)+SUMIF(Agriculture!$S:$S,$A28,Agriculture!M:M)</f>
        <v>12984950.65802088</v>
      </c>
    </row>
    <row r="29" spans="1:15" hidden="1" x14ac:dyDescent="0.2">
      <c r="A29" s="5" t="str">
        <f t="shared" ref="A29:A31" si="13">CONCATENATE(B29,$B$27)</f>
        <v>GSNSP</v>
      </c>
      <c r="B29" s="260" t="s">
        <v>866</v>
      </c>
      <c r="C29" s="389"/>
      <c r="D29" s="6" t="s">
        <v>597</v>
      </c>
      <c r="E29" s="215">
        <f>SUMIF(NDOH!$S:$S,$A29,NDOH!H:H)+SUMIF(PDOH!$S:$S,$A29,PDOH!H:H)+SUMIF('DM&amp;Metros'!$S:$S,$A29,'DM&amp;Metros'!H:H)+SUMIF(NDSD!$S:$S,$A29,NDSD!H:H)+SUMIF(PDSD!$S:$S,$A29,PDSD!H:H)+SUMIF(SASSA!$S:$S,$A29,SASSA!H:H)+SUMIF(Agriculture!$S:$S,$A29,Agriculture!H:H)</f>
        <v>16259930.29658966</v>
      </c>
      <c r="F29" s="215">
        <f>SUMIF(NDOH!$S:$S,$A29,NDOH!I:I)+SUMIF(PDOH!$S:$S,$A29,PDOH!I:I)+SUMIF('DM&amp;Metros'!$S:$S,$A29,'DM&amp;Metros'!I:I)+SUMIF(NDSD!$S:$S,$A29,NDSD!I:I)+SUMIF(PDSD!$S:$S,$A29,PDSD!I:I)+SUMIF(SASSA!$S:$S,$A29,SASSA!I:I)+SUMIF(Agriculture!$S:$S,$A29,Agriculture!I:I)</f>
        <v>17170486.393198684</v>
      </c>
      <c r="G29" s="215">
        <f>SUMIF(NDOH!$S:$S,$A29,NDOH!J:J)+SUMIF(PDOH!$S:$S,$A29,PDOH!J:J)+SUMIF('DM&amp;Metros'!$S:$S,$A29,'DM&amp;Metros'!J:J)+SUMIF(NDSD!$S:$S,$A29,NDSD!J:J)+SUMIF(PDSD!$S:$S,$A29,PDSD!J:J)+SUMIF(SASSA!$S:$S,$A29,SASSA!J:J)+SUMIF(Agriculture!$S:$S,$A29,Agriculture!J:J)</f>
        <v>18132033.631217811</v>
      </c>
      <c r="H29" s="215">
        <f>SUMIF(NDOH!$S:$S,$A29,NDOH!K:K)+SUMIF(PDOH!$S:$S,$A29,PDOH!K:K)+SUMIF('DM&amp;Metros'!$S:$S,$A29,'DM&amp;Metros'!K:K)+SUMIF(NDSD!$S:$S,$A29,NDSD!K:K)+SUMIF(PDSD!$S:$S,$A29,PDSD!K:K)+SUMIF(SASSA!$S:$S,$A29,SASSA!K:K)+SUMIF(Agriculture!$S:$S,$A29,Agriculture!K:K)</f>
        <v>16259930.29658966</v>
      </c>
      <c r="I29" s="215">
        <f>SUMIF(NDOH!$S:$S,$A29,NDOH!L:L)+SUMIF(PDOH!$S:$S,$A29,PDOH!L:L)+SUMIF('DM&amp;Metros'!$S:$S,$A29,'DM&amp;Metros'!L:L)+SUMIF(NDSD!$S:$S,$A29,NDSD!L:L)+SUMIF(PDSD!$S:$S,$A29,PDSD!L:L)+SUMIF(SASSA!$S:$S,$A29,SASSA!L:L)+SUMIF(Agriculture!$S:$S,$A29,Agriculture!L:L)</f>
        <v>16259930.29658966</v>
      </c>
      <c r="J29" s="215">
        <f>SUMIF(NDOH!$S:$S,$A29,NDOH!M:M)+SUMIF(PDOH!$S:$S,$A29,PDOH!M:M)+SUMIF('DM&amp;Metros'!$S:$S,$A29,'DM&amp;Metros'!M:M)+SUMIF(NDSD!$S:$S,$A29,NDSD!M:M)+SUMIF(PDSD!$S:$S,$A29,PDSD!M:M)+SUMIF(SASSA!$S:$S,$A29,SASSA!M:M)+SUMIF(Agriculture!$S:$S,$A29,Agriculture!M:M)</f>
        <v>16259930.29658966</v>
      </c>
    </row>
    <row r="30" spans="1:15" hidden="1" x14ac:dyDescent="0.2">
      <c r="A30" s="5" t="str">
        <f t="shared" si="13"/>
        <v>MSNSP</v>
      </c>
      <c r="B30" s="260" t="s">
        <v>864</v>
      </c>
      <c r="C30" s="389"/>
      <c r="D30" s="6" t="s">
        <v>998</v>
      </c>
      <c r="E30" s="215">
        <f>SUMIF(NDOH!$S:$S,$A30,NDOH!H:H)+SUMIF(PDOH!$S:$S,$A30,PDOH!H:H)+SUMIF('DM&amp;Metros'!$S:$S,$A30,'DM&amp;Metros'!H:H)+SUMIF(NDSD!$S:$S,$A30,NDSD!H:H)+SUMIF(PDSD!$S:$S,$A30,PDSD!H:H)+SUMIF(SASSA!$S:$S,$A30,SASSA!H:H)+SUMIF(Agriculture!$S:$S,$A30,Agriculture!H:H)</f>
        <v>0</v>
      </c>
      <c r="F30" s="215">
        <f>SUMIF(NDOH!$S:$S,$A30,NDOH!I:I)+SUMIF(PDOH!$S:$S,$A30,PDOH!I:I)+SUMIF('DM&amp;Metros'!$S:$S,$A30,'DM&amp;Metros'!I:I)+SUMIF(NDSD!$S:$S,$A30,NDSD!I:I)+SUMIF(PDSD!$S:$S,$A30,PDSD!I:I)+SUMIF(SASSA!$S:$S,$A30,SASSA!I:I)+SUMIF(Agriculture!$S:$S,$A30,Agriculture!I:I)</f>
        <v>0</v>
      </c>
      <c r="G30" s="215">
        <f>SUMIF(NDOH!$S:$S,$A30,NDOH!J:J)+SUMIF(PDOH!$S:$S,$A30,PDOH!J:J)+SUMIF('DM&amp;Metros'!$S:$S,$A30,'DM&amp;Metros'!J:J)+SUMIF(NDSD!$S:$S,$A30,NDSD!J:J)+SUMIF(PDSD!$S:$S,$A30,PDSD!J:J)+SUMIF(SASSA!$S:$S,$A30,SASSA!J:J)+SUMIF(Agriculture!$S:$S,$A30,Agriculture!J:J)</f>
        <v>0</v>
      </c>
      <c r="H30" s="215">
        <f>SUMIF(NDOH!$S:$S,$A30,NDOH!K:K)+SUMIF(PDOH!$S:$S,$A30,PDOH!K:K)+SUMIF('DM&amp;Metros'!$S:$S,$A30,'DM&amp;Metros'!K:K)+SUMIF(NDSD!$S:$S,$A30,NDSD!K:K)+SUMIF(PDSD!$S:$S,$A30,PDSD!K:K)+SUMIF(SASSA!$S:$S,$A30,SASSA!K:K)+SUMIF(Agriculture!$S:$S,$A30,Agriculture!K:K)</f>
        <v>0</v>
      </c>
      <c r="I30" s="215">
        <f>SUMIF(NDOH!$S:$S,$A30,NDOH!L:L)+SUMIF(PDOH!$S:$S,$A30,PDOH!L:L)+SUMIF('DM&amp;Metros'!$S:$S,$A30,'DM&amp;Metros'!L:L)+SUMIF(NDSD!$S:$S,$A30,NDSD!L:L)+SUMIF(PDSD!$S:$S,$A30,PDSD!L:L)+SUMIF(SASSA!$S:$S,$A30,SASSA!L:L)+SUMIF(Agriculture!$S:$S,$A30,Agriculture!L:L)</f>
        <v>0</v>
      </c>
      <c r="J30" s="215">
        <f>SUMIF(NDOH!$S:$S,$A30,NDOH!M:M)+SUMIF(PDOH!$S:$S,$A30,PDOH!M:M)+SUMIF('DM&amp;Metros'!$S:$S,$A30,'DM&amp;Metros'!M:M)+SUMIF(NDSD!$S:$S,$A30,NDSD!M:M)+SUMIF(PDSD!$S:$S,$A30,PDSD!M:M)+SUMIF(SASSA!$S:$S,$A30,SASSA!M:M)+SUMIF(Agriculture!$S:$S,$A30,Agriculture!M:M)</f>
        <v>0</v>
      </c>
    </row>
    <row r="31" spans="1:15" hidden="1" x14ac:dyDescent="0.2">
      <c r="A31" s="5" t="str">
        <f t="shared" si="13"/>
        <v>TSNSP</v>
      </c>
      <c r="B31" s="260" t="s">
        <v>992</v>
      </c>
      <c r="C31" s="389"/>
      <c r="D31" s="6" t="s">
        <v>756</v>
      </c>
      <c r="E31" s="215">
        <f>SUMIF(NDOH!$S:$S,$A31,NDOH!H:H)+SUMIF(PDOH!$S:$S,$A31,PDOH!H:H)+SUMIF('DM&amp;Metros'!$S:$S,$A31,'DM&amp;Metros'!H:H)+SUMIF(NDSD!$S:$S,$A31,NDSD!H:H)+SUMIF(PDSD!$S:$S,$A31,PDSD!H:H)+SUMIF(SASSA!$S:$S,$A31,SASSA!H:H)+SUMIF(Agriculture!$S:$S,$A31,Agriculture!H:H)</f>
        <v>0</v>
      </c>
      <c r="F31" s="215">
        <f>SUMIF(NDOH!$S:$S,$A31,NDOH!I:I)+SUMIF(PDOH!$S:$S,$A31,PDOH!I:I)+SUMIF('DM&amp;Metros'!$S:$S,$A31,'DM&amp;Metros'!I:I)+SUMIF(NDSD!$S:$S,$A31,NDSD!I:I)+SUMIF(PDSD!$S:$S,$A31,PDSD!I:I)+SUMIF(SASSA!$S:$S,$A31,SASSA!I:I)+SUMIF(Agriculture!$S:$S,$A31,Agriculture!I:I)</f>
        <v>0</v>
      </c>
      <c r="G31" s="215">
        <f>SUMIF(NDOH!$S:$S,$A31,NDOH!J:J)+SUMIF(PDOH!$S:$S,$A31,PDOH!J:J)+SUMIF('DM&amp;Metros'!$S:$S,$A31,'DM&amp;Metros'!J:J)+SUMIF(NDSD!$S:$S,$A31,NDSD!J:J)+SUMIF(PDSD!$S:$S,$A31,PDSD!J:J)+SUMIF(SASSA!$S:$S,$A31,SASSA!J:J)+SUMIF(Agriculture!$S:$S,$A31,Agriculture!J:J)</f>
        <v>0</v>
      </c>
      <c r="H31" s="215">
        <f>SUMIF(NDOH!$S:$S,$A31,NDOH!K:K)+SUMIF(PDOH!$S:$S,$A31,PDOH!K:K)+SUMIF('DM&amp;Metros'!$S:$S,$A31,'DM&amp;Metros'!K:K)+SUMIF(NDSD!$S:$S,$A31,NDSD!K:K)+SUMIF(PDSD!$S:$S,$A31,PDSD!K:K)+SUMIF(SASSA!$S:$S,$A31,SASSA!K:K)+SUMIF(Agriculture!$S:$S,$A31,Agriculture!K:K)</f>
        <v>0</v>
      </c>
      <c r="I31" s="215">
        <f>SUMIF(NDOH!$S:$S,$A31,NDOH!L:L)+SUMIF(PDOH!$S:$S,$A31,PDOH!L:L)+SUMIF('DM&amp;Metros'!$S:$S,$A31,'DM&amp;Metros'!L:L)+SUMIF(NDSD!$S:$S,$A31,NDSD!L:L)+SUMIF(PDSD!$S:$S,$A31,PDSD!L:L)+SUMIF(SASSA!$S:$S,$A31,SASSA!L:L)+SUMIF(Agriculture!$S:$S,$A31,Agriculture!L:L)</f>
        <v>0</v>
      </c>
      <c r="J31" s="215">
        <f>SUMIF(NDOH!$S:$S,$A31,NDOH!M:M)+SUMIF(PDOH!$S:$S,$A31,PDOH!M:M)+SUMIF('DM&amp;Metros'!$S:$S,$A31,'DM&amp;Metros'!M:M)+SUMIF(NDSD!$S:$S,$A31,NDSD!M:M)+SUMIF(PDSD!$S:$S,$A31,PDSD!M:M)+SUMIF(SASSA!$S:$S,$A31,SASSA!M:M)+SUMIF(Agriculture!$S:$S,$A31,Agriculture!M:M)</f>
        <v>0</v>
      </c>
    </row>
    <row r="32" spans="1:15" hidden="1" x14ac:dyDescent="0.2"/>
    <row r="33" spans="4:10" x14ac:dyDescent="0.2">
      <c r="D33" s="5" t="s">
        <v>598</v>
      </c>
      <c r="E33" s="239">
        <f t="shared" ref="E33:J33" si="14">E27+E22+E17+E12+E7</f>
        <v>14719476440.875086</v>
      </c>
      <c r="F33" s="239">
        <f t="shared" si="14"/>
        <v>15717250466.345898</v>
      </c>
      <c r="G33" s="239">
        <f t="shared" si="14"/>
        <v>16622984452.411972</v>
      </c>
      <c r="H33" s="239">
        <f t="shared" si="14"/>
        <v>10300798593.504608</v>
      </c>
      <c r="I33" s="239">
        <f t="shared" si="14"/>
        <v>13175855718.832739</v>
      </c>
      <c r="J33" s="239">
        <f t="shared" si="14"/>
        <v>13756447040.47118</v>
      </c>
    </row>
    <row r="41" spans="4:10" x14ac:dyDescent="0.2">
      <c r="F41" s="5" t="s">
        <v>945</v>
      </c>
    </row>
    <row r="42" spans="4:10" x14ac:dyDescent="0.2">
      <c r="F42" s="5" t="s">
        <v>946</v>
      </c>
    </row>
    <row r="43" spans="4:10" x14ac:dyDescent="0.2">
      <c r="F43" s="5" t="s">
        <v>947</v>
      </c>
    </row>
    <row r="44" spans="4:10" x14ac:dyDescent="0.2">
      <c r="F44" s="5" t="s">
        <v>948</v>
      </c>
    </row>
    <row r="45" spans="4:10" x14ac:dyDescent="0.2">
      <c r="F45" s="5" t="s">
        <v>949</v>
      </c>
    </row>
  </sheetData>
  <mergeCells count="1">
    <mergeCell ref="E5:G5"/>
  </mergeCells>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P93"/>
  <sheetViews>
    <sheetView showGridLines="0" zoomScale="90" zoomScaleNormal="90" zoomScalePageLayoutView="90" workbookViewId="0">
      <pane xSplit="4" ySplit="6" topLeftCell="E7" activePane="bottomRight" state="frozen"/>
      <selection activeCell="H37" sqref="H37"/>
      <selection pane="topRight" activeCell="H37" sqref="H37"/>
      <selection pane="bottomLeft" activeCell="H37" sqref="H37"/>
      <selection pane="bottomRight" activeCell="H37" sqref="H37"/>
    </sheetView>
  </sheetViews>
  <sheetFormatPr defaultColWidth="8.85546875" defaultRowHeight="12.75" x14ac:dyDescent="0.2"/>
  <cols>
    <col min="1" max="1" width="9.140625" style="5" bestFit="1" customWidth="1"/>
    <col min="2" max="2" width="5.140625" style="5" customWidth="1"/>
    <col min="3" max="3" width="8.85546875" style="5"/>
    <col min="4" max="4" width="39.42578125" style="5" customWidth="1"/>
    <col min="5" max="10" width="18.28515625" style="5" customWidth="1"/>
    <col min="11" max="11" width="14" style="5" bestFit="1" customWidth="1"/>
    <col min="12" max="12" width="8.85546875" style="5"/>
    <col min="13" max="13" width="14" style="366" bestFit="1" customWidth="1"/>
    <col min="14" max="15" width="12.85546875" style="366" bestFit="1" customWidth="1"/>
    <col min="16" max="16384" width="8.85546875" style="5"/>
  </cols>
  <sheetData>
    <row r="1" spans="1:16" ht="23.25" x14ac:dyDescent="0.35">
      <c r="B1" s="421"/>
      <c r="C1" s="109"/>
      <c r="D1" s="109" t="s">
        <v>1010</v>
      </c>
      <c r="E1" s="109"/>
      <c r="F1" s="109"/>
      <c r="G1" s="109"/>
      <c r="H1" s="109"/>
      <c r="I1" s="109"/>
      <c r="J1" s="109"/>
      <c r="M1" s="5"/>
      <c r="P1" s="366"/>
    </row>
    <row r="2" spans="1:16" ht="16.5" customHeight="1" x14ac:dyDescent="0.2">
      <c r="D2" s="418" t="str">
        <f>Summary!B4</f>
        <v>South Africa</v>
      </c>
      <c r="E2" s="5" t="s">
        <v>1337</v>
      </c>
    </row>
    <row r="3" spans="1:16" ht="15.75" customHeight="1" x14ac:dyDescent="0.2">
      <c r="D3" s="5">
        <f>IF(D2="South Africa",1,0)</f>
        <v>1</v>
      </c>
    </row>
    <row r="4" spans="1:16" ht="18" customHeight="1" x14ac:dyDescent="0.2">
      <c r="E4" s="288"/>
      <c r="F4" s="289"/>
      <c r="G4" s="290"/>
      <c r="H4" s="291"/>
      <c r="I4" s="291"/>
      <c r="J4" s="292"/>
    </row>
    <row r="5" spans="1:16" x14ac:dyDescent="0.2">
      <c r="E5" s="1130" t="s">
        <v>381</v>
      </c>
      <c r="F5" s="1130"/>
      <c r="G5" s="1130"/>
      <c r="H5" s="28" t="s">
        <v>382</v>
      </c>
      <c r="I5" s="29" t="s">
        <v>382</v>
      </c>
      <c r="J5" s="607" t="s">
        <v>1289</v>
      </c>
    </row>
    <row r="6" spans="1:16" x14ac:dyDescent="0.2">
      <c r="E6" s="404" t="s">
        <v>385</v>
      </c>
      <c r="F6" s="404" t="s">
        <v>386</v>
      </c>
      <c r="G6" s="404" t="s">
        <v>1033</v>
      </c>
      <c r="H6" s="28" t="s">
        <v>385</v>
      </c>
      <c r="I6" s="29" t="s">
        <v>385</v>
      </c>
      <c r="J6" s="29" t="s">
        <v>385</v>
      </c>
    </row>
    <row r="7" spans="1:16" x14ac:dyDescent="0.2">
      <c r="B7" s="5" t="s">
        <v>984</v>
      </c>
      <c r="D7" s="423" t="s">
        <v>945</v>
      </c>
      <c r="E7" s="424">
        <f>SUMIF(NDOH!$R:$R,$B7,NDOH!H:H)+SUMIF(PDOH!$R:$R,$B7,PDOH!H:H)+SUMIF('DM&amp;Metros'!$R:$R,$B7,'DM&amp;Metros'!H:H)</f>
        <v>19930331.255724806</v>
      </c>
      <c r="F7" s="424">
        <f>SUMIF(NDOH!$R:$R,$B7,NDOH!I:I)+SUMIF(PDOH!$R:$R,$B7,PDOH!I:I)+SUMIF('DM&amp;Metros'!$R:$R,$B7,'DM&amp;Metros'!I:I)</f>
        <v>21152138.61569858</v>
      </c>
      <c r="G7" s="424">
        <f>SUMIF(NDOH!$R:$R,$B7,NDOH!J:J)+SUMIF(PDOH!$R:$R,$B7,PDOH!J:J)+SUMIF('DM&amp;Metros'!$R:$R,$B7,'DM&amp;Metros'!J:J)</f>
        <v>22535405.083555609</v>
      </c>
      <c r="H7" s="424">
        <f>SUMIF(NDOH!$R:$R,$B7,NDOH!K:K)+SUMIF(PDOH!$R:$R,$B7,PDOH!K:K)+SUMIF('DM&amp;Metros'!$R:$R,$B7,'DM&amp;Metros'!K:K)</f>
        <v>19931270.765484806</v>
      </c>
      <c r="I7" s="424">
        <f>SUMIF(NDOH!$R:$R,$B7,NDOH!L:L)+SUMIF(PDOH!$R:$R,$B7,PDOH!L:L)+SUMIF('DM&amp;Metros'!$R:$R,$B7,'DM&amp;Metros'!L:L)</f>
        <v>19930331.255724806</v>
      </c>
      <c r="J7" s="424">
        <f>SUMIF(NDOH!$R:$R,$B7,NDOH!M:M)+SUMIF(PDOH!$R:$R,$B7,PDOH!M:M)+SUMIF('DM&amp;Metros'!$R:$R,$B7,'DM&amp;Metros'!M:M)</f>
        <v>19027774.511724811</v>
      </c>
      <c r="M7" s="366">
        <f>E7-SUM(E8:E11)</f>
        <v>0</v>
      </c>
      <c r="N7" s="366">
        <f>F7-SUM(F8:F11)</f>
        <v>0</v>
      </c>
      <c r="O7" s="366">
        <f>G7-SUM(G8:G11)</f>
        <v>0</v>
      </c>
    </row>
    <row r="8" spans="1:16" x14ac:dyDescent="0.2">
      <c r="A8" s="5" t="str">
        <f>CONCATENATE(B8,$B$7)</f>
        <v>COEPM</v>
      </c>
      <c r="B8" s="260" t="s">
        <v>865</v>
      </c>
      <c r="D8" s="6" t="s">
        <v>596</v>
      </c>
      <c r="E8" s="215">
        <f>SUMIF(NDOH!$S:$S,$A8,NDOH!H:H)*$D$3+SUMIF(PDOH!$S:$S,$A8,PDOH!H:H)+SUMIF('DM&amp;Metros'!$S:$S,$A8,'DM&amp;Metros'!H:H)</f>
        <v>18666002.193224806</v>
      </c>
      <c r="F8" s="215">
        <f>SUMIF(NDOH!$S:$S,$A8,NDOH!I:I)*$D$3+SUMIF(PDOH!$S:$S,$A8,PDOH!I:I)+SUMIF('DM&amp;Metros'!$S:$S,$A8,'DM&amp;Metros'!I:I)</f>
        <v>19897727.765698578</v>
      </c>
      <c r="G8" s="215">
        <f>SUMIF(NDOH!$S:$S,$A8,NDOH!J:J)*$D$3+SUMIF(PDOH!$S:$S,$A8,PDOH!J:J)+SUMIF('DM&amp;Metros'!$S:$S,$A8,'DM&amp;Metros'!J:J)</f>
        <v>21210747.225955609</v>
      </c>
      <c r="H8" s="215">
        <f>SUMIF(NDOH!$S:$S,$A8,NDOH!K:K)*$D$3+SUMIF(PDOH!$S:$S,$A8,PDOH!K:K)+SUMIF('DM&amp;Metros'!$S:$S,$A8,'DM&amp;Metros'!K:K)</f>
        <v>18666002.193224806</v>
      </c>
      <c r="I8" s="215">
        <f>SUMIF(NDOH!$S:$S,$A8,NDOH!L:L)*$D$3+SUMIF(PDOH!$S:$S,$A8,PDOH!L:L)+SUMIF('DM&amp;Metros'!$S:$S,$A8,'DM&amp;Metros'!L:L)</f>
        <v>18666002.193224806</v>
      </c>
      <c r="J8" s="215">
        <f>SUMIF(NDOH!$S:$S,$A8,NDOH!M:M)*$D$3+SUMIF(PDOH!$S:$S,$A8,PDOH!M:M)+SUMIF('DM&amp;Metros'!$S:$S,$A8,'DM&amp;Metros'!M:M)</f>
        <v>18044335.449224811</v>
      </c>
    </row>
    <row r="9" spans="1:16" x14ac:dyDescent="0.2">
      <c r="A9" s="5" t="str">
        <f t="shared" ref="A9:A11" si="0">CONCATENATE(B9,$B$7)</f>
        <v>GSPM</v>
      </c>
      <c r="B9" s="260" t="s">
        <v>866</v>
      </c>
      <c r="D9" s="6" t="s">
        <v>597</v>
      </c>
      <c r="E9" s="215">
        <f>SUMIF(NDOH!$S:$S,$A9,NDOH!H:H)*$D$3+SUMIF(PDOH!$S:$S,$A9,PDOH!H:H)+SUMIF('DM&amp;Metros'!$S:$S,$A9,'DM&amp;Metros'!H:H)</f>
        <v>1264329.0625</v>
      </c>
      <c r="F9" s="215">
        <f>SUMIF(NDOH!$S:$S,$A9,NDOH!I:I)*$D$3+SUMIF(PDOH!$S:$S,$A9,PDOH!I:I)+SUMIF('DM&amp;Metros'!$S:$S,$A9,'DM&amp;Metros'!I:I)</f>
        <v>1254410.8500000001</v>
      </c>
      <c r="G9" s="215">
        <f>SUMIF(NDOH!$S:$S,$A9,NDOH!J:J)*$D$3+SUMIF(PDOH!$S:$S,$A9,PDOH!J:J)+SUMIF('DM&amp;Metros'!$S:$S,$A9,'DM&amp;Metros'!J:J)</f>
        <v>1324657.8576000002</v>
      </c>
      <c r="H9" s="215">
        <f>SUMIF(NDOH!$S:$S,$A9,NDOH!K:K)*$D$3+SUMIF(PDOH!$S:$S,$A9,PDOH!K:K)+SUMIF('DM&amp;Metros'!$S:$S,$A9,'DM&amp;Metros'!K:K)</f>
        <v>1265268.57226</v>
      </c>
      <c r="I9" s="215">
        <f>SUMIF(NDOH!$S:$S,$A9,NDOH!L:L)*$D$3+SUMIF(PDOH!$S:$S,$A9,PDOH!L:L)+SUMIF('DM&amp;Metros'!$S:$S,$A9,'DM&amp;Metros'!L:L)</f>
        <v>1264329.0625</v>
      </c>
      <c r="J9" s="215">
        <f>SUMIF(NDOH!$S:$S,$A9,NDOH!M:M)*$D$3+SUMIF(PDOH!$S:$S,$A9,PDOH!M:M)+SUMIF('DM&amp;Metros'!$S:$S,$A9,'DM&amp;Metros'!M:M)</f>
        <v>983439.0625</v>
      </c>
    </row>
    <row r="10" spans="1:16" x14ac:dyDescent="0.2">
      <c r="A10" s="5" t="str">
        <f t="shared" si="0"/>
        <v>MSPM</v>
      </c>
      <c r="B10" s="260" t="s">
        <v>864</v>
      </c>
      <c r="D10" s="6" t="s">
        <v>998</v>
      </c>
      <c r="E10" s="215">
        <f>SUMIF(NDOH!$S:$S,$A10,NDOH!H:H)*$D$3+SUMIF(PDOH!$S:$S,$A10,PDOH!H:H)+SUMIF('DM&amp;Metros'!$S:$S,$A10,'DM&amp;Metros'!H:H)</f>
        <v>0</v>
      </c>
      <c r="F10" s="215">
        <f>SUMIF(NDOH!$S:$S,$A10,NDOH!I:I)*$D$3+SUMIF(PDOH!$S:$S,$A10,PDOH!I:I)+SUMIF('DM&amp;Metros'!$S:$S,$A10,'DM&amp;Metros'!I:I)</f>
        <v>0</v>
      </c>
      <c r="G10" s="215">
        <f>SUMIF(NDOH!$S:$S,$A10,NDOH!J:J)*$D$3+SUMIF(PDOH!$S:$S,$A10,PDOH!J:J)+SUMIF('DM&amp;Metros'!$S:$S,$A10,'DM&amp;Metros'!J:J)</f>
        <v>0</v>
      </c>
      <c r="H10" s="215">
        <f>SUMIF(NDOH!$S:$S,$A10,NDOH!K:K)*$D$3+SUMIF(PDOH!$S:$S,$A10,PDOH!K:K)+SUMIF('DM&amp;Metros'!$S:$S,$A10,'DM&amp;Metros'!K:K)</f>
        <v>0</v>
      </c>
      <c r="I10" s="215">
        <f>SUMIF(NDOH!$S:$S,$A10,NDOH!L:L)*$D$3+SUMIF(PDOH!$S:$S,$A10,PDOH!L:L)+SUMIF('DM&amp;Metros'!$S:$S,$A10,'DM&amp;Metros'!L:L)</f>
        <v>0</v>
      </c>
      <c r="J10" s="215">
        <f>SUMIF(NDOH!$S:$S,$A10,NDOH!M:M)*$D$3+SUMIF(PDOH!$S:$S,$A10,PDOH!M:M)+SUMIF('DM&amp;Metros'!$S:$S,$A10,'DM&amp;Metros'!M:M)</f>
        <v>0</v>
      </c>
    </row>
    <row r="11" spans="1:16" x14ac:dyDescent="0.2">
      <c r="A11" s="5" t="str">
        <f t="shared" si="0"/>
        <v>TSPM</v>
      </c>
      <c r="B11" s="260" t="s">
        <v>992</v>
      </c>
      <c r="D11" s="6" t="s">
        <v>756</v>
      </c>
      <c r="E11" s="215">
        <f>SUMIF(NDOH!$S:$S,$A11,NDOH!H:H)*$D$3+SUMIF(PDOH!$S:$S,$A11,PDOH!H:H)+SUMIF('DM&amp;Metros'!$S:$S,$A11,'DM&amp;Metros'!H:H)</f>
        <v>0</v>
      </c>
      <c r="F11" s="215">
        <f>SUMIF(NDOH!$S:$S,$A11,NDOH!I:I)*$D$3+SUMIF(PDOH!$S:$S,$A11,PDOH!I:I)+SUMIF('DM&amp;Metros'!$S:$S,$A11,'DM&amp;Metros'!I:I)</f>
        <v>0</v>
      </c>
      <c r="G11" s="215">
        <f>SUMIF(NDOH!$S:$S,$A11,NDOH!J:J)*$D$3+SUMIF(PDOH!$S:$S,$A11,PDOH!J:J)+SUMIF('DM&amp;Metros'!$S:$S,$A11,'DM&amp;Metros'!J:J)</f>
        <v>0</v>
      </c>
      <c r="H11" s="215">
        <f>SUMIF(NDOH!$S:$S,$A11,NDOH!K:K)*$D$3+SUMIF(PDOH!$S:$S,$A11,PDOH!K:K)+SUMIF('DM&amp;Metros'!$S:$S,$A11,'DM&amp;Metros'!K:K)</f>
        <v>0</v>
      </c>
      <c r="I11" s="215">
        <f>SUMIF(NDOH!$S:$S,$A11,NDOH!L:L)*$D$3+SUMIF(PDOH!$S:$S,$A11,PDOH!L:L)+SUMIF('DM&amp;Metros'!$S:$S,$A11,'DM&amp;Metros'!L:L)</f>
        <v>0</v>
      </c>
      <c r="J11" s="215">
        <f>SUMIF(NDOH!$S:$S,$A11,NDOH!M:M)*$D$3+SUMIF(PDOH!$S:$S,$A11,PDOH!M:M)+SUMIF('DM&amp;Metros'!$S:$S,$A11,'DM&amp;Metros'!M:M)</f>
        <v>0</v>
      </c>
    </row>
    <row r="12" spans="1:16" x14ac:dyDescent="0.2">
      <c r="B12" s="5" t="s">
        <v>985</v>
      </c>
      <c r="D12" s="423" t="s">
        <v>946</v>
      </c>
      <c r="E12" s="424">
        <f>SUMIF(NDOH!$R:$R,$B12,NDOH!H:H)+SUMIF(PDOH!$R:$R,$B12,PDOH!H:H)+SUMIF('DM&amp;Metros'!$R:$R,$B12,'DM&amp;Metros'!H:H)</f>
        <v>169219724.24410766</v>
      </c>
      <c r="F12" s="424">
        <f>SUMIF(NDOH!$R:$R,$B12,NDOH!I:I)+SUMIF(PDOH!$R:$R,$B12,PDOH!I:I)+SUMIF('DM&amp;Metros'!$R:$R,$B12,'DM&amp;Metros'!I:I)</f>
        <v>178696028.80177772</v>
      </c>
      <c r="G12" s="424">
        <f>SUMIF(NDOH!$R:$R,$B12,NDOH!J:J)+SUMIF(PDOH!$R:$R,$B12,PDOH!J:J)+SUMIF('DM&amp;Metros'!$R:$R,$B12,'DM&amp;Metros'!J:J)</f>
        <v>188703006.41467726</v>
      </c>
      <c r="H12" s="424">
        <f>SUMIF(NDOH!$R:$R,$B12,NDOH!K:K)+SUMIF(PDOH!$R:$R,$B12,PDOH!K:K)+SUMIF('DM&amp;Metros'!$R:$R,$B12,'DM&amp;Metros'!K:K)</f>
        <v>141846924.24410766</v>
      </c>
      <c r="I12" s="424">
        <f>SUMIF(NDOH!$R:$R,$B12,NDOH!L:L)+SUMIF(PDOH!$R:$R,$B12,PDOH!L:L)+SUMIF('DM&amp;Metros'!$R:$R,$B12,'DM&amp;Metros'!L:L)</f>
        <v>171500790.91077435</v>
      </c>
      <c r="J12" s="424">
        <f>SUMIF(NDOH!$R:$R,$B12,NDOH!M:M)+SUMIF(PDOH!$R:$R,$B12,PDOH!M:M)+SUMIF('DM&amp;Metros'!$R:$R,$B12,'DM&amp;Metros'!M:M)</f>
        <v>169219724.24410766</v>
      </c>
      <c r="M12" s="366">
        <f>E12-SUM(E13:E16)</f>
        <v>0</v>
      </c>
      <c r="N12" s="366">
        <f t="shared" ref="N12" si="1">F12-SUM(F13:F16)</f>
        <v>0</v>
      </c>
      <c r="O12" s="366">
        <f t="shared" ref="O12" si="2">G12-SUM(G13:G16)</f>
        <v>0</v>
      </c>
    </row>
    <row r="13" spans="1:16" x14ac:dyDescent="0.2">
      <c r="A13" s="5" t="str">
        <f>CONCATENATE(B13,$B$12)</f>
        <v>COEEC</v>
      </c>
      <c r="B13" s="260" t="s">
        <v>865</v>
      </c>
      <c r="D13" s="6" t="s">
        <v>596</v>
      </c>
      <c r="E13" s="215">
        <f>SUMIF(NDOH!$S:$S,$A13,NDOH!H:H)*$D$3+SUMIF(PDOH!$S:$S,$A13,PDOH!H:H)+SUMIF('DM&amp;Metros'!$S:$S,$A13,'DM&amp;Metros'!H:H)</f>
        <v>0</v>
      </c>
      <c r="F13" s="215">
        <f>SUMIF(NDOH!$S:$S,$A13,NDOH!I:I)*$D$3+SUMIF(PDOH!$S:$S,$A13,PDOH!I:I)+SUMIF('DM&amp;Metros'!$S:$S,$A13,'DM&amp;Metros'!I:I)</f>
        <v>0</v>
      </c>
      <c r="G13" s="215">
        <f>SUMIF(NDOH!$S:$S,$A13,NDOH!J:J)*$D$3+SUMIF(PDOH!$S:$S,$A13,PDOH!J:J)+SUMIF('DM&amp;Metros'!$S:$S,$A13,'DM&amp;Metros'!J:J)</f>
        <v>0</v>
      </c>
      <c r="H13" s="215">
        <f>SUMIF(NDOH!$S:$S,$A13,NDOH!K:K)*$D$3+SUMIF(PDOH!$S:$S,$A13,PDOH!K:K)+SUMIF('DM&amp;Metros'!$S:$S,$A13,'DM&amp;Metros'!K:K)</f>
        <v>0</v>
      </c>
      <c r="I13" s="215">
        <f>SUMIF(NDOH!$S:$S,$A13,NDOH!L:L)*$D$3+SUMIF(PDOH!$S:$S,$A13,PDOH!L:L)+SUMIF('DM&amp;Metros'!$S:$S,$A13,'DM&amp;Metros'!L:L)</f>
        <v>0</v>
      </c>
      <c r="J13" s="215">
        <f>SUMIF(NDOH!$S:$S,$A13,NDOH!M:M)*$D$3+SUMIF(PDOH!$S:$S,$A13,PDOH!M:M)+SUMIF('DM&amp;Metros'!$S:$S,$A13,'DM&amp;Metros'!M:M)</f>
        <v>0</v>
      </c>
    </row>
    <row r="14" spans="1:16" x14ac:dyDescent="0.2">
      <c r="A14" s="5" t="str">
        <f t="shared" ref="A14:A16" si="3">CONCATENATE(B14,$B$12)</f>
        <v>GSEC</v>
      </c>
      <c r="B14" s="260" t="s">
        <v>866</v>
      </c>
      <c r="D14" s="6" t="s">
        <v>597</v>
      </c>
      <c r="E14" s="215">
        <f>SUMIF(NDOH!$S:$S,$A14,NDOH!H:H)*$D$3+SUMIF(PDOH!$S:$S,$A14,PDOH!H:H)+SUMIF('DM&amp;Metros'!$S:$S,$A14,'DM&amp;Metros'!H:H)</f>
        <v>169219724.24410766</v>
      </c>
      <c r="F14" s="215">
        <f>SUMIF(NDOH!$S:$S,$A14,NDOH!I:I)*$D$3+SUMIF(PDOH!$S:$S,$A14,PDOH!I:I)+SUMIF('DM&amp;Metros'!$S:$S,$A14,'DM&amp;Metros'!I:I)</f>
        <v>178696028.80177772</v>
      </c>
      <c r="G14" s="215">
        <f>SUMIF(NDOH!$S:$S,$A14,NDOH!J:J)*$D$3+SUMIF(PDOH!$S:$S,$A14,PDOH!J:J)+SUMIF('DM&amp;Metros'!$S:$S,$A14,'DM&amp;Metros'!J:J)</f>
        <v>188703006.41467726</v>
      </c>
      <c r="H14" s="215">
        <f>SUMIF(NDOH!$S:$S,$A14,NDOH!K:K)*$D$3+SUMIF(PDOH!$S:$S,$A14,PDOH!K:K)+SUMIF('DM&amp;Metros'!$S:$S,$A14,'DM&amp;Metros'!K:K)</f>
        <v>141846924.24410766</v>
      </c>
      <c r="I14" s="215">
        <f>SUMIF(NDOH!$S:$S,$A14,NDOH!L:L)*$D$3+SUMIF(PDOH!$S:$S,$A14,PDOH!L:L)+SUMIF('DM&amp;Metros'!$S:$S,$A14,'DM&amp;Metros'!L:L)</f>
        <v>171500790.91077435</v>
      </c>
      <c r="J14" s="215">
        <f>SUMIF(NDOH!$S:$S,$A14,NDOH!M:M)*$D$3+SUMIF(PDOH!$S:$S,$A14,PDOH!M:M)+SUMIF('DM&amp;Metros'!$S:$S,$A14,'DM&amp;Metros'!M:M)</f>
        <v>169219724.24410766</v>
      </c>
    </row>
    <row r="15" spans="1:16" x14ac:dyDescent="0.2">
      <c r="A15" s="5" t="str">
        <f t="shared" si="3"/>
        <v>MSEC</v>
      </c>
      <c r="B15" s="260" t="s">
        <v>864</v>
      </c>
      <c r="D15" s="6" t="s">
        <v>998</v>
      </c>
      <c r="E15" s="215">
        <f>SUMIF(NDOH!$S:$S,$A15,NDOH!H:H)*$D$3+SUMIF(PDOH!$S:$S,$A15,PDOH!H:H)+SUMIF('DM&amp;Metros'!$S:$S,$A15,'DM&amp;Metros'!H:H)</f>
        <v>0</v>
      </c>
      <c r="F15" s="215">
        <f>SUMIF(NDOH!$S:$S,$A15,NDOH!I:I)*$D$3+SUMIF(PDOH!$S:$S,$A15,PDOH!I:I)+SUMIF('DM&amp;Metros'!$S:$S,$A15,'DM&amp;Metros'!I:I)</f>
        <v>0</v>
      </c>
      <c r="G15" s="215">
        <f>SUMIF(NDOH!$S:$S,$A15,NDOH!J:J)*$D$3+SUMIF(PDOH!$S:$S,$A15,PDOH!J:J)+SUMIF('DM&amp;Metros'!$S:$S,$A15,'DM&amp;Metros'!J:J)</f>
        <v>0</v>
      </c>
      <c r="H15" s="215">
        <f>SUMIF(NDOH!$S:$S,$A15,NDOH!K:K)*$D$3+SUMIF(PDOH!$S:$S,$A15,PDOH!K:K)+SUMIF('DM&amp;Metros'!$S:$S,$A15,'DM&amp;Metros'!K:K)</f>
        <v>0</v>
      </c>
      <c r="I15" s="215">
        <f>SUMIF(NDOH!$S:$S,$A15,NDOH!L:L)*$D$3+SUMIF(PDOH!$S:$S,$A15,PDOH!L:L)+SUMIF('DM&amp;Metros'!$S:$S,$A15,'DM&amp;Metros'!L:L)</f>
        <v>0</v>
      </c>
      <c r="J15" s="215">
        <f>SUMIF(NDOH!$S:$S,$A15,NDOH!M:M)*$D$3+SUMIF(PDOH!$S:$S,$A15,PDOH!M:M)+SUMIF('DM&amp;Metros'!$S:$S,$A15,'DM&amp;Metros'!M:M)</f>
        <v>0</v>
      </c>
    </row>
    <row r="16" spans="1:16" x14ac:dyDescent="0.2">
      <c r="A16" s="5" t="str">
        <f t="shared" si="3"/>
        <v>TSEC</v>
      </c>
      <c r="B16" s="260" t="s">
        <v>992</v>
      </c>
      <c r="D16" s="6" t="s">
        <v>756</v>
      </c>
      <c r="E16" s="215">
        <f>SUMIF(NDOH!$S:$S,$A16,NDOH!H:H)*$D$3+SUMIF(PDOH!$S:$S,$A16,PDOH!H:H)+SUMIF('DM&amp;Metros'!$S:$S,$A16,'DM&amp;Metros'!H:H)</f>
        <v>0</v>
      </c>
      <c r="F16" s="215">
        <f>SUMIF(NDOH!$S:$S,$A16,NDOH!I:I)*$D$3+SUMIF(PDOH!$S:$S,$A16,PDOH!I:I)+SUMIF('DM&amp;Metros'!$S:$S,$A16,'DM&amp;Metros'!I:I)</f>
        <v>0</v>
      </c>
      <c r="G16" s="215">
        <f>SUMIF(NDOH!$S:$S,$A16,NDOH!J:J)*$D$3+SUMIF(PDOH!$S:$S,$A16,PDOH!J:J)+SUMIF('DM&amp;Metros'!$S:$S,$A16,'DM&amp;Metros'!J:J)</f>
        <v>0</v>
      </c>
      <c r="H16" s="215">
        <f>SUMIF(NDOH!$S:$S,$A16,NDOH!K:K)*$D$3+SUMIF(PDOH!$S:$S,$A16,PDOH!K:K)+SUMIF('DM&amp;Metros'!$S:$S,$A16,'DM&amp;Metros'!K:K)</f>
        <v>0</v>
      </c>
      <c r="I16" s="215">
        <f>SUMIF(NDOH!$S:$S,$A16,NDOH!L:L)*$D$3+SUMIF(PDOH!$S:$S,$A16,PDOH!L:L)+SUMIF('DM&amp;Metros'!$S:$S,$A16,'DM&amp;Metros'!L:L)</f>
        <v>0</v>
      </c>
      <c r="J16" s="215">
        <f>SUMIF(NDOH!$S:$S,$A16,NDOH!M:M)*$D$3+SUMIF(PDOH!$S:$S,$A16,PDOH!M:M)+SUMIF('DM&amp;Metros'!$S:$S,$A16,'DM&amp;Metros'!M:M)</f>
        <v>0</v>
      </c>
    </row>
    <row r="17" spans="1:15" x14ac:dyDescent="0.2">
      <c r="B17" s="5" t="s">
        <v>986</v>
      </c>
      <c r="D17" s="423" t="s">
        <v>947</v>
      </c>
      <c r="E17" s="424">
        <f>SUMIF(NDOH!$R:$R,$B17,NDOH!H:H)+SUMIF(PDOH!$R:$R,$B17,PDOH!H:H)+SUMIF('DM&amp;Metros'!$R:$R,$B17,'DM&amp;Metros'!H:H)</f>
        <v>1212807001.9721565</v>
      </c>
      <c r="F17" s="424">
        <f>SUMIF(NDOH!$R:$R,$B17,NDOH!I:I)+SUMIF(PDOH!$R:$R,$B17,PDOH!I:I)+SUMIF('DM&amp;Metros'!$R:$R,$B17,'DM&amp;Metros'!I:I)</f>
        <v>1293976250.0774546</v>
      </c>
      <c r="G17" s="424">
        <f>SUMIF(NDOH!$R:$R,$B17,NDOH!J:J)+SUMIF(PDOH!$R:$R,$B17,PDOH!J:J)+SUMIF('DM&amp;Metros'!$R:$R,$B17,'DM&amp;Metros'!J:J)</f>
        <v>1380604559.3640275</v>
      </c>
      <c r="H17" s="424">
        <f>SUMIF(NDOH!$R:$R,$B17,NDOH!K:K)+SUMIF(PDOH!$R:$R,$B17,PDOH!K:K)+SUMIF('DM&amp;Metros'!$R:$R,$B17,'DM&amp;Metros'!K:K)</f>
        <v>210155003.83289149</v>
      </c>
      <c r="I17" s="424">
        <f>SUMIF(NDOH!$R:$R,$B17,NDOH!L:L)+SUMIF(PDOH!$R:$R,$B17,PDOH!L:L)+SUMIF('DM&amp;Metros'!$R:$R,$B17,'DM&amp;Metros'!L:L)</f>
        <v>1217544798.0958252</v>
      </c>
      <c r="J17" s="424">
        <f>SUMIF(NDOH!$R:$R,$B17,NDOH!M:M)+SUMIF(PDOH!$R:$R,$B17,PDOH!M:M)+SUMIF('DM&amp;Metros'!$R:$R,$B17,'DM&amp;Metros'!M:M)</f>
        <v>657177637.40442324</v>
      </c>
      <c r="M17" s="366">
        <f>E17-SUM(E18:E21)</f>
        <v>0</v>
      </c>
      <c r="N17" s="366">
        <f t="shared" ref="N17" si="4">F17-SUM(F18:F21)</f>
        <v>0</v>
      </c>
      <c r="O17" s="366">
        <f t="shared" ref="O17" si="5">G17-SUM(G18:G21)</f>
        <v>0</v>
      </c>
    </row>
    <row r="18" spans="1:15" x14ac:dyDescent="0.2">
      <c r="A18" s="5" t="str">
        <f>CONCATENATE(B18,$B$17)</f>
        <v>COEPI</v>
      </c>
      <c r="B18" s="260" t="s">
        <v>865</v>
      </c>
      <c r="D18" s="6" t="s">
        <v>596</v>
      </c>
      <c r="E18" s="215">
        <f>SUMIF(NDOH!$S:$S,$A18,NDOH!H:H)*$D$3+SUMIF(PDOH!$S:$S,$A18,PDOH!H:H)+SUMIF('DM&amp;Metros'!$S:$S,$A18,'DM&amp;Metros'!H:H)</f>
        <v>1162923967.3289428</v>
      </c>
      <c r="F18" s="215">
        <f>SUMIF(NDOH!$S:$S,$A18,NDOH!I:I)*$D$3+SUMIF(PDOH!$S:$S,$A18,PDOH!I:I)+SUMIF('DM&amp;Metros'!$S:$S,$A18,'DM&amp;Metros'!I:I)</f>
        <v>1239676949.1726532</v>
      </c>
      <c r="G18" s="215">
        <f>SUMIF(NDOH!$S:$S,$A18,NDOH!J:J)*$D$3+SUMIF(PDOH!$S:$S,$A18,PDOH!J:J)+SUMIF('DM&amp;Metros'!$S:$S,$A18,'DM&amp;Metros'!J:J)</f>
        <v>1321495627.8180485</v>
      </c>
      <c r="H18" s="215">
        <f>SUMIF(NDOH!$S:$S,$A18,NDOH!K:K)*$D$3+SUMIF(PDOH!$S:$S,$A18,PDOH!K:K)+SUMIF('DM&amp;Metros'!$S:$S,$A18,'DM&amp;Metros'!K:K)</f>
        <v>184503571.36890978</v>
      </c>
      <c r="I18" s="215">
        <f>SUMIF(NDOH!$S:$S,$A18,NDOH!L:L)*$D$3+SUMIF(PDOH!$S:$S,$A18,PDOH!L:L)+SUMIF('DM&amp;Metros'!$S:$S,$A18,'DM&amp;Metros'!L:L)</f>
        <v>1171906138.2038598</v>
      </c>
      <c r="J18" s="215">
        <f>SUMIF(NDOH!$S:$S,$A18,NDOH!M:M)*$D$3+SUMIF(PDOH!$S:$S,$A18,PDOH!M:M)+SUMIF('DM&amp;Metros'!$S:$S,$A18,'DM&amp;Metros'!M:M)</f>
        <v>607627135.00617099</v>
      </c>
    </row>
    <row r="19" spans="1:15" x14ac:dyDescent="0.2">
      <c r="A19" s="5" t="str">
        <f t="shared" ref="A19:A21" si="6">CONCATENATE(B19,$B$17)</f>
        <v>GSPI</v>
      </c>
      <c r="B19" s="260" t="s">
        <v>866</v>
      </c>
      <c r="D19" s="6" t="s">
        <v>597</v>
      </c>
      <c r="E19" s="215">
        <f>SUMIF(NDOH!$S:$S,$A19,NDOH!H:H)*$D$3+SUMIF(PDOH!$S:$S,$A19,PDOH!H:H)+SUMIF('DM&amp;Metros'!$S:$S,$A19,'DM&amp;Metros'!H:H)</f>
        <v>2153142.8323965995</v>
      </c>
      <c r="F19" s="215">
        <f>SUMIF(NDOH!$S:$S,$A19,NDOH!I:I)*$D$3+SUMIF(PDOH!$S:$S,$A19,PDOH!I:I)+SUMIF('DM&amp;Metros'!$S:$S,$A19,'DM&amp;Metros'!I:I)</f>
        <v>2273718.8310108092</v>
      </c>
      <c r="G19" s="215">
        <f>SUMIF(NDOH!$S:$S,$A19,NDOH!J:J)*$D$3+SUMIF(PDOH!$S:$S,$A19,PDOH!J:J)+SUMIF('DM&amp;Metros'!$S:$S,$A19,'DM&amp;Metros'!J:J)</f>
        <v>2401047.0855474146</v>
      </c>
      <c r="H19" s="215">
        <f>SUMIF(NDOH!$S:$S,$A19,NDOH!K:K)*$D$3+SUMIF(PDOH!$S:$S,$A19,PDOH!K:K)+SUMIF('DM&amp;Metros'!$S:$S,$A19,'DM&amp;Metros'!K:K)</f>
        <v>904169.03535975958</v>
      </c>
      <c r="I19" s="215">
        <f>SUMIF(NDOH!$S:$S,$A19,NDOH!L:L)*$D$3+SUMIF(PDOH!$S:$S,$A19,PDOH!L:L)+SUMIF('DM&amp;Metros'!$S:$S,$A19,'DM&amp;Metros'!L:L)</f>
        <v>1820610.5874352283</v>
      </c>
      <c r="J19" s="215">
        <f>SUMIF(NDOH!$S:$S,$A19,NDOH!M:M)*$D$3+SUMIF(PDOH!$S:$S,$A19,PDOH!M:M)+SUMIF('DM&amp;Metros'!$S:$S,$A19,'DM&amp;Metros'!M:M)</f>
        <v>1820610.5874352283</v>
      </c>
    </row>
    <row r="20" spans="1:15" x14ac:dyDescent="0.2">
      <c r="A20" s="5" t="str">
        <f t="shared" si="6"/>
        <v>MSPI</v>
      </c>
      <c r="B20" s="260" t="s">
        <v>864</v>
      </c>
      <c r="D20" s="6" t="s">
        <v>998</v>
      </c>
      <c r="E20" s="215">
        <f>SUMIF(NDOH!$S:$S,$A20,NDOH!H:H)*$D$3+SUMIF(PDOH!$S:$S,$A20,PDOH!H:H)+SUMIF('DM&amp;Metros'!$S:$S,$A20,'DM&amp;Metros'!H:H)</f>
        <v>47729891.810816929</v>
      </c>
      <c r="F20" s="215">
        <f>SUMIF(NDOH!$S:$S,$A20,NDOH!I:I)*$D$3+SUMIF(PDOH!$S:$S,$A20,PDOH!I:I)+SUMIF('DM&amp;Metros'!$S:$S,$A20,'DM&amp;Metros'!I:I)</f>
        <v>52025582.073790453</v>
      </c>
      <c r="G20" s="215">
        <f>SUMIF(NDOH!$S:$S,$A20,NDOH!J:J)*$D$3+SUMIF(PDOH!$S:$S,$A20,PDOH!J:J)+SUMIF('DM&amp;Metros'!$S:$S,$A20,'DM&amp;Metros'!J:J)</f>
        <v>56707884.460431606</v>
      </c>
      <c r="H20" s="215">
        <f>SUMIF(NDOH!$S:$S,$A20,NDOH!K:K)*$D$3+SUMIF(PDOH!$S:$S,$A20,PDOH!K:K)+SUMIF('DM&amp;Metros'!$S:$S,$A20,'DM&amp;Metros'!K:K)</f>
        <v>24747263.428621925</v>
      </c>
      <c r="I20" s="215">
        <f>SUMIF(NDOH!$S:$S,$A20,NDOH!L:L)*$D$3+SUMIF(PDOH!$S:$S,$A20,PDOH!L:L)+SUMIF('DM&amp;Metros'!$S:$S,$A20,'DM&amp;Metros'!L:L)</f>
        <v>43818049.304529928</v>
      </c>
      <c r="J20" s="215">
        <f>SUMIF(NDOH!$S:$S,$A20,NDOH!M:M)*$D$3+SUMIF(PDOH!$S:$S,$A20,PDOH!M:M)+SUMIF('DM&amp;Metros'!$S:$S,$A20,'DM&amp;Metros'!M:M)</f>
        <v>47729891.810816929</v>
      </c>
    </row>
    <row r="21" spans="1:15" x14ac:dyDescent="0.2">
      <c r="A21" s="5" t="str">
        <f t="shared" si="6"/>
        <v>TSPI</v>
      </c>
      <c r="B21" s="260" t="s">
        <v>992</v>
      </c>
      <c r="D21" s="6" t="s">
        <v>756</v>
      </c>
      <c r="E21" s="215">
        <f>SUMIF(NDOH!$S:$S,$A21,NDOH!H:H)*$D$3+SUMIF(PDOH!$S:$S,$A21,PDOH!H:H)+SUMIF('DM&amp;Metros'!$S:$S,$A21,'DM&amp;Metros'!H:H)</f>
        <v>0</v>
      </c>
      <c r="F21" s="215">
        <f>SUMIF(NDOH!$S:$S,$A21,NDOH!I:I)*$D$3+SUMIF(PDOH!$S:$S,$A21,PDOH!I:I)+SUMIF('DM&amp;Metros'!$S:$S,$A21,'DM&amp;Metros'!I:I)</f>
        <v>0</v>
      </c>
      <c r="G21" s="215">
        <f>SUMIF(NDOH!$S:$S,$A21,NDOH!J:J)*$D$3+SUMIF(PDOH!$S:$S,$A21,PDOH!J:J)+SUMIF('DM&amp;Metros'!$S:$S,$A21,'DM&amp;Metros'!J:J)</f>
        <v>0</v>
      </c>
      <c r="H21" s="215">
        <f>SUMIF(NDOH!$S:$S,$A21,NDOH!K:K)*$D$3+SUMIF(PDOH!$S:$S,$A21,PDOH!K:K)+SUMIF('DM&amp;Metros'!$S:$S,$A21,'DM&amp;Metros'!K:K)</f>
        <v>0</v>
      </c>
      <c r="I21" s="215">
        <f>SUMIF(NDOH!$S:$S,$A21,NDOH!L:L)*$D$3+SUMIF(PDOH!$S:$S,$A21,PDOH!L:L)+SUMIF('DM&amp;Metros'!$S:$S,$A21,'DM&amp;Metros'!L:L)</f>
        <v>0</v>
      </c>
      <c r="J21" s="215">
        <f>SUMIF(NDOH!$S:$S,$A21,NDOH!M:M)*$D$3+SUMIF(PDOH!$S:$S,$A21,PDOH!M:M)+SUMIF('DM&amp;Metros'!$S:$S,$A21,'DM&amp;Metros'!M:M)</f>
        <v>0</v>
      </c>
    </row>
    <row r="22" spans="1:15" x14ac:dyDescent="0.2">
      <c r="B22" s="5" t="s">
        <v>987</v>
      </c>
      <c r="D22" s="423" t="s">
        <v>948</v>
      </c>
      <c r="E22" s="424">
        <f>SUMIF(NDOH!$R:$R,$B22,NDOH!H:H)+SUMIF(PDOH!$R:$R,$B22,PDOH!H:H)+SUMIF('DM&amp;Metros'!$R:$R,$B22,'DM&amp;Metros'!H:H)</f>
        <v>4015255140.2937579</v>
      </c>
      <c r="F22" s="424">
        <f>SUMIF(NDOH!$R:$R,$B22,NDOH!I:I)+SUMIF(PDOH!$R:$R,$B22,PDOH!I:I)+SUMIF('DM&amp;Metros'!$R:$R,$B22,'DM&amp;Metros'!I:I)</f>
        <v>4409951648.46385</v>
      </c>
      <c r="G22" s="424">
        <f>SUMIF(NDOH!$R:$R,$B22,NDOH!J:J)+SUMIF(PDOH!$R:$R,$B22,PDOH!J:J)+SUMIF('DM&amp;Metros'!$R:$R,$B22,'DM&amp;Metros'!J:J)</f>
        <v>4689494575.9620314</v>
      </c>
      <c r="H22" s="424">
        <f>SUMIF(NDOH!$R:$R,$B22,NDOH!K:K)+SUMIF(PDOH!$R:$R,$B22,PDOH!K:K)+SUMIF('DM&amp;Metros'!$R:$R,$B22,'DM&amp;Metros'!K:K)</f>
        <v>2153384516.5964804</v>
      </c>
      <c r="I22" s="424">
        <f>SUMIF(NDOH!$R:$R,$B22,NDOH!L:L)+SUMIF(PDOH!$R:$R,$B22,PDOH!L:L)+SUMIF('DM&amp;Metros'!$R:$R,$B22,'DM&amp;Metros'!L:L)</f>
        <v>2100468775.8049231</v>
      </c>
      <c r="J22" s="424">
        <f>SUMIF(NDOH!$R:$R,$B22,NDOH!M:M)+SUMIF(PDOH!$R:$R,$B22,PDOH!M:M)+SUMIF('DM&amp;Metros'!$R:$R,$B22,'DM&amp;Metros'!M:M)</f>
        <v>4015255140.2937579</v>
      </c>
      <c r="M22" s="366">
        <f>E22-SUM(E23:E26)</f>
        <v>0</v>
      </c>
      <c r="N22" s="366">
        <f t="shared" ref="N22" si="7">F22-SUM(F23:F26)</f>
        <v>0</v>
      </c>
      <c r="O22" s="366">
        <f t="shared" ref="O22" si="8">G22-SUM(G23:G26)</f>
        <v>0</v>
      </c>
    </row>
    <row r="23" spans="1:15" x14ac:dyDescent="0.2">
      <c r="A23" s="5" t="str">
        <f>CONCATENATE(B23,$B$22)</f>
        <v>COECI</v>
      </c>
      <c r="B23" s="260" t="s">
        <v>865</v>
      </c>
      <c r="D23" s="6" t="s">
        <v>596</v>
      </c>
      <c r="E23" s="215">
        <f>SUMIF(NDOH!$S:$S,$A23,NDOH!H:H)*$D$3+SUMIF(PDOH!$S:$S,$A23,PDOH!H:H)+SUMIF('DM&amp;Metros'!$S:$S,$A23,'DM&amp;Metros'!H:H)</f>
        <v>2096859656.1810446</v>
      </c>
      <c r="F23" s="215">
        <f>SUMIF(NDOH!$S:$S,$A23,NDOH!I:I)*$D$3+SUMIF(PDOH!$S:$S,$A23,PDOH!I:I)+SUMIF('DM&amp;Metros'!$S:$S,$A23,'DM&amp;Metros'!I:I)</f>
        <v>2376029373.7113795</v>
      </c>
      <c r="G23" s="215">
        <f>SUMIF(NDOH!$S:$S,$A23,NDOH!J:J)*$D$3+SUMIF(PDOH!$S:$S,$A23,PDOH!J:J)+SUMIF('DM&amp;Metros'!$S:$S,$A23,'DM&amp;Metros'!J:J)</f>
        <v>2532847312.3763304</v>
      </c>
      <c r="H23" s="215">
        <f>SUMIF(NDOH!$S:$S,$A23,NDOH!K:K)*$D$3+SUMIF(PDOH!$S:$S,$A23,PDOH!K:K)+SUMIF('DM&amp;Metros'!$S:$S,$A23,'DM&amp;Metros'!K:K)</f>
        <v>1157308294.6939931</v>
      </c>
      <c r="I23" s="215">
        <f>SUMIF(NDOH!$S:$S,$A23,NDOH!L:L)*$D$3+SUMIF(PDOH!$S:$S,$A23,PDOH!L:L)+SUMIF('DM&amp;Metros'!$S:$S,$A23,'DM&amp;Metros'!L:L)</f>
        <v>1256650033.3148825</v>
      </c>
      <c r="J23" s="215">
        <f>SUMIF(NDOH!$S:$S,$A23,NDOH!M:M)*$D$3+SUMIF(PDOH!$S:$S,$A23,PDOH!M:M)+SUMIF('DM&amp;Metros'!$S:$S,$A23,'DM&amp;Metros'!M:M)</f>
        <v>2096859656.1810446</v>
      </c>
    </row>
    <row r="24" spans="1:15" x14ac:dyDescent="0.2">
      <c r="A24" s="5" t="str">
        <f t="shared" ref="A24:A26" si="9">CONCATENATE(B24,$B$22)</f>
        <v>GSCI</v>
      </c>
      <c r="B24" s="260" t="s">
        <v>866</v>
      </c>
      <c r="D24" s="6" t="s">
        <v>597</v>
      </c>
      <c r="E24" s="215">
        <f>SUMIF(NDOH!$S:$S,$A24,NDOH!H:H)*$D$3+SUMIF(PDOH!$S:$S,$A24,PDOH!H:H)+SUMIF('DM&amp;Metros'!$S:$S,$A24,'DM&amp;Metros'!H:H)</f>
        <v>1680258909.7173111</v>
      </c>
      <c r="F24" s="215">
        <f>SUMIF(NDOH!$S:$S,$A24,NDOH!I:I)*$D$3+SUMIF(PDOH!$S:$S,$A24,PDOH!I:I)+SUMIF('DM&amp;Metros'!$S:$S,$A24,'DM&amp;Metros'!I:I)</f>
        <v>1774353408.6614807</v>
      </c>
      <c r="G24" s="215">
        <f>SUMIF(NDOH!$S:$S,$A24,NDOH!J:J)*$D$3+SUMIF(PDOH!$S:$S,$A24,PDOH!J:J)+SUMIF('DM&amp;Metros'!$S:$S,$A24,'DM&amp;Metros'!J:J)</f>
        <v>1873717199.5465238</v>
      </c>
      <c r="H24" s="215">
        <f>SUMIF(NDOH!$S:$S,$A24,NDOH!K:K)*$D$3+SUMIF(PDOH!$S:$S,$A24,PDOH!K:K)+SUMIF('DM&amp;Metros'!$S:$S,$A24,'DM&amp;Metros'!K:K)</f>
        <v>872430162.7883774</v>
      </c>
      <c r="I24" s="215">
        <f>SUMIF(NDOH!$S:$S,$A24,NDOH!L:L)*$D$3+SUMIF(PDOH!$S:$S,$A24,PDOH!L:L)+SUMIF('DM&amp;Metros'!$S:$S,$A24,'DM&amp;Metros'!L:L)</f>
        <v>729156051.90765917</v>
      </c>
      <c r="J24" s="215">
        <f>SUMIF(NDOH!$S:$S,$A24,NDOH!M:M)*$D$3+SUMIF(PDOH!$S:$S,$A24,PDOH!M:M)+SUMIF('DM&amp;Metros'!$S:$S,$A24,'DM&amp;Metros'!M:M)</f>
        <v>1680258909.7173111</v>
      </c>
    </row>
    <row r="25" spans="1:15" x14ac:dyDescent="0.2">
      <c r="A25" s="5" t="str">
        <f t="shared" si="9"/>
        <v>MSCI</v>
      </c>
      <c r="B25" s="260" t="s">
        <v>864</v>
      </c>
      <c r="D25" s="6" t="s">
        <v>998</v>
      </c>
      <c r="E25" s="215">
        <f>SUMIF(NDOH!$S:$S,$A25,NDOH!H:H)*$D$3+SUMIF(PDOH!$S:$S,$A25,PDOH!H:H)+SUMIF('DM&amp;Metros'!$S:$S,$A25,'DM&amp;Metros'!H:H)</f>
        <v>238136574.39540255</v>
      </c>
      <c r="F25" s="215">
        <f>SUMIF(NDOH!$S:$S,$A25,NDOH!I:I)*$D$3+SUMIF(PDOH!$S:$S,$A25,PDOH!I:I)+SUMIF('DM&amp;Metros'!$S:$S,$A25,'DM&amp;Metros'!I:I)</f>
        <v>259568866.09098881</v>
      </c>
      <c r="G25" s="215">
        <f>SUMIF(NDOH!$S:$S,$A25,NDOH!J:J)*$D$3+SUMIF(PDOH!$S:$S,$A25,PDOH!J:J)+SUMIF('DM&amp;Metros'!$S:$S,$A25,'DM&amp;Metros'!J:J)</f>
        <v>282930064.03917783</v>
      </c>
      <c r="H25" s="215">
        <f>SUMIF(NDOH!$S:$S,$A25,NDOH!K:K)*$D$3+SUMIF(PDOH!$S:$S,$A25,PDOH!K:K)+SUMIF('DM&amp;Metros'!$S:$S,$A25,'DM&amp;Metros'!K:K)</f>
        <v>123646059.11410995</v>
      </c>
      <c r="I25" s="215">
        <f>SUMIF(NDOH!$S:$S,$A25,NDOH!L:L)*$D$3+SUMIF(PDOH!$S:$S,$A25,PDOH!L:L)+SUMIF('DM&amp;Metros'!$S:$S,$A25,'DM&amp;Metros'!L:L)</f>
        <v>114662690.58238102</v>
      </c>
      <c r="J25" s="215">
        <f>SUMIF(NDOH!$S:$S,$A25,NDOH!M:M)*$D$3+SUMIF(PDOH!$S:$S,$A25,PDOH!M:M)+SUMIF('DM&amp;Metros'!$S:$S,$A25,'DM&amp;Metros'!M:M)</f>
        <v>238136574.39540255</v>
      </c>
    </row>
    <row r="26" spans="1:15" x14ac:dyDescent="0.2">
      <c r="A26" s="5" t="str">
        <f t="shared" si="9"/>
        <v>TSCI</v>
      </c>
      <c r="B26" s="260" t="s">
        <v>992</v>
      </c>
      <c r="D26" s="6" t="s">
        <v>756</v>
      </c>
      <c r="E26" s="215">
        <f>SUMIF(NDOH!$S:$S,$A26,NDOH!H:H)*$D$3+SUMIF(PDOH!$S:$S,$A26,PDOH!H:H)+SUMIF('DM&amp;Metros'!$S:$S,$A26,'DM&amp;Metros'!H:H)</f>
        <v>0</v>
      </c>
      <c r="F26" s="215">
        <f>SUMIF(NDOH!$S:$S,$A26,NDOH!I:I)*$D$3+SUMIF(PDOH!$S:$S,$A26,PDOH!I:I)+SUMIF('DM&amp;Metros'!$S:$S,$A26,'DM&amp;Metros'!I:I)</f>
        <v>0</v>
      </c>
      <c r="G26" s="215">
        <f>SUMIF(NDOH!$S:$S,$A26,NDOH!J:J)*$D$3+SUMIF(PDOH!$S:$S,$A26,PDOH!J:J)+SUMIF('DM&amp;Metros'!$S:$S,$A26,'DM&amp;Metros'!J:J)</f>
        <v>0</v>
      </c>
      <c r="H26" s="215">
        <f>SUMIF(NDOH!$S:$S,$A26,NDOH!K:K)*$D$3+SUMIF(PDOH!$S:$S,$A26,PDOH!K:K)+SUMIF('DM&amp;Metros'!$S:$S,$A26,'DM&amp;Metros'!K:K)</f>
        <v>0</v>
      </c>
      <c r="I26" s="215">
        <f>SUMIF(NDOH!$S:$S,$A26,NDOH!L:L)*$D$3+SUMIF(PDOH!$S:$S,$A26,PDOH!L:L)+SUMIF('DM&amp;Metros'!$S:$S,$A26,'DM&amp;Metros'!L:L)</f>
        <v>0</v>
      </c>
      <c r="J26" s="215">
        <f>SUMIF(NDOH!$S:$S,$A26,NDOH!M:M)*$D$3+SUMIF(PDOH!$S:$S,$A26,PDOH!M:M)+SUMIF('DM&amp;Metros'!$S:$S,$A26,'DM&amp;Metros'!M:M)</f>
        <v>0</v>
      </c>
    </row>
    <row r="27" spans="1:15" x14ac:dyDescent="0.2">
      <c r="B27" s="5" t="s">
        <v>988</v>
      </c>
      <c r="D27" s="423" t="s">
        <v>949</v>
      </c>
      <c r="E27" s="424">
        <f>SUMIF(NDOH!$R:$R,$B27,NDOH!H:H)+SUMIF(PDOH!$R:$R,$B27,PDOH!H:H)+SUMIF('DM&amp;Metros'!$R:$R,$B27,'DM&amp;Metros'!H:H)</f>
        <v>0</v>
      </c>
      <c r="F27" s="424">
        <f>SUMIF(NDOH!$R:$R,$B27,NDOH!I:I)+SUMIF(PDOH!$R:$R,$B27,PDOH!I:I)+SUMIF('DM&amp;Metros'!$R:$R,$B27,'DM&amp;Metros'!I:I)</f>
        <v>0</v>
      </c>
      <c r="G27" s="424">
        <f>SUMIF(NDOH!$R:$R,$B27,NDOH!J:J)+SUMIF(PDOH!$R:$R,$B27,PDOH!J:J)+SUMIF('DM&amp;Metros'!$R:$R,$B27,'DM&amp;Metros'!J:J)</f>
        <v>0</v>
      </c>
      <c r="H27" s="424">
        <f>SUMIF(NDOH!$R:$R,$B27,NDOH!K:K)+SUMIF(PDOH!$R:$R,$B27,PDOH!K:K)+SUMIF('DM&amp;Metros'!$R:$R,$B27,'DM&amp;Metros'!K:K)</f>
        <v>0</v>
      </c>
      <c r="I27" s="424">
        <f>SUMIF(NDOH!$R:$R,$B27,NDOH!L:L)+SUMIF(PDOH!$R:$R,$B27,PDOH!L:L)+SUMIF('DM&amp;Metros'!$R:$R,$B27,'DM&amp;Metros'!L:L)</f>
        <v>0</v>
      </c>
      <c r="J27" s="424">
        <f>SUMIF(NDOH!$R:$R,$B27,NDOH!M:M)+SUMIF(PDOH!$R:$R,$B27,PDOH!M:M)+SUMIF('DM&amp;Metros'!$R:$R,$B27,'DM&amp;Metros'!M:M)</f>
        <v>0</v>
      </c>
      <c r="M27" s="366">
        <f>E27-SUM(E28:E31)</f>
        <v>0</v>
      </c>
      <c r="N27" s="366">
        <f t="shared" ref="N27" si="10">F27-SUM(F28:F31)</f>
        <v>0</v>
      </c>
      <c r="O27" s="366">
        <f t="shared" ref="O27" si="11">G27-SUM(G28:G31)</f>
        <v>0</v>
      </c>
    </row>
    <row r="28" spans="1:15" x14ac:dyDescent="0.2">
      <c r="A28" s="5" t="str">
        <f>CONCATENATE(B28,$B$27)</f>
        <v>COENSP</v>
      </c>
      <c r="B28" s="260" t="s">
        <v>865</v>
      </c>
      <c r="D28" s="6" t="s">
        <v>596</v>
      </c>
      <c r="E28" s="215">
        <f>SUMIF(NDOH!$S:$S,$A28,NDOH!H:H)*$D$3+SUMIF(PDOH!$S:$S,$A28,PDOH!H:H)+SUMIF('DM&amp;Metros'!$S:$S,$A28,'DM&amp;Metros'!H:H)</f>
        <v>0</v>
      </c>
      <c r="F28" s="215">
        <f>SUMIF(NDOH!$S:$S,$A28,NDOH!I:I)*$D$3+SUMIF(PDOH!$S:$S,$A28,PDOH!I:I)+SUMIF('DM&amp;Metros'!$S:$S,$A28,'DM&amp;Metros'!I:I)</f>
        <v>0</v>
      </c>
      <c r="G28" s="215">
        <f>SUMIF(NDOH!$S:$S,$A28,NDOH!J:J)*$D$3+SUMIF(PDOH!$S:$S,$A28,PDOH!J:J)+SUMIF('DM&amp;Metros'!$S:$S,$A28,'DM&amp;Metros'!J:J)</f>
        <v>0</v>
      </c>
      <c r="H28" s="215">
        <f>SUMIF(NDOH!$S:$S,$A28,NDOH!K:K)*$D$3+SUMIF(PDOH!$S:$S,$A28,PDOH!K:K)+SUMIF('DM&amp;Metros'!$S:$S,$A28,'DM&amp;Metros'!K:K)</f>
        <v>0</v>
      </c>
      <c r="I28" s="215">
        <f>SUMIF(NDOH!$S:$S,$A28,NDOH!L:L)*$D$3+SUMIF(PDOH!$S:$S,$A28,PDOH!L:L)+SUMIF('DM&amp;Metros'!$S:$S,$A28,'DM&amp;Metros'!L:L)</f>
        <v>0</v>
      </c>
      <c r="J28" s="215">
        <f>SUMIF(NDOH!$S:$S,$A28,NDOH!M:M)*$D$3+SUMIF(PDOH!$S:$S,$A28,PDOH!M:M)+SUMIF('DM&amp;Metros'!$S:$S,$A28,'DM&amp;Metros'!M:M)</f>
        <v>0</v>
      </c>
    </row>
    <row r="29" spans="1:15" x14ac:dyDescent="0.2">
      <c r="A29" s="5" t="str">
        <f t="shared" ref="A29:A31" si="12">CONCATENATE(B29,$B$27)</f>
        <v>GSNSP</v>
      </c>
      <c r="B29" s="260" t="s">
        <v>866</v>
      </c>
      <c r="D29" s="6" t="s">
        <v>597</v>
      </c>
      <c r="E29" s="215">
        <f>SUMIF(NDOH!$S:$S,$A29,NDOH!H:H)*$D$3+SUMIF(PDOH!$S:$S,$A29,PDOH!H:H)+SUMIF('DM&amp;Metros'!$S:$S,$A29,'DM&amp;Metros'!H:H)</f>
        <v>0</v>
      </c>
      <c r="F29" s="215">
        <f>SUMIF(NDOH!$S:$S,$A29,NDOH!I:I)*$D$3+SUMIF(PDOH!$S:$S,$A29,PDOH!I:I)+SUMIF('DM&amp;Metros'!$S:$S,$A29,'DM&amp;Metros'!I:I)</f>
        <v>0</v>
      </c>
      <c r="G29" s="215">
        <f>SUMIF(NDOH!$S:$S,$A29,NDOH!J:J)*$D$3+SUMIF(PDOH!$S:$S,$A29,PDOH!J:J)+SUMIF('DM&amp;Metros'!$S:$S,$A29,'DM&amp;Metros'!J:J)</f>
        <v>0</v>
      </c>
      <c r="H29" s="215">
        <f>SUMIF(NDOH!$S:$S,$A29,NDOH!K:K)*$D$3+SUMIF(PDOH!$S:$S,$A29,PDOH!K:K)+SUMIF('DM&amp;Metros'!$S:$S,$A29,'DM&amp;Metros'!K:K)</f>
        <v>0</v>
      </c>
      <c r="I29" s="215">
        <f>SUMIF(NDOH!$S:$S,$A29,NDOH!L:L)*$D$3+SUMIF(PDOH!$S:$S,$A29,PDOH!L:L)+SUMIF('DM&amp;Metros'!$S:$S,$A29,'DM&amp;Metros'!L:L)</f>
        <v>0</v>
      </c>
      <c r="J29" s="215">
        <f>SUMIF(NDOH!$S:$S,$A29,NDOH!M:M)*$D$3+SUMIF(PDOH!$S:$S,$A29,PDOH!M:M)+SUMIF('DM&amp;Metros'!$S:$S,$A29,'DM&amp;Metros'!M:M)</f>
        <v>0</v>
      </c>
    </row>
    <row r="30" spans="1:15" x14ac:dyDescent="0.2">
      <c r="A30" s="5" t="str">
        <f t="shared" si="12"/>
        <v>MSNSP</v>
      </c>
      <c r="B30" s="260" t="s">
        <v>864</v>
      </c>
      <c r="D30" s="6" t="s">
        <v>998</v>
      </c>
      <c r="E30" s="215">
        <f>SUMIF(NDOH!$S:$S,$A30,NDOH!H:H)*$D$3+SUMIF(PDOH!$S:$S,$A30,PDOH!H:H)+SUMIF('DM&amp;Metros'!$S:$S,$A30,'DM&amp;Metros'!H:H)</f>
        <v>0</v>
      </c>
      <c r="F30" s="215">
        <f>SUMIF(NDOH!$S:$S,$A30,NDOH!I:I)*$D$3+SUMIF(PDOH!$S:$S,$A30,PDOH!I:I)+SUMIF('DM&amp;Metros'!$S:$S,$A30,'DM&amp;Metros'!I:I)</f>
        <v>0</v>
      </c>
      <c r="G30" s="215">
        <f>SUMIF(NDOH!$S:$S,$A30,NDOH!J:J)*$D$3+SUMIF(PDOH!$S:$S,$A30,PDOH!J:J)+SUMIF('DM&amp;Metros'!$S:$S,$A30,'DM&amp;Metros'!J:J)</f>
        <v>0</v>
      </c>
      <c r="H30" s="215">
        <f>SUMIF(NDOH!$S:$S,$A30,NDOH!K:K)*$D$3+SUMIF(PDOH!$S:$S,$A30,PDOH!K:K)+SUMIF('DM&amp;Metros'!$S:$S,$A30,'DM&amp;Metros'!K:K)</f>
        <v>0</v>
      </c>
      <c r="I30" s="215">
        <f>SUMIF(NDOH!$S:$S,$A30,NDOH!L:L)*$D$3+SUMIF(PDOH!$S:$S,$A30,PDOH!L:L)+SUMIF('DM&amp;Metros'!$S:$S,$A30,'DM&amp;Metros'!L:L)</f>
        <v>0</v>
      </c>
      <c r="J30" s="215">
        <f>SUMIF(NDOH!$S:$S,$A30,NDOH!M:M)*$D$3+SUMIF(PDOH!$S:$S,$A30,PDOH!M:M)+SUMIF('DM&amp;Metros'!$S:$S,$A30,'DM&amp;Metros'!M:M)</f>
        <v>0</v>
      </c>
    </row>
    <row r="31" spans="1:15" x14ac:dyDescent="0.2">
      <c r="A31" s="5" t="str">
        <f t="shared" si="12"/>
        <v>TSNSP</v>
      </c>
      <c r="B31" s="260" t="s">
        <v>992</v>
      </c>
      <c r="D31" s="6" t="s">
        <v>756</v>
      </c>
      <c r="E31" s="215">
        <f>SUMIF(NDOH!$S:$S,$A31,NDOH!H:H)*$D$3+SUMIF(PDOH!$S:$S,$A31,PDOH!H:H)+SUMIF('DM&amp;Metros'!$S:$S,$A31,'DM&amp;Metros'!H:H)</f>
        <v>0</v>
      </c>
      <c r="F31" s="215">
        <f>SUMIF(NDOH!$S:$S,$A31,NDOH!I:I)*$D$3+SUMIF(PDOH!$S:$S,$A31,PDOH!I:I)+SUMIF('DM&amp;Metros'!$S:$S,$A31,'DM&amp;Metros'!I:I)</f>
        <v>0</v>
      </c>
      <c r="G31" s="215">
        <f>SUMIF(NDOH!$S:$S,$A31,NDOH!J:J)*$D$3+SUMIF(PDOH!$S:$S,$A31,PDOH!J:J)+SUMIF('DM&amp;Metros'!$S:$S,$A31,'DM&amp;Metros'!J:J)</f>
        <v>0</v>
      </c>
      <c r="H31" s="215">
        <f>SUMIF(NDOH!$S:$S,$A31,NDOH!K:K)*$D$3+SUMIF(PDOH!$S:$S,$A31,PDOH!K:K)+SUMIF('DM&amp;Metros'!$S:$S,$A31,'DM&amp;Metros'!K:K)</f>
        <v>0</v>
      </c>
      <c r="I31" s="215">
        <f>SUMIF(NDOH!$S:$S,$A31,NDOH!L:L)*$D$3+SUMIF(PDOH!$S:$S,$A31,PDOH!L:L)+SUMIF('DM&amp;Metros'!$S:$S,$A31,'DM&amp;Metros'!L:L)</f>
        <v>0</v>
      </c>
      <c r="J31" s="215">
        <f>SUMIF(NDOH!$S:$S,$A31,NDOH!M:M)*$D$3+SUMIF(PDOH!$S:$S,$A31,PDOH!M:M)+SUMIF('DM&amp;Metros'!$S:$S,$A31,'DM&amp;Metros'!M:M)</f>
        <v>0</v>
      </c>
    </row>
    <row r="33" spans="4:10" x14ac:dyDescent="0.2">
      <c r="E33" s="239">
        <f t="shared" ref="E33:J33" si="13">E27+E22+E17+E12+E7</f>
        <v>5417212197.7657471</v>
      </c>
      <c r="F33" s="239">
        <f t="shared" si="13"/>
        <v>5903776065.9587812</v>
      </c>
      <c r="G33" s="239">
        <f t="shared" si="13"/>
        <v>6281337546.8242922</v>
      </c>
      <c r="H33" s="239">
        <f t="shared" si="13"/>
        <v>2525317715.4389644</v>
      </c>
      <c r="I33" s="239">
        <f t="shared" si="13"/>
        <v>3509444696.0672474</v>
      </c>
      <c r="J33" s="239">
        <f t="shared" si="13"/>
        <v>4860680276.4540129</v>
      </c>
    </row>
    <row r="35" spans="4:10" x14ac:dyDescent="0.2">
      <c r="D35" s="423" t="s">
        <v>902</v>
      </c>
      <c r="E35" s="423"/>
      <c r="F35" s="423"/>
      <c r="G35" s="423"/>
      <c r="H35" s="423"/>
      <c r="I35" s="423"/>
      <c r="J35" s="423"/>
    </row>
    <row r="37" spans="4:10" x14ac:dyDescent="0.2">
      <c r="D37" s="4" t="s">
        <v>1040</v>
      </c>
    </row>
    <row r="38" spans="4:10" x14ac:dyDescent="0.2">
      <c r="D38" s="6" t="s">
        <v>47</v>
      </c>
      <c r="E38" s="215">
        <f>PDOH!H368</f>
        <v>10841396.204391528</v>
      </c>
      <c r="F38" s="215">
        <f>PDOH!I368</f>
        <v>11817121.862786762</v>
      </c>
      <c r="G38" s="215">
        <f>PDOH!J368</f>
        <v>12880662.830437575</v>
      </c>
      <c r="H38" s="215">
        <f>PDOH!K368</f>
        <v>5631928.5347610395</v>
      </c>
      <c r="I38" s="215">
        <f>PDOH!L368</f>
        <v>9959641.5290345121</v>
      </c>
      <c r="J38" s="215">
        <f>PDOH!M368</f>
        <v>10841396.204391528</v>
      </c>
    </row>
    <row r="39" spans="4:10" x14ac:dyDescent="0.2">
      <c r="D39" s="6" t="s">
        <v>46</v>
      </c>
      <c r="E39" s="215">
        <f>PDOH!H381</f>
        <v>8275816.0308020264</v>
      </c>
      <c r="F39" s="215">
        <f>PDOH!I381</f>
        <v>9020639.4735742081</v>
      </c>
      <c r="G39" s="215">
        <f>PDOH!J381</f>
        <v>9832497.0261958875</v>
      </c>
      <c r="H39" s="215">
        <f>PDOH!K381</f>
        <v>4296917.3366519678</v>
      </c>
      <c r="I39" s="215">
        <f>PDOH!L381</f>
        <v>7601325.0050979005</v>
      </c>
      <c r="J39" s="215">
        <f>PDOH!M381</f>
        <v>8275816.0308020264</v>
      </c>
    </row>
    <row r="40" spans="4:10" x14ac:dyDescent="0.2">
      <c r="D40" s="6" t="s">
        <v>1041</v>
      </c>
      <c r="E40" s="215">
        <f>PDOH!H385</f>
        <v>26087786.084056977</v>
      </c>
      <c r="F40" s="215">
        <f>PDOH!I385</f>
        <v>28435686.831622109</v>
      </c>
      <c r="G40" s="215">
        <f>PDOH!J385</f>
        <v>30994898.646468099</v>
      </c>
      <c r="H40" s="215">
        <f>PDOH!K385</f>
        <v>13518490.234914623</v>
      </c>
      <c r="I40" s="215">
        <f>PDOH!L385</f>
        <v>23944888.092428479</v>
      </c>
      <c r="J40" s="215">
        <f>PDOH!M385</f>
        <v>26087786.084056977</v>
      </c>
    </row>
    <row r="41" spans="4:10" x14ac:dyDescent="0.2">
      <c r="D41" s="6" t="s">
        <v>1343</v>
      </c>
    </row>
    <row r="42" spans="4:10" x14ac:dyDescent="0.2">
      <c r="D42" s="65" t="s">
        <v>1144</v>
      </c>
      <c r="E42" s="215">
        <f>PDOH!H279</f>
        <v>68208175.768981025</v>
      </c>
      <c r="F42" s="215">
        <f>PDOH!I279</f>
        <v>74346911.588189319</v>
      </c>
      <c r="G42" s="215">
        <f>PDOH!J279</f>
        <v>81038133.631126374</v>
      </c>
      <c r="H42" s="215">
        <f>PDOH!K279</f>
        <v>35415297.931460984</v>
      </c>
      <c r="I42" s="215">
        <f>PDOH!L279</f>
        <v>37589720.646525577</v>
      </c>
      <c r="J42" s="215" t="e">
        <f>PDOH!#REF!</f>
        <v>#REF!</v>
      </c>
    </row>
    <row r="43" spans="4:10" x14ac:dyDescent="0.2">
      <c r="D43" s="65" t="s">
        <v>1104</v>
      </c>
      <c r="E43" s="215">
        <f>PDOH!H275</f>
        <v>77431452.976201296</v>
      </c>
      <c r="F43" s="215">
        <f>PDOH!I275</f>
        <v>84400283.744059429</v>
      </c>
      <c r="G43" s="215">
        <f>PDOH!J275</f>
        <v>91996309.281024769</v>
      </c>
      <c r="H43" s="215">
        <f>PDOH!K275</f>
        <v>40204241.581038937</v>
      </c>
      <c r="I43" s="215">
        <f>PDOH!L275</f>
        <v>35560579.234276727</v>
      </c>
      <c r="J43" s="215" t="e">
        <f>PDOH!#REF!</f>
        <v>#REF!</v>
      </c>
    </row>
    <row r="44" spans="4:10" x14ac:dyDescent="0.2">
      <c r="D44" s="65" t="s">
        <v>1344</v>
      </c>
      <c r="E44" s="215">
        <f>PDOH!H276+PDOH!H281+PDOH!H282</f>
        <v>20608650.921170086</v>
      </c>
      <c r="F44" s="215">
        <f>PDOH!I276+PDOH!I281+PDOH!I282</f>
        <v>22463429.504075397</v>
      </c>
      <c r="G44" s="215">
        <f>PDOH!J276+PDOH!J281+PDOH!J282</f>
        <v>24485138.159442183</v>
      </c>
      <c r="H44" s="215">
        <f>PDOH!K276+PDOH!K281+PDOH!K282</f>
        <v>10700498.937410885</v>
      </c>
      <c r="I44" s="215">
        <f>PDOH!L276+PDOH!L281+PDOH!L282</f>
        <v>9837063.556142902</v>
      </c>
      <c r="J44" s="215">
        <f>PDOH!M285</f>
        <v>398705504.00071794</v>
      </c>
    </row>
    <row r="45" spans="4:10" x14ac:dyDescent="0.2">
      <c r="D45" s="6" t="s">
        <v>1346</v>
      </c>
    </row>
    <row r="46" spans="4:10" x14ac:dyDescent="0.2">
      <c r="D46" s="65" t="s">
        <v>1144</v>
      </c>
      <c r="E46" s="215">
        <f>PDOH!H274</f>
        <v>13646170.523834096</v>
      </c>
      <c r="F46" s="215">
        <f>PDOH!I274</f>
        <v>14874325.870979164</v>
      </c>
      <c r="G46" s="215">
        <f>PDOH!J274</f>
        <v>16213015.199367292</v>
      </c>
      <c r="H46" s="215">
        <f>PDOH!K274</f>
        <v>7085414.4576739706</v>
      </c>
      <c r="I46" s="215">
        <f>PDOH!L274</f>
        <v>7520443.5846978296</v>
      </c>
      <c r="J46" s="681"/>
    </row>
    <row r="47" spans="4:10" x14ac:dyDescent="0.2">
      <c r="D47" s="65" t="s">
        <v>1104</v>
      </c>
      <c r="E47" s="215">
        <f>PDOH!H275</f>
        <v>77431452.976201296</v>
      </c>
      <c r="F47" s="215">
        <f>PDOH!I275</f>
        <v>84400283.744059429</v>
      </c>
      <c r="G47" s="215">
        <f>PDOH!J275</f>
        <v>91996309.281024769</v>
      </c>
      <c r="H47" s="215">
        <f>PDOH!K275</f>
        <v>40204241.581038937</v>
      </c>
      <c r="I47" s="215">
        <f>PDOH!L275</f>
        <v>35560579.234276727</v>
      </c>
      <c r="J47" s="681"/>
    </row>
    <row r="48" spans="4:10" x14ac:dyDescent="0.2">
      <c r="D48" s="65" t="s">
        <v>1344</v>
      </c>
      <c r="E48" s="215">
        <f>PDOH!H276+PDOH!H277</f>
        <v>40262573.559534259</v>
      </c>
      <c r="F48" s="215">
        <f>PDOH!I276+PDOH!I277</f>
        <v>43886205.179892346</v>
      </c>
      <c r="G48" s="215">
        <f>PDOH!J276+PDOH!J277</f>
        <v>47835963.646082662</v>
      </c>
      <c r="H48" s="215">
        <f>PDOH!K276+PDOH!K277</f>
        <v>20905280.371781021</v>
      </c>
      <c r="I48" s="215">
        <f>PDOH!L276+PDOH!L277</f>
        <v>12810033.794809032</v>
      </c>
      <c r="J48" s="681"/>
    </row>
    <row r="49" spans="4:10" x14ac:dyDescent="0.2">
      <c r="D49" s="6"/>
      <c r="E49" s="239">
        <f>SUM(E38:E48)</f>
        <v>342793475.04517263</v>
      </c>
      <c r="F49" s="239">
        <f t="shared" ref="F49:I49" si="14">SUM(F38:F48)</f>
        <v>373644887.79923815</v>
      </c>
      <c r="G49" s="239">
        <f t="shared" si="14"/>
        <v>407272927.70116955</v>
      </c>
      <c r="H49" s="239">
        <f t="shared" si="14"/>
        <v>177962310.96673235</v>
      </c>
      <c r="I49" s="239">
        <f t="shared" si="14"/>
        <v>180384274.67728969</v>
      </c>
      <c r="J49" s="239" t="e">
        <f t="shared" ref="J49" si="15">SUM(J38:J44)</f>
        <v>#REF!</v>
      </c>
    </row>
    <row r="50" spans="4:10" x14ac:dyDescent="0.2">
      <c r="D50" s="4" t="s">
        <v>1037</v>
      </c>
    </row>
    <row r="51" spans="4:10" x14ac:dyDescent="0.2">
      <c r="D51" s="67" t="s">
        <v>1038</v>
      </c>
    </row>
    <row r="52" spans="4:10" x14ac:dyDescent="0.2">
      <c r="D52" s="65" t="s">
        <v>12</v>
      </c>
      <c r="E52" s="215">
        <f>PDOH!H450</f>
        <v>161284857.29415366</v>
      </c>
      <c r="F52" s="215">
        <f>PDOH!I450</f>
        <v>171929657.87556782</v>
      </c>
      <c r="G52" s="215">
        <f>PDOH!J450</f>
        <v>183277015.29535529</v>
      </c>
      <c r="H52" s="215">
        <f>PDOH!K450</f>
        <v>83629111.717750579</v>
      </c>
      <c r="I52" s="215">
        <f>PDOH!L450</f>
        <v>148069535.94977793</v>
      </c>
      <c r="J52" s="215">
        <f>PDOH!M450</f>
        <v>161284857.29415366</v>
      </c>
    </row>
    <row r="53" spans="4:10" x14ac:dyDescent="0.2">
      <c r="D53" s="65" t="s">
        <v>1034</v>
      </c>
      <c r="E53" s="215">
        <f>PDOH!H451</f>
        <v>21126364.834554266</v>
      </c>
      <c r="F53" s="215">
        <f>PDOH!I451</f>
        <v>22520704.913634852</v>
      </c>
      <c r="G53" s="215">
        <f>PDOH!J451</f>
        <v>24007071.437934753</v>
      </c>
      <c r="H53" s="215">
        <f>PDOH!K451</f>
        <v>10954401.762073787</v>
      </c>
      <c r="I53" s="215">
        <f>PDOH!L451</f>
        <v>19395317.637618974</v>
      </c>
      <c r="J53" s="215">
        <f>PDOH!M451</f>
        <v>21126364.834554266</v>
      </c>
    </row>
    <row r="54" spans="4:10" x14ac:dyDescent="0.2">
      <c r="D54" s="65" t="s">
        <v>1035</v>
      </c>
      <c r="E54" s="215">
        <f>PDOH!H461</f>
        <v>13076046.796800001</v>
      </c>
      <c r="F54" s="215">
        <f>PDOH!I461</f>
        <v>13939065.885388801</v>
      </c>
      <c r="G54" s="215">
        <f>PDOH!J461</f>
        <v>14859044.233824462</v>
      </c>
      <c r="H54" s="215">
        <f>PDOH!K461</f>
        <v>13076046.796800001</v>
      </c>
      <c r="I54" s="215">
        <f>PDOH!L461</f>
        <v>13076046.796800001</v>
      </c>
      <c r="J54" s="215">
        <f>PDOH!M461</f>
        <v>13076046.796800001</v>
      </c>
    </row>
    <row r="55" spans="4:10" x14ac:dyDescent="0.2">
      <c r="D55" s="65" t="s">
        <v>1036</v>
      </c>
      <c r="E55" s="215">
        <f>PDOH!H467</f>
        <v>412378117.40343499</v>
      </c>
      <c r="F55" s="215">
        <f>PDOH!I467</f>
        <v>439595073.15206176</v>
      </c>
      <c r="G55" s="215">
        <f>PDOH!J467</f>
        <v>468608347.98009777</v>
      </c>
      <c r="H55" s="215">
        <f>PDOH!K467</f>
        <v>76844011.092285424</v>
      </c>
      <c r="I55" s="215">
        <f>PDOH!L467</f>
        <v>436306656.81966305</v>
      </c>
      <c r="J55" s="215">
        <f>PDOH!M467</f>
        <v>412139866.08066314</v>
      </c>
    </row>
    <row r="56" spans="4:10" x14ac:dyDescent="0.2">
      <c r="D56" s="65"/>
      <c r="E56" s="239">
        <f>SUM(E52:E55)</f>
        <v>607865386.32894289</v>
      </c>
      <c r="F56" s="239">
        <f t="shared" ref="F56:J56" si="16">SUM(F52:F55)</f>
        <v>647984501.82665324</v>
      </c>
      <c r="G56" s="239">
        <f t="shared" si="16"/>
        <v>690751478.94721222</v>
      </c>
      <c r="H56" s="239">
        <f t="shared" si="16"/>
        <v>184503571.36890978</v>
      </c>
      <c r="I56" s="239">
        <f t="shared" ref="I56" si="17">SUM(I52:I55)</f>
        <v>616847557.20385993</v>
      </c>
      <c r="J56" s="239">
        <f t="shared" si="16"/>
        <v>607627135.00617099</v>
      </c>
    </row>
    <row r="57" spans="4:10" x14ac:dyDescent="0.2">
      <c r="D57" s="67" t="s">
        <v>1345</v>
      </c>
    </row>
    <row r="58" spans="4:10" x14ac:dyDescent="0.2">
      <c r="D58" s="65" t="s">
        <v>1144</v>
      </c>
      <c r="E58" s="215">
        <f>PDOH!H269</f>
        <v>575515444.59720457</v>
      </c>
      <c r="F58" s="215">
        <f>PDOH!I269</f>
        <v>613499463.94062018</v>
      </c>
      <c r="G58" s="215">
        <f>PDOH!J269</f>
        <v>653990428.56070113</v>
      </c>
      <c r="H58" s="215">
        <f>PDOH!K269</f>
        <v>298821229.34354091</v>
      </c>
      <c r="I58" s="215">
        <f>PDOH!L269</f>
        <v>581990915.41316009</v>
      </c>
      <c r="J58" s="215">
        <f>PDOH!M471</f>
        <v>0</v>
      </c>
    </row>
    <row r="59" spans="4:10" x14ac:dyDescent="0.2">
      <c r="D59" s="65" t="s">
        <v>1104</v>
      </c>
      <c r="E59" s="215">
        <f>PDOH!H270</f>
        <v>1108488332.4452515</v>
      </c>
      <c r="F59" s="215">
        <f>PDOH!I270</f>
        <v>1322425542.609024</v>
      </c>
      <c r="G59" s="215">
        <f>PDOH!J270</f>
        <v>1409705628.4212198</v>
      </c>
      <c r="H59" s="215">
        <f>PDOH!K270</f>
        <v>644122529.16976571</v>
      </c>
      <c r="I59" s="215">
        <f>PDOH!L270</f>
        <v>550169145.3670429</v>
      </c>
      <c r="J59" s="215" t="e">
        <f>PDOH!#REF!</f>
        <v>#REF!</v>
      </c>
    </row>
    <row r="60" spans="4:10" x14ac:dyDescent="0.2">
      <c r="D60" s="65" t="s">
        <v>1344</v>
      </c>
      <c r="E60" s="215">
        <f>PDOH!H271+PDOH!H272</f>
        <v>412855879.13858831</v>
      </c>
      <c r="F60" s="215">
        <f>PDOH!I271+PDOH!I272</f>
        <v>440104367.16173512</v>
      </c>
      <c r="G60" s="215">
        <f>PDOH!J271+PDOH!J272</f>
        <v>469151255.39440978</v>
      </c>
      <c r="H60" s="215">
        <f>PDOH!K271+PDOH!K272</f>
        <v>214364536.18068641</v>
      </c>
      <c r="I60" s="215">
        <f>PDOH!L271+PDOH!L272</f>
        <v>124489972.53467962</v>
      </c>
      <c r="J60" s="215" t="e">
        <f>PDOH!#REF!</f>
        <v>#REF!</v>
      </c>
    </row>
    <row r="61" spans="4:10" x14ac:dyDescent="0.2">
      <c r="E61" s="239">
        <f>SUM(E58:E60)</f>
        <v>2096859656.1810446</v>
      </c>
      <c r="F61" s="239">
        <f t="shared" ref="F61:J61" si="18">SUM(F58:F60)</f>
        <v>2376029373.7113795</v>
      </c>
      <c r="G61" s="239">
        <f t="shared" si="18"/>
        <v>2532847312.3763309</v>
      </c>
      <c r="H61" s="239">
        <f t="shared" si="18"/>
        <v>1157308294.6939931</v>
      </c>
      <c r="I61" s="239">
        <f t="shared" ref="I61" si="19">SUM(I58:I60)</f>
        <v>1256650033.3148825</v>
      </c>
      <c r="J61" s="239" t="e">
        <f t="shared" si="18"/>
        <v>#REF!</v>
      </c>
    </row>
    <row r="63" spans="4:10" x14ac:dyDescent="0.2">
      <c r="D63" s="73" t="s">
        <v>1347</v>
      </c>
      <c r="E63" s="192"/>
    </row>
    <row r="64" spans="4:10" x14ac:dyDescent="0.2">
      <c r="D64" s="65" t="s">
        <v>1104</v>
      </c>
      <c r="E64" s="215">
        <f>PDOH!H284</f>
        <v>996763760.00179482</v>
      </c>
      <c r="F64" s="215">
        <f>PDOH!I284</f>
        <v>1052582530.5618954</v>
      </c>
      <c r="G64" s="215">
        <f>PDOH!J284</f>
        <v>1111527152.2733617</v>
      </c>
      <c r="H64" s="215">
        <f>PDOH!K284</f>
        <v>517543316.90835953</v>
      </c>
      <c r="I64" s="215">
        <f>PDOH!L284</f>
        <v>457766131.24247658</v>
      </c>
    </row>
    <row r="65" spans="4:10" x14ac:dyDescent="0.2">
      <c r="D65" s="65" t="s">
        <v>1344</v>
      </c>
      <c r="E65" s="215">
        <f>PDOH!H285+PDOH!H286+PDOH!H287</f>
        <v>683495149.71551645</v>
      </c>
      <c r="F65" s="215">
        <f>PDOH!I285+PDOH!I286+PDOH!I287</f>
        <v>721770878.09958529</v>
      </c>
      <c r="G65" s="215">
        <f>PDOH!J285+PDOH!J286+PDOH!J287</f>
        <v>762190047.27316225</v>
      </c>
      <c r="H65" s="215">
        <f>PDOH!K285+PDOH!K286+PDOH!K287</f>
        <v>354886845.88001788</v>
      </c>
      <c r="I65" s="215">
        <f>PDOH!L285+PDOH!L286+PDOH!L287</f>
        <v>271389920.66518253</v>
      </c>
    </row>
    <row r="66" spans="4:10" x14ac:dyDescent="0.2">
      <c r="E66" s="239">
        <f>SUM(E64:E65)</f>
        <v>1680258909.7173114</v>
      </c>
      <c r="F66" s="239">
        <f t="shared" ref="F66:J66" si="20">SUM(F64:F65)</f>
        <v>1774353408.6614807</v>
      </c>
      <c r="G66" s="239">
        <f t="shared" si="20"/>
        <v>1873717199.546524</v>
      </c>
      <c r="H66" s="239">
        <f t="shared" si="20"/>
        <v>872430162.7883774</v>
      </c>
      <c r="I66" s="239">
        <f t="shared" si="20"/>
        <v>729156051.90765905</v>
      </c>
      <c r="J66" s="239">
        <f t="shared" si="20"/>
        <v>0</v>
      </c>
    </row>
    <row r="69" spans="4:10" x14ac:dyDescent="0.2">
      <c r="D69" s="4" t="s">
        <v>1458</v>
      </c>
    </row>
    <row r="70" spans="4:10" x14ac:dyDescent="0.2">
      <c r="D70" s="870" t="s">
        <v>1459</v>
      </c>
    </row>
    <row r="71" spans="4:10" x14ac:dyDescent="0.2">
      <c r="E71" s="215">
        <f>(E17+E12)/PDOH!H28</f>
        <v>291.16790171513952</v>
      </c>
      <c r="F71" s="215">
        <f>(F17+F12)/PDOH!I28</f>
        <v>310.26527144614681</v>
      </c>
      <c r="G71" s="215">
        <f>(G17+G12)/PDOH!J28</f>
        <v>330.62456926898562</v>
      </c>
      <c r="H71" s="215">
        <f>(H17+H12)/PDOH!K28</f>
        <v>142.82940670115693</v>
      </c>
      <c r="I71" s="215">
        <f>(I17+I12)/PDOH!L28</f>
        <v>318.61200925858139</v>
      </c>
      <c r="J71" s="215">
        <f>(J17+J12)/PDOH!M28</f>
        <v>174.10689765233741</v>
      </c>
    </row>
    <row r="72" spans="4:10" x14ac:dyDescent="0.2">
      <c r="D72" s="5" t="s">
        <v>1460</v>
      </c>
    </row>
    <row r="73" spans="4:10" x14ac:dyDescent="0.2">
      <c r="D73" s="5" t="str">
        <f>[1]PDOH!D276</f>
        <v>Growth Monitoring and Feeding</v>
      </c>
      <c r="E73" s="215">
        <f>PDOH!H289</f>
        <v>1384.9586193488369</v>
      </c>
      <c r="F73" s="215">
        <f>PDOH!I289</f>
        <v>1480.5047416018606</v>
      </c>
      <c r="G73" s="215">
        <f>PDOH!J289</f>
        <v>1582.7294047274233</v>
      </c>
      <c r="H73" s="215">
        <f>PDOH!K289</f>
        <v>1384.9586193488371</v>
      </c>
      <c r="I73" s="215">
        <f>PDOH!L289</f>
        <v>2397.3527407958659</v>
      </c>
      <c r="J73" s="215">
        <f>PDOH!M289</f>
        <v>1384.9586193488369</v>
      </c>
    </row>
    <row r="74" spans="4:10" x14ac:dyDescent="0.2">
      <c r="D74" s="5" t="str">
        <f>[1]PDOH!D277</f>
        <v>Moderate Acute Malnutrition</v>
      </c>
      <c r="E74" s="215">
        <f>PDOH!H290</f>
        <v>11612.815427932817</v>
      </c>
      <c r="F74" s="215">
        <f>PDOH!I290</f>
        <v>13080.82456425039</v>
      </c>
      <c r="G74" s="215">
        <f>PDOH!J290</f>
        <v>13902.436165395715</v>
      </c>
      <c r="H74" s="215">
        <f>PDOH!K290</f>
        <v>12308.386487364343</v>
      </c>
      <c r="I74" s="215">
        <f>PDOH!L290</f>
        <v>12084.103024832042</v>
      </c>
      <c r="J74" s="215">
        <f>PDOH!M290</f>
        <v>11612.815427932817</v>
      </c>
    </row>
    <row r="75" spans="4:10" x14ac:dyDescent="0.2">
      <c r="D75" s="5" t="str">
        <f>[1]PDOH!D278</f>
        <v>SAM without medical complications</v>
      </c>
      <c r="E75" s="215">
        <f>PDOH!H291</f>
        <v>13692.183601484141</v>
      </c>
      <c r="F75" s="215">
        <f>PDOH!I291</f>
        <v>14502.108427943296</v>
      </c>
      <c r="G75" s="215">
        <f>PDOH!J291</f>
        <v>15360.619956737264</v>
      </c>
      <c r="H75" s="215">
        <f>PDOH!K291</f>
        <v>13692.183601484143</v>
      </c>
      <c r="I75" s="215">
        <f>PDOH!L291</f>
        <v>13692.183601484141</v>
      </c>
      <c r="J75" s="215">
        <f>PDOH!M291</f>
        <v>13692.183601484141</v>
      </c>
    </row>
    <row r="76" spans="4:10" x14ac:dyDescent="0.2">
      <c r="D76" s="5" t="str">
        <f>[1]PDOH!D279</f>
        <v>SAM with medical complications</v>
      </c>
      <c r="E76" s="215">
        <f>PDOH!H292</f>
        <v>65825.868271912143</v>
      </c>
      <c r="F76" s="215">
        <f>PDOH!I292</f>
        <v>69947.908486151675</v>
      </c>
      <c r="G76" s="215">
        <f>PDOH!J292</f>
        <v>74332.181316277434</v>
      </c>
      <c r="H76" s="215">
        <f>PDOH!K292</f>
        <v>65825.868271912143</v>
      </c>
      <c r="I76" s="215">
        <f>PDOH!L292</f>
        <v>65825.868271912157</v>
      </c>
      <c r="J76" s="215">
        <f>PDOH!M292</f>
        <v>65825.868271912143</v>
      </c>
    </row>
    <row r="78" spans="4:10" x14ac:dyDescent="0.2">
      <c r="D78" s="4" t="s">
        <v>1712</v>
      </c>
    </row>
    <row r="79" spans="4:10" x14ac:dyDescent="0.2">
      <c r="D79" s="963" t="s">
        <v>424</v>
      </c>
      <c r="E79" s="964">
        <f>PDOH!H555</f>
        <v>633.18330351500856</v>
      </c>
      <c r="F79" s="964">
        <f>PDOH!I555</f>
        <v>633.18330351500856</v>
      </c>
      <c r="G79" s="964">
        <f>PDOH!J555</f>
        <v>633.18330351500856</v>
      </c>
      <c r="H79" s="964">
        <f>PDOH!K555</f>
        <v>349.76405649603822</v>
      </c>
      <c r="I79" s="964">
        <f>PDOH!L555</f>
        <v>693.43391144855991</v>
      </c>
      <c r="J79" s="964">
        <f>PDOH!M555</f>
        <v>633.18330351500856</v>
      </c>
    </row>
    <row r="80" spans="4:10" x14ac:dyDescent="0.2">
      <c r="D80" s="90" t="s">
        <v>1715</v>
      </c>
      <c r="E80" s="251">
        <f>PDOH!H556</f>
        <v>3832.914921093462</v>
      </c>
      <c r="F80" s="251">
        <f>PDOH!I556</f>
        <v>3832.9149210934625</v>
      </c>
      <c r="G80" s="251">
        <f>PDOH!J556</f>
        <v>3832.914921093462</v>
      </c>
      <c r="H80" s="251">
        <f>PDOH!K556</f>
        <v>755.06471668253971</v>
      </c>
      <c r="I80" s="251">
        <f>PDOH!L556</f>
        <v>4055.0338772687915</v>
      </c>
      <c r="J80" s="251">
        <f>PDOH!M556</f>
        <v>3830.4913772687919</v>
      </c>
    </row>
    <row r="81" spans="4:10" x14ac:dyDescent="0.2">
      <c r="D81" s="390" t="s">
        <v>1719</v>
      </c>
      <c r="E81" s="251">
        <f>PDOH!H557</f>
        <v>361.8842020964936</v>
      </c>
      <c r="F81" s="251">
        <f>PDOH!I557</f>
        <v>361.88420209649365</v>
      </c>
      <c r="G81" s="251">
        <f>PDOH!J557</f>
        <v>361.8842020964936</v>
      </c>
      <c r="H81" s="251">
        <f>PDOH!K557</f>
        <v>26.609132507095119</v>
      </c>
      <c r="I81" s="251">
        <f>PDOH!L557</f>
        <v>383.1715081021697</v>
      </c>
      <c r="J81" s="251">
        <f>PDOH!M557</f>
        <v>361.8842020964936</v>
      </c>
    </row>
    <row r="82" spans="4:10" x14ac:dyDescent="0.2">
      <c r="D82" s="90" t="s">
        <v>815</v>
      </c>
      <c r="E82" s="251">
        <f>PDOH!H558</f>
        <v>575.90125046237142</v>
      </c>
      <c r="F82" s="251">
        <f>PDOH!I558</f>
        <v>575.90125046237131</v>
      </c>
      <c r="G82" s="251">
        <f>PDOH!J558</f>
        <v>575.90125046237131</v>
      </c>
      <c r="H82" s="251">
        <f>PDOH!K558</f>
        <v>299.04274965411088</v>
      </c>
      <c r="I82" s="251">
        <f>PDOH!L558</f>
        <v>410.38847995445883</v>
      </c>
      <c r="J82" s="251">
        <f>PDOH!M558</f>
        <v>575.90125046237142</v>
      </c>
    </row>
    <row r="83" spans="4:10" x14ac:dyDescent="0.2">
      <c r="D83" s="90" t="s">
        <v>419</v>
      </c>
      <c r="E83" s="251">
        <f>PDOH!H559</f>
        <v>8.32</v>
      </c>
      <c r="F83" s="251">
        <f>PDOH!I559</f>
        <v>8.32</v>
      </c>
      <c r="G83" s="251">
        <f>PDOH!J559</f>
        <v>8.32</v>
      </c>
      <c r="H83" s="251">
        <f>PDOH!K559</f>
        <v>8.32</v>
      </c>
      <c r="I83" s="251">
        <f>PDOH!L559</f>
        <v>8.32</v>
      </c>
      <c r="J83" s="251">
        <f>PDOH!M559</f>
        <v>8.32</v>
      </c>
    </row>
    <row r="84" spans="4:10" x14ac:dyDescent="0.2">
      <c r="D84" s="90" t="s">
        <v>1130</v>
      </c>
      <c r="E84" s="251">
        <f>PDOH!H560</f>
        <v>466.65934418353635</v>
      </c>
      <c r="F84" s="251">
        <f>PDOH!I560</f>
        <v>466.65934418353635</v>
      </c>
      <c r="G84" s="251">
        <f>PDOH!J560</f>
        <v>466.65934418353646</v>
      </c>
      <c r="H84" s="251">
        <f>PDOH!K560</f>
        <v>242.30056764362328</v>
      </c>
      <c r="I84" s="251">
        <f>PDOH!L560</f>
        <v>288.53466710652629</v>
      </c>
      <c r="J84" s="251">
        <f>PDOH!M560</f>
        <v>466.65934418353635</v>
      </c>
    </row>
    <row r="85" spans="4:10" x14ac:dyDescent="0.2">
      <c r="D85" s="90" t="s">
        <v>1186</v>
      </c>
      <c r="E85" s="251">
        <f>PDOH!H561</f>
        <v>78.699406833331466</v>
      </c>
      <c r="F85" s="251">
        <f>PDOH!I561</f>
        <v>78.69940683333148</v>
      </c>
      <c r="G85" s="251">
        <f>PDOH!J561</f>
        <v>78.699406833331466</v>
      </c>
      <c r="H85" s="251">
        <f>PDOH!K561</f>
        <v>40.86259320981879</v>
      </c>
      <c r="I85" s="251">
        <f>PDOH!L561</f>
        <v>18.071445031823291</v>
      </c>
      <c r="J85" s="251">
        <f>PDOH!M561</f>
        <v>78.699406833331466</v>
      </c>
    </row>
    <row r="86" spans="4:10" x14ac:dyDescent="0.2">
      <c r="D86" s="90" t="s">
        <v>1151</v>
      </c>
      <c r="E86" s="251">
        <f>PDOH!H562</f>
        <v>7462.9554408429622</v>
      </c>
      <c r="F86" s="251">
        <f>PDOH!I562</f>
        <v>7462.9554408429622</v>
      </c>
      <c r="G86" s="251">
        <f>PDOH!J562</f>
        <v>7462.9554408429603</v>
      </c>
      <c r="H86" s="251">
        <f>PDOH!K562</f>
        <v>2015.638399610242</v>
      </c>
      <c r="I86" s="251">
        <f>PDOH!L562</f>
        <v>5587.7351831307606</v>
      </c>
      <c r="J86" s="251">
        <f>PDOH!M562</f>
        <v>3881.9554408429608</v>
      </c>
    </row>
    <row r="87" spans="4:10" x14ac:dyDescent="0.2">
      <c r="D87" s="90" t="s">
        <v>421</v>
      </c>
      <c r="E87" s="251">
        <f>PDOH!H563</f>
        <v>56.321440712120022</v>
      </c>
      <c r="F87" s="251">
        <f>PDOH!I563</f>
        <v>56.321440712120022</v>
      </c>
      <c r="G87" s="251">
        <f>PDOH!J563</f>
        <v>56.321440712120022</v>
      </c>
      <c r="H87" s="251">
        <f>PDOH!K563</f>
        <v>32.243468406248319</v>
      </c>
      <c r="I87" s="251">
        <f>PDOH!L563</f>
        <v>17.740010474796641</v>
      </c>
      <c r="J87" s="251">
        <f>PDOH!M563</f>
        <v>56.321440712120022</v>
      </c>
    </row>
    <row r="88" spans="4:10" x14ac:dyDescent="0.2">
      <c r="D88" s="90" t="s">
        <v>423</v>
      </c>
      <c r="E88" s="251">
        <f>PDOH!H564</f>
        <v>150.84385739774194</v>
      </c>
      <c r="F88" s="251">
        <f>PDOH!I564</f>
        <v>150.84385739774197</v>
      </c>
      <c r="G88" s="251">
        <f>PDOH!J564</f>
        <v>150.84385739774194</v>
      </c>
      <c r="H88" s="251">
        <f>PDOH!K564</f>
        <v>78.285938280827665</v>
      </c>
      <c r="I88" s="251">
        <f>PDOH!L564</f>
        <v>69.528310832330419</v>
      </c>
      <c r="J88" s="251">
        <f>PDOH!M564</f>
        <v>150.84385739774194</v>
      </c>
    </row>
    <row r="89" spans="4:10" x14ac:dyDescent="0.2">
      <c r="D89" s="90" t="s">
        <v>1148</v>
      </c>
      <c r="E89" s="251">
        <f>PDOH!H565</f>
        <v>42.926949181817164</v>
      </c>
      <c r="F89" s="251">
        <f>PDOH!I565</f>
        <v>42.926949181817172</v>
      </c>
      <c r="G89" s="251">
        <f>PDOH!J565</f>
        <v>42.926949181817172</v>
      </c>
      <c r="H89" s="251">
        <f>PDOH!K565</f>
        <v>22.2886872053557</v>
      </c>
      <c r="I89" s="251">
        <f>PDOH!L565</f>
        <v>9.8571518355399768</v>
      </c>
      <c r="J89" s="251">
        <f>PDOH!M565</f>
        <v>42.926949181817164</v>
      </c>
    </row>
    <row r="90" spans="4:10" x14ac:dyDescent="0.2">
      <c r="D90" s="90" t="s">
        <v>420</v>
      </c>
      <c r="E90" s="251">
        <f>PDOH!H566</f>
        <v>1.248</v>
      </c>
      <c r="F90" s="251">
        <f>PDOH!I566</f>
        <v>1.248</v>
      </c>
      <c r="G90" s="251">
        <f>PDOH!J566</f>
        <v>1.248</v>
      </c>
      <c r="H90" s="251">
        <f>PDOH!K566</f>
        <v>1.248</v>
      </c>
      <c r="I90" s="251">
        <f>PDOH!L566</f>
        <v>1.248</v>
      </c>
      <c r="J90" s="251">
        <f>PDOH!M566</f>
        <v>1.248</v>
      </c>
    </row>
    <row r="91" spans="4:10" x14ac:dyDescent="0.2">
      <c r="D91" s="90" t="s">
        <v>1128</v>
      </c>
      <c r="E91" s="251">
        <f>PDOH!H567</f>
        <v>3580.5923320930156</v>
      </c>
      <c r="F91" s="251">
        <f>PDOH!I567</f>
        <v>4076.9448463716067</v>
      </c>
      <c r="G91" s="251">
        <f>PDOH!J567</f>
        <v>4076.9448463716053</v>
      </c>
      <c r="H91" s="251">
        <f>PDOH!K567</f>
        <v>2120.9689715810332</v>
      </c>
      <c r="I91" s="251">
        <f>PDOH!L567</f>
        <v>3170.1554256810796</v>
      </c>
      <c r="J91" s="251">
        <f>PDOH!M567</f>
        <v>3580.5923320930156</v>
      </c>
    </row>
    <row r="92" spans="4:10" x14ac:dyDescent="0.2">
      <c r="D92" s="90" t="s">
        <v>1150</v>
      </c>
      <c r="E92" s="251">
        <f>PDOH!H568</f>
        <v>90.964249456707805</v>
      </c>
      <c r="F92" s="251">
        <f>PDOH!I568</f>
        <v>90.964249456707805</v>
      </c>
      <c r="G92" s="251">
        <f>PDOH!J568</f>
        <v>90.964249456707805</v>
      </c>
      <c r="H92" s="251">
        <f>PDOH!K568</f>
        <v>47.230789554206133</v>
      </c>
      <c r="I92" s="251">
        <f>PDOH!L568</f>
        <v>24.408185497527565</v>
      </c>
      <c r="J92" s="251">
        <f>PDOH!M568</f>
        <v>90.964249456707805</v>
      </c>
    </row>
    <row r="93" spans="4:10" x14ac:dyDescent="0.2">
      <c r="D93" s="965" t="s">
        <v>422</v>
      </c>
      <c r="E93" s="966">
        <f>PDOH!H569</f>
        <v>1099.0564782202298</v>
      </c>
      <c r="F93" s="966">
        <f>PDOH!I569</f>
        <v>1294.7254009673068</v>
      </c>
      <c r="G93" s="966">
        <f>PDOH!J569</f>
        <v>1294.7254009673068</v>
      </c>
      <c r="H93" s="966">
        <f>PDOH!K569</f>
        <v>675.25209189569318</v>
      </c>
      <c r="I93" s="966">
        <f>PDOH!L569</f>
        <v>628.94640079722615</v>
      </c>
      <c r="J93" s="966">
        <f>PDOH!M569</f>
        <v>1099.0564782202298</v>
      </c>
    </row>
  </sheetData>
  <mergeCells count="1">
    <mergeCell ref="E5:G5"/>
  </mergeCells>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C2:I151"/>
  <sheetViews>
    <sheetView showGridLines="0" topLeftCell="A135" zoomScaleNormal="100" workbookViewId="0">
      <selection activeCell="C137" sqref="C137:H151"/>
    </sheetView>
  </sheetViews>
  <sheetFormatPr defaultRowHeight="15" x14ac:dyDescent="0.25"/>
  <cols>
    <col min="3" max="3" width="44.140625" customWidth="1"/>
    <col min="4" max="8" width="16" customWidth="1"/>
    <col min="9" max="9" width="13" customWidth="1"/>
  </cols>
  <sheetData>
    <row r="2" spans="3:9" ht="26.25" x14ac:dyDescent="0.25">
      <c r="C2" s="903"/>
      <c r="D2" s="1130" t="s">
        <v>1815</v>
      </c>
      <c r="E2" s="1130">
        <v>0</v>
      </c>
      <c r="F2" s="1130">
        <v>0</v>
      </c>
      <c r="G2" s="28" t="s">
        <v>1814</v>
      </c>
      <c r="H2" s="715" t="s">
        <v>1759</v>
      </c>
    </row>
    <row r="3" spans="3:9" x14ac:dyDescent="0.25">
      <c r="C3" s="74"/>
      <c r="D3" s="898" t="s">
        <v>385</v>
      </c>
      <c r="E3" s="898" t="s">
        <v>386</v>
      </c>
      <c r="F3" s="898" t="s">
        <v>1033</v>
      </c>
      <c r="G3" s="28" t="s">
        <v>385</v>
      </c>
      <c r="H3" s="29" t="s">
        <v>385</v>
      </c>
    </row>
    <row r="4" spans="3:9" x14ac:dyDescent="0.25">
      <c r="C4" s="76" t="s">
        <v>598</v>
      </c>
      <c r="D4" s="899">
        <f>SUM(D5:D7)</f>
        <v>14719476440.875088</v>
      </c>
      <c r="E4" s="899">
        <f>SUM(E5:E7)</f>
        <v>15717250466.3459</v>
      </c>
      <c r="F4" s="899">
        <f>SUM(F5:F7)</f>
        <v>16622984452.411974</v>
      </c>
      <c r="G4" s="899">
        <f>SUM(G5:G7)</f>
        <v>10300798593.504608</v>
      </c>
      <c r="H4" s="899">
        <f>SUM(H5:H7)</f>
        <v>13175855718.832741</v>
      </c>
    </row>
    <row r="5" spans="3:9" x14ac:dyDescent="0.25">
      <c r="C5" s="900" t="str">
        <f>Summary!B8</f>
        <v>Health</v>
      </c>
      <c r="D5" s="215">
        <f>Summary!C8</f>
        <v>5417212197.7657471</v>
      </c>
      <c r="E5" s="215">
        <f>Summary!D8</f>
        <v>5903776065.9587812</v>
      </c>
      <c r="F5" s="215">
        <f>Summary!E8</f>
        <v>6281337546.8242931</v>
      </c>
      <c r="G5" s="215">
        <f>Summary!F8</f>
        <v>2525317715.4389639</v>
      </c>
      <c r="H5" s="215">
        <f>Summary!G8</f>
        <v>3509444696.0672464</v>
      </c>
    </row>
    <row r="6" spans="3:9" x14ac:dyDescent="0.25">
      <c r="C6" s="27" t="str">
        <f>Summary!B9</f>
        <v>Social Development</v>
      </c>
      <c r="D6" s="215">
        <f>Summary!C9</f>
        <v>9271829627.2403107</v>
      </c>
      <c r="E6" s="215">
        <f>Summary!D9</f>
        <v>9781200919.1737003</v>
      </c>
      <c r="F6" s="215">
        <f>Summary!E9</f>
        <v>10307422703.798107</v>
      </c>
      <c r="G6" s="215">
        <f>Summary!F9</f>
        <v>7745046262.1966152</v>
      </c>
      <c r="H6" s="215">
        <f>Summary!G9</f>
        <v>9635976406.8964634</v>
      </c>
    </row>
    <row r="7" spans="3:9" x14ac:dyDescent="0.25">
      <c r="C7" s="904" t="str">
        <f>Summary!B10</f>
        <v>Agriculture</v>
      </c>
      <c r="D7" s="902">
        <f>Summary!C10</f>
        <v>30434615.869029142</v>
      </c>
      <c r="E7" s="902">
        <f>Summary!D10</f>
        <v>32273481.213419173</v>
      </c>
      <c r="F7" s="902">
        <f>Summary!E10</f>
        <v>34224201.789572857</v>
      </c>
      <c r="G7" s="902">
        <f>Summary!F10</f>
        <v>30434615.869029142</v>
      </c>
      <c r="H7" s="902">
        <f>Summary!G10</f>
        <v>30434615.869029142</v>
      </c>
    </row>
    <row r="9" spans="3:9" ht="26.25" x14ac:dyDescent="0.25">
      <c r="C9" s="903"/>
      <c r="D9" s="1130" t="s">
        <v>1815</v>
      </c>
      <c r="E9" s="1130">
        <v>0</v>
      </c>
      <c r="F9" s="1130">
        <v>0</v>
      </c>
      <c r="G9" s="28" t="s">
        <v>1814</v>
      </c>
      <c r="H9" s="715" t="s">
        <v>1759</v>
      </c>
      <c r="I9" s="1131" t="s">
        <v>1827</v>
      </c>
    </row>
    <row r="10" spans="3:9" x14ac:dyDescent="0.25">
      <c r="C10" s="74"/>
      <c r="D10" s="1001" t="s">
        <v>385</v>
      </c>
      <c r="E10" s="1001" t="s">
        <v>386</v>
      </c>
      <c r="F10" s="1001" t="s">
        <v>1033</v>
      </c>
      <c r="G10" s="28" t="s">
        <v>385</v>
      </c>
      <c r="H10" s="29" t="s">
        <v>385</v>
      </c>
      <c r="I10" s="1132"/>
    </row>
    <row r="11" spans="3:9" x14ac:dyDescent="0.25">
      <c r="C11" s="76" t="s">
        <v>598</v>
      </c>
      <c r="D11" s="899">
        <f>SUM(D12:D16)</f>
        <v>14719476440.875088</v>
      </c>
      <c r="E11" s="899">
        <f t="shared" ref="E11:F11" si="0">SUM(E12:E16)</f>
        <v>15717250466.345898</v>
      </c>
      <c r="F11" s="899">
        <f t="shared" si="0"/>
        <v>16622984452.411972</v>
      </c>
      <c r="G11" s="899">
        <f t="shared" ref="G11:H11" si="1">SUM(G12:G16)</f>
        <v>10300798593.50461</v>
      </c>
      <c r="H11" s="899">
        <f t="shared" si="1"/>
        <v>13175855718.832739</v>
      </c>
      <c r="I11" s="1004">
        <f t="shared" ref="I11:I16" si="2">D11/$D$11</f>
        <v>1</v>
      </c>
    </row>
    <row r="12" spans="3:9" x14ac:dyDescent="0.25">
      <c r="C12" s="900" t="str">
        <f>'Catg-all'!D7</f>
        <v>Policy and Monitoring</v>
      </c>
      <c r="D12" s="215">
        <f>'Catg-all'!E7</f>
        <v>26025523.812806435</v>
      </c>
      <c r="E12" s="215">
        <f>'Catg-all'!F7</f>
        <v>27642877.561622951</v>
      </c>
      <c r="F12" s="215">
        <f>'Catg-all'!G7</f>
        <v>29447419.246070556</v>
      </c>
      <c r="G12" s="215">
        <f>'Catg-all'!H7</f>
        <v>23939069.750795592</v>
      </c>
      <c r="H12" s="215">
        <f>'Catg-all'!I7</f>
        <v>26523379.411995225</v>
      </c>
      <c r="I12" s="1005">
        <f>D12/$D$11</f>
        <v>1.7681011901031442E-3</v>
      </c>
    </row>
    <row r="13" spans="3:9" x14ac:dyDescent="0.25">
      <c r="C13" s="27" t="str">
        <f>'Catg-all'!D12</f>
        <v>Education/Counselling</v>
      </c>
      <c r="D13" s="215">
        <f>'Catg-all'!E12</f>
        <v>176224817.26128435</v>
      </c>
      <c r="E13" s="215">
        <f>'Catg-all'!F12</f>
        <v>186106950.88173354</v>
      </c>
      <c r="F13" s="215">
        <f>'Catg-all'!G12</f>
        <v>196543377.87927973</v>
      </c>
      <c r="G13" s="215">
        <f>'Catg-all'!H12</f>
        <v>145982580.02501512</v>
      </c>
      <c r="H13" s="215">
        <f>'Catg-all'!I12</f>
        <v>179190261.52397168</v>
      </c>
      <c r="I13" s="1005">
        <f t="shared" si="2"/>
        <v>1.1972220477347875E-2</v>
      </c>
    </row>
    <row r="14" spans="3:9" x14ac:dyDescent="0.25">
      <c r="C14" s="27" t="str">
        <f>'Catg-all'!D17</f>
        <v>Preventative Interventions</v>
      </c>
      <c r="D14" s="215">
        <f>'Catg-all'!E17</f>
        <v>10472726078.552628</v>
      </c>
      <c r="E14" s="215">
        <f>'Catg-all'!F17</f>
        <v>11062536545.644043</v>
      </c>
      <c r="F14" s="215">
        <f>'Catg-all'!G17</f>
        <v>11674611519.103426</v>
      </c>
      <c r="G14" s="215">
        <f>'Catg-all'!H17</f>
        <v>7948247546.1777067</v>
      </c>
      <c r="H14" s="215">
        <f>'Catg-all'!I17</f>
        <v>10840428421.137239</v>
      </c>
      <c r="I14" s="1005">
        <f t="shared" si="2"/>
        <v>0.71148767557183668</v>
      </c>
    </row>
    <row r="15" spans="3:9" x14ac:dyDescent="0.25">
      <c r="C15" s="27" t="str">
        <f>'Catg-all'!D22</f>
        <v>Clinical Interventions</v>
      </c>
      <c r="D15" s="215">
        <f>'Catg-all'!E22</f>
        <v>4015255140.2937579</v>
      </c>
      <c r="E15" s="215">
        <f>'Catg-all'!F22</f>
        <v>4409951648.46385</v>
      </c>
      <c r="F15" s="215">
        <f>'Catg-all'!G22</f>
        <v>4689494575.9620314</v>
      </c>
      <c r="G15" s="215">
        <f>'Catg-all'!H22</f>
        <v>2153384516.5964804</v>
      </c>
      <c r="H15" s="215">
        <f>'Catg-all'!I22</f>
        <v>2100468775.8049231</v>
      </c>
      <c r="I15" s="1005">
        <f t="shared" si="2"/>
        <v>0.27278518746384478</v>
      </c>
    </row>
    <row r="16" spans="3:9" x14ac:dyDescent="0.25">
      <c r="C16" s="998" t="str">
        <f>'Catg-all'!D27</f>
        <v>Nutrition Sensitive Programmes</v>
      </c>
      <c r="D16" s="902">
        <f>'Catg-all'!E27</f>
        <v>29244880.954610541</v>
      </c>
      <c r="E16" s="902">
        <f>'Catg-all'!F27</f>
        <v>31012443.794648942</v>
      </c>
      <c r="F16" s="902">
        <f>'Catg-all'!G27</f>
        <v>32887560.221163787</v>
      </c>
      <c r="G16" s="902">
        <f>'Catg-all'!H27</f>
        <v>29244880.954610541</v>
      </c>
      <c r="H16" s="902">
        <f>'Catg-all'!I27</f>
        <v>29244880.954610541</v>
      </c>
      <c r="I16" s="1006">
        <f t="shared" si="2"/>
        <v>1.9868152968674411E-3</v>
      </c>
    </row>
    <row r="20" spans="3:8" x14ac:dyDescent="0.25">
      <c r="C20" t="s">
        <v>945</v>
      </c>
    </row>
    <row r="21" spans="3:8" ht="26.25" x14ac:dyDescent="0.25">
      <c r="C21" s="903"/>
      <c r="D21" s="1130" t="s">
        <v>1815</v>
      </c>
      <c r="E21" s="1130">
        <v>0</v>
      </c>
      <c r="F21" s="1130">
        <v>0</v>
      </c>
      <c r="G21" s="28" t="s">
        <v>1814</v>
      </c>
      <c r="H21" s="715" t="s">
        <v>1759</v>
      </c>
    </row>
    <row r="22" spans="3:8" x14ac:dyDescent="0.25">
      <c r="C22" s="27"/>
      <c r="D22" s="898" t="str">
        <f>'Catg-all'!E6</f>
        <v>2015/16</v>
      </c>
      <c r="E22" s="898" t="str">
        <f>'Catg-all'!F6</f>
        <v>2016/17</v>
      </c>
      <c r="F22" s="898" t="str">
        <f>'Catg-all'!G6</f>
        <v>2017/18</v>
      </c>
      <c r="G22" s="28" t="str">
        <f>'Catg-all'!H6</f>
        <v>2015/16</v>
      </c>
      <c r="H22" s="29" t="str">
        <f>'Catg-all'!I6</f>
        <v>2015/16</v>
      </c>
    </row>
    <row r="23" spans="3:8" x14ac:dyDescent="0.25">
      <c r="C23" s="76" t="s">
        <v>598</v>
      </c>
      <c r="D23" s="899">
        <f>'Catg-all'!E7</f>
        <v>26025523.812806435</v>
      </c>
      <c r="E23" s="899">
        <f>'Catg-all'!F7</f>
        <v>27642877.561622951</v>
      </c>
      <c r="F23" s="899">
        <f>'Catg-all'!G7</f>
        <v>29447419.246070556</v>
      </c>
      <c r="G23" s="899">
        <f>'Catg-all'!H7</f>
        <v>23939069.750795592</v>
      </c>
      <c r="H23" s="899">
        <f>'Catg-all'!I7</f>
        <v>26523379.411995225</v>
      </c>
    </row>
    <row r="24" spans="3:8" x14ac:dyDescent="0.25">
      <c r="C24" s="900" t="str">
        <f>'Catg-all'!D8</f>
        <v>Compensation of Employees</v>
      </c>
      <c r="D24" s="215">
        <f>'Catg-all'!E8</f>
        <v>24087562.757841673</v>
      </c>
      <c r="E24" s="215">
        <f>'Catg-all'!F8</f>
        <v>25677111.327580158</v>
      </c>
      <c r="F24" s="215">
        <f>'Catg-all'!G8</f>
        <v>27371570.10292137</v>
      </c>
      <c r="G24" s="215">
        <f>'Catg-all'!H8</f>
        <v>22380481.707268544</v>
      </c>
      <c r="H24" s="215">
        <f>'Catg-all'!I8</f>
        <v>24494711.592057884</v>
      </c>
    </row>
    <row r="25" spans="3:8" x14ac:dyDescent="0.25">
      <c r="C25" s="27" t="str">
        <f>'Catg-all'!D9</f>
        <v>Goods and Services</v>
      </c>
      <c r="D25" s="215">
        <f>'Catg-all'!E9</f>
        <v>1937961.0549647645</v>
      </c>
      <c r="E25" s="215">
        <f>'Catg-all'!F9</f>
        <v>1965766.2340427916</v>
      </c>
      <c r="F25" s="215">
        <f>'Catg-all'!G9</f>
        <v>2075849.143149188</v>
      </c>
      <c r="G25" s="215">
        <f>'Catg-all'!H9</f>
        <v>1558588.0435270469</v>
      </c>
      <c r="H25" s="365">
        <f>'Catg-all'!I9</f>
        <v>2028667.8199373428</v>
      </c>
    </row>
    <row r="26" spans="3:8" x14ac:dyDescent="0.25">
      <c r="C26" s="27" t="str">
        <f>'Catg-all'!D10</f>
        <v>Medical Supplies</v>
      </c>
      <c r="D26" s="215">
        <f>'Catg-all'!E10</f>
        <v>0</v>
      </c>
      <c r="E26" s="215">
        <f>'Catg-all'!F10</f>
        <v>0</v>
      </c>
      <c r="F26" s="215">
        <f>'Catg-all'!G10</f>
        <v>0</v>
      </c>
      <c r="G26" s="215">
        <f>'Catg-all'!H10</f>
        <v>0</v>
      </c>
      <c r="H26" s="365">
        <f>'Catg-all'!I10</f>
        <v>0</v>
      </c>
    </row>
    <row r="27" spans="3:8" x14ac:dyDescent="0.25">
      <c r="C27" s="905" t="str">
        <f>'Catg-all'!D11</f>
        <v>Transfers and Subsidies</v>
      </c>
      <c r="D27" s="906">
        <f>'Catg-all'!E11</f>
        <v>0</v>
      </c>
      <c r="E27" s="906">
        <f>'Catg-all'!F11</f>
        <v>0</v>
      </c>
      <c r="F27" s="906">
        <f>'Catg-all'!G11</f>
        <v>0</v>
      </c>
      <c r="G27" s="906">
        <f>'Catg-all'!H11</f>
        <v>0</v>
      </c>
      <c r="H27" s="907">
        <f>'Catg-all'!I11</f>
        <v>0</v>
      </c>
    </row>
    <row r="28" spans="3:8" x14ac:dyDescent="0.25">
      <c r="C28" s="76" t="s">
        <v>0</v>
      </c>
      <c r="D28" s="365">
        <f>'Catg-Health'!E7</f>
        <v>19930331.255724806</v>
      </c>
      <c r="E28" s="365">
        <f>'Catg-Health'!F7</f>
        <v>21152138.61569858</v>
      </c>
      <c r="F28" s="365">
        <f>'Catg-Health'!G7</f>
        <v>22535405.083555609</v>
      </c>
      <c r="G28" s="365">
        <f>'Catg-Health'!H7</f>
        <v>19931270.765484806</v>
      </c>
      <c r="H28" s="365">
        <f>'Catg-Health'!I7</f>
        <v>19930331.255724806</v>
      </c>
    </row>
    <row r="29" spans="3:8" x14ac:dyDescent="0.25">
      <c r="C29" s="76" t="s">
        <v>1521</v>
      </c>
      <c r="D29" s="215">
        <f>'Catg-SWelfare'!E7</f>
        <v>5609457.6426630244</v>
      </c>
      <c r="E29" s="215">
        <f>'Catg-SWelfare'!F7</f>
        <v>5973125.5271541364</v>
      </c>
      <c r="F29" s="215">
        <f>'Catg-SWelfare'!G7</f>
        <v>6360428.3381058834</v>
      </c>
      <c r="G29" s="215">
        <f>'Catg-SWelfare'!H7</f>
        <v>3522064.0708921794</v>
      </c>
      <c r="H29" s="215">
        <f>'Catg-SWelfare'!I7</f>
        <v>6107313.2418518141</v>
      </c>
    </row>
    <row r="30" spans="3:8" x14ac:dyDescent="0.25">
      <c r="C30" s="901" t="s">
        <v>578</v>
      </c>
      <c r="D30" s="902">
        <f>'Catg-Agric'!E7</f>
        <v>485734.91441860469</v>
      </c>
      <c r="E30" s="902">
        <f>'Catg-Agric'!F7</f>
        <v>517613.41877023259</v>
      </c>
      <c r="F30" s="902">
        <f>'Catg-Agric'!G7</f>
        <v>551585.82440906798</v>
      </c>
      <c r="G30" s="902">
        <f>'Catg-Agric'!H7</f>
        <v>485734.91441860469</v>
      </c>
      <c r="H30" s="902">
        <f>'Catg-Agric'!I7</f>
        <v>485734.91441860469</v>
      </c>
    </row>
    <row r="33" spans="3:8" x14ac:dyDescent="0.25">
      <c r="C33" s="458" t="s">
        <v>1522</v>
      </c>
    </row>
    <row r="34" spans="3:8" ht="26.25" x14ac:dyDescent="0.25">
      <c r="C34" s="903"/>
      <c r="D34" s="1130" t="s">
        <v>1815</v>
      </c>
      <c r="E34" s="1130">
        <v>0</v>
      </c>
      <c r="F34" s="1130">
        <v>0</v>
      </c>
      <c r="G34" s="28" t="s">
        <v>1814</v>
      </c>
      <c r="H34" s="715" t="s">
        <v>1759</v>
      </c>
    </row>
    <row r="35" spans="3:8" x14ac:dyDescent="0.25">
      <c r="C35" s="27"/>
      <c r="D35" s="898" t="s">
        <v>385</v>
      </c>
      <c r="E35" s="898" t="s">
        <v>386</v>
      </c>
      <c r="F35" s="898" t="s">
        <v>1033</v>
      </c>
      <c r="G35" s="28" t="s">
        <v>385</v>
      </c>
      <c r="H35" s="29" t="s">
        <v>385</v>
      </c>
    </row>
    <row r="36" spans="3:8" x14ac:dyDescent="0.25">
      <c r="C36" s="76" t="s">
        <v>1524</v>
      </c>
      <c r="D36" s="899">
        <f>D50+D62</f>
        <v>10648950895.813911</v>
      </c>
      <c r="E36" s="899">
        <f t="shared" ref="E36:H36" si="3">E50+E62</f>
        <v>11248643496.525776</v>
      </c>
      <c r="F36" s="899">
        <f t="shared" si="3"/>
        <v>11871154896.982706</v>
      </c>
      <c r="G36" s="899">
        <f t="shared" si="3"/>
        <v>8094230126.2027216</v>
      </c>
      <c r="H36" s="899">
        <f t="shared" si="3"/>
        <v>11019618682.661211</v>
      </c>
    </row>
    <row r="37" spans="3:8" x14ac:dyDescent="0.25">
      <c r="C37" s="76" t="s">
        <v>1523</v>
      </c>
      <c r="D37" s="908">
        <f>(PDSD!H9-PDSD!H10)+'Report tables'!D36</f>
        <v>13272472623.903305</v>
      </c>
      <c r="E37" s="908">
        <f>(PDSD!I9-PDSD!I10)+'Report tables'!E36</f>
        <v>14047066673.154465</v>
      </c>
      <c r="F37" s="908">
        <f>(PDSD!J9-PDSD!J10)+'Report tables'!F36</f>
        <v>14844479522.150688</v>
      </c>
      <c r="G37" s="908">
        <f>(PDSD!K9-PDSD!K10)+'Report tables'!G36</f>
        <v>9195925320.0564594</v>
      </c>
      <c r="H37" s="908">
        <f>(PDSD!L9-PDSD!L10)+'Report tables'!H36</f>
        <v>14006104957.211548</v>
      </c>
    </row>
    <row r="38" spans="3:8" x14ac:dyDescent="0.25">
      <c r="C38" s="900" t="s">
        <v>596</v>
      </c>
      <c r="D38" s="215">
        <f>D51+D70</f>
        <v>1186070392.0735283</v>
      </c>
      <c r="E38" s="215">
        <f t="shared" ref="E38:H38" si="4">E51+E70</f>
        <v>1264351037.9503813</v>
      </c>
      <c r="F38" s="215">
        <f t="shared" si="4"/>
        <v>1347798206.4551067</v>
      </c>
      <c r="G38" s="215">
        <f t="shared" si="4"/>
        <v>207649996.11349526</v>
      </c>
      <c r="H38" s="215">
        <f t="shared" si="4"/>
        <v>1195052562.9484453</v>
      </c>
    </row>
    <row r="39" spans="3:8" x14ac:dyDescent="0.25">
      <c r="C39" s="27" t="s">
        <v>597</v>
      </c>
      <c r="D39" s="215">
        <f t="shared" ref="D39:H40" si="5">D52+D68</f>
        <v>177844630.5992099</v>
      </c>
      <c r="E39" s="215">
        <f t="shared" si="5"/>
        <v>187794214.53668648</v>
      </c>
      <c r="F39" s="215">
        <f t="shared" si="5"/>
        <v>198307944.77466166</v>
      </c>
      <c r="G39" s="215">
        <f t="shared" si="5"/>
        <v>146353419.56590381</v>
      </c>
      <c r="H39" s="215">
        <f t="shared" si="5"/>
        <v>180477542.61693585</v>
      </c>
    </row>
    <row r="40" spans="3:8" x14ac:dyDescent="0.25">
      <c r="C40" s="27" t="s">
        <v>998</v>
      </c>
      <c r="D40" s="215">
        <f t="shared" si="5"/>
        <v>47729891.810816929</v>
      </c>
      <c r="E40" s="215">
        <f t="shared" si="5"/>
        <v>52025582.073790453</v>
      </c>
      <c r="F40" s="215">
        <f t="shared" si="5"/>
        <v>56707884.460431606</v>
      </c>
      <c r="G40" s="215">
        <f t="shared" si="5"/>
        <v>24747263.428621925</v>
      </c>
      <c r="H40" s="215">
        <f t="shared" si="5"/>
        <v>43818049.304529928</v>
      </c>
    </row>
    <row r="41" spans="3:8" x14ac:dyDescent="0.25">
      <c r="C41" s="27" t="s">
        <v>756</v>
      </c>
      <c r="D41" s="215">
        <f>D51+D63</f>
        <v>9238660366.7120781</v>
      </c>
      <c r="E41" s="215">
        <f t="shared" ref="E41:H41" si="6">E51+E63</f>
        <v>9745916436.7818356</v>
      </c>
      <c r="F41" s="215">
        <f t="shared" si="6"/>
        <v>10269879925.247337</v>
      </c>
      <c r="G41" s="215">
        <f t="shared" si="6"/>
        <v>7716833832.4764223</v>
      </c>
      <c r="H41" s="215">
        <f t="shared" si="6"/>
        <v>9601624913.1730213</v>
      </c>
    </row>
    <row r="42" spans="3:8" x14ac:dyDescent="0.25">
      <c r="C42" s="905" t="s">
        <v>1525</v>
      </c>
      <c r="D42" s="906">
        <f>PDSD!H9+SASSA!H13</f>
        <v>5509713361.7155647</v>
      </c>
      <c r="E42" s="906">
        <f>PDSD!I9+SASSA!I13</f>
        <v>5874225773.5042114</v>
      </c>
      <c r="F42" s="906">
        <f>PDSD!J9+SASSA!J13</f>
        <v>6239561918.1166201</v>
      </c>
      <c r="G42" s="906">
        <f>PDSD!K9+SASSA!K13</f>
        <v>2466060293.2442513</v>
      </c>
      <c r="H42" s="906">
        <f>PDSD!L9+SASSA!L13</f>
        <v>6235642454.6374502</v>
      </c>
    </row>
    <row r="43" spans="3:8" x14ac:dyDescent="0.25">
      <c r="C43" s="76" t="str">
        <f t="shared" ref="C43:C45" si="7">C55</f>
        <v>Health</v>
      </c>
      <c r="D43" s="215">
        <f t="shared" ref="D43:H45" si="8">D55+D71</f>
        <v>1382026726.2162642</v>
      </c>
      <c r="E43" s="215">
        <f t="shared" si="8"/>
        <v>1472672278.8792324</v>
      </c>
      <c r="F43" s="215">
        <f t="shared" si="8"/>
        <v>1569307565.7787046</v>
      </c>
      <c r="G43" s="215">
        <f t="shared" si="8"/>
        <v>352001928.07699919</v>
      </c>
      <c r="H43" s="215">
        <f t="shared" si="8"/>
        <v>1389045589.0065994</v>
      </c>
    </row>
    <row r="44" spans="3:8" x14ac:dyDescent="0.25">
      <c r="C44" s="76" t="str">
        <f t="shared" si="7"/>
        <v>Social Welfare</v>
      </c>
      <c r="D44" s="215">
        <f t="shared" si="8"/>
        <v>9266220169.5976486</v>
      </c>
      <c r="E44" s="215">
        <f t="shared" si="8"/>
        <v>9775227793.6465454</v>
      </c>
      <c r="F44" s="215">
        <f t="shared" si="8"/>
        <v>10301062275.460001</v>
      </c>
      <c r="G44" s="215">
        <f t="shared" si="8"/>
        <v>7741524198.1257229</v>
      </c>
      <c r="H44" s="215">
        <f t="shared" si="8"/>
        <v>9629869093.6546116</v>
      </c>
    </row>
    <row r="45" spans="3:8" x14ac:dyDescent="0.25">
      <c r="C45" s="901" t="str">
        <f t="shared" si="7"/>
        <v>Agriculture</v>
      </c>
      <c r="D45" s="902">
        <f t="shared" si="8"/>
        <v>704000</v>
      </c>
      <c r="E45" s="902">
        <f t="shared" si="8"/>
        <v>743424</v>
      </c>
      <c r="F45" s="902">
        <f t="shared" si="8"/>
        <v>785055.74399999995</v>
      </c>
      <c r="G45" s="902">
        <f t="shared" si="8"/>
        <v>704000</v>
      </c>
      <c r="H45" s="902">
        <f t="shared" si="8"/>
        <v>704000</v>
      </c>
    </row>
    <row r="47" spans="3:8" x14ac:dyDescent="0.25">
      <c r="C47" s="458" t="str">
        <f>'Catg-all'!D12</f>
        <v>Education/Counselling</v>
      </c>
    </row>
    <row r="48" spans="3:8" ht="26.25" x14ac:dyDescent="0.25">
      <c r="C48" s="903"/>
      <c r="D48" s="1130" t="str">
        <f>D21</f>
        <v>Full Cost Scenario 1 (with MTEF)</v>
      </c>
      <c r="E48" s="1130">
        <f>'Catg-all'!F18</f>
        <v>1262907263.1334658</v>
      </c>
      <c r="F48" s="1130">
        <f>'Catg-all'!G18</f>
        <v>1346259142.5002747</v>
      </c>
      <c r="G48" s="28" t="s">
        <v>1814</v>
      </c>
      <c r="H48" s="715" t="s">
        <v>1759</v>
      </c>
    </row>
    <row r="49" spans="3:8" x14ac:dyDescent="0.25">
      <c r="C49" s="27"/>
      <c r="D49" s="898" t="str">
        <f>D22</f>
        <v>2015/16</v>
      </c>
      <c r="E49" s="898" t="str">
        <f t="shared" ref="E49:F49" si="9">E22</f>
        <v>2016/17</v>
      </c>
      <c r="F49" s="898" t="str">
        <f t="shared" si="9"/>
        <v>2017/18</v>
      </c>
      <c r="G49" s="28" t="str">
        <f>G22</f>
        <v>2015/16</v>
      </c>
      <c r="H49" s="29" t="str">
        <f>H22</f>
        <v>2015/16</v>
      </c>
    </row>
    <row r="50" spans="3:8" x14ac:dyDescent="0.25">
      <c r="C50" s="76" t="s">
        <v>598</v>
      </c>
      <c r="D50" s="899">
        <f>'Catg-all'!E12</f>
        <v>176224817.26128435</v>
      </c>
      <c r="E50" s="899">
        <f>'Catg-all'!F12</f>
        <v>186106950.88173354</v>
      </c>
      <c r="F50" s="899">
        <f>'Catg-all'!G12</f>
        <v>196543377.87927973</v>
      </c>
      <c r="G50" s="899">
        <f>'Catg-all'!H12</f>
        <v>145982580.02501512</v>
      </c>
      <c r="H50" s="899">
        <f>'Catg-all'!I12</f>
        <v>179190261.52397168</v>
      </c>
    </row>
    <row r="51" spans="3:8" x14ac:dyDescent="0.25">
      <c r="C51" s="999" t="str">
        <f>'Catg-all'!D18</f>
        <v>Compensation of Employees</v>
      </c>
      <c r="D51" s="215">
        <f>'Catg-all'!E13</f>
        <v>1354385.3817219452</v>
      </c>
      <c r="E51" s="215">
        <f>'Catg-all'!F13</f>
        <v>1443774.8169155936</v>
      </c>
      <c r="F51" s="215">
        <f>'Catg-all'!G13</f>
        <v>1539063.954832023</v>
      </c>
      <c r="G51" s="215">
        <f>'Catg-all'!H13</f>
        <v>1354385.3817219452</v>
      </c>
      <c r="H51" s="215">
        <f>'Catg-all'!I13</f>
        <v>1354385.3817219452</v>
      </c>
    </row>
    <row r="52" spans="3:8" x14ac:dyDescent="0.25">
      <c r="C52" s="1000" t="str">
        <f>'Catg-all'!D19</f>
        <v>Goods and Services</v>
      </c>
      <c r="D52" s="215">
        <f>'Catg-all'!E14</f>
        <v>174870431.87956241</v>
      </c>
      <c r="E52" s="215">
        <f>'Catg-all'!F14</f>
        <v>184663176.06481794</v>
      </c>
      <c r="F52" s="215">
        <f>'Catg-all'!G14</f>
        <v>195004313.92444772</v>
      </c>
      <c r="G52" s="215">
        <f>'Catg-all'!H14</f>
        <v>144628194.64329317</v>
      </c>
      <c r="H52" s="215">
        <f>'Catg-all'!I14</f>
        <v>177835876.14224973</v>
      </c>
    </row>
    <row r="53" spans="3:8" x14ac:dyDescent="0.25">
      <c r="C53" s="1000" t="str">
        <f>'Catg-all'!D20</f>
        <v>Medical Supplies</v>
      </c>
      <c r="D53" s="215">
        <f>'Catg-all'!E15</f>
        <v>0</v>
      </c>
      <c r="E53" s="215">
        <f>'Catg-all'!F15</f>
        <v>0</v>
      </c>
      <c r="F53" s="215">
        <f>'Catg-all'!G15</f>
        <v>0</v>
      </c>
      <c r="G53" s="215">
        <f>'Catg-all'!H15</f>
        <v>0</v>
      </c>
      <c r="H53" s="215">
        <f>'Catg-all'!I15</f>
        <v>0</v>
      </c>
    </row>
    <row r="54" spans="3:8" x14ac:dyDescent="0.25">
      <c r="C54" s="905" t="str">
        <f>'Catg-all'!D21</f>
        <v>Transfers and Subsidies</v>
      </c>
      <c r="D54" s="906">
        <f>'Catg-all'!E16</f>
        <v>0</v>
      </c>
      <c r="E54" s="906">
        <f>'Catg-all'!F16</f>
        <v>0</v>
      </c>
      <c r="F54" s="906">
        <f>'Catg-all'!G16</f>
        <v>0</v>
      </c>
      <c r="G54" s="906">
        <f>'Catg-all'!H16</f>
        <v>0</v>
      </c>
      <c r="H54" s="906">
        <f>'Catg-all'!I16</f>
        <v>0</v>
      </c>
    </row>
    <row r="55" spans="3:8" x14ac:dyDescent="0.25">
      <c r="C55" s="76" t="s">
        <v>0</v>
      </c>
      <c r="D55" s="365">
        <f>'Catg-Health'!E12</f>
        <v>169219724.24410766</v>
      </c>
      <c r="E55" s="365">
        <f>'Catg-Health'!F12</f>
        <v>178696028.80177772</v>
      </c>
      <c r="F55" s="365">
        <f>'Catg-Health'!G12</f>
        <v>188703006.41467726</v>
      </c>
      <c r="G55" s="365">
        <f>'Catg-Health'!H12</f>
        <v>141846924.24410766</v>
      </c>
      <c r="H55" s="365">
        <f>'Catg-Health'!I12</f>
        <v>171500790.91077435</v>
      </c>
    </row>
    <row r="56" spans="3:8" x14ac:dyDescent="0.25">
      <c r="C56" s="76" t="s">
        <v>1521</v>
      </c>
      <c r="D56" s="215">
        <f>'Catg-SWelfare'!E12</f>
        <v>6301093.0171766961</v>
      </c>
      <c r="E56" s="215">
        <f>'Catg-SWelfare'!F12</f>
        <v>6667498.0799558107</v>
      </c>
      <c r="F56" s="215">
        <f>'Catg-SWelfare'!G12</f>
        <v>7055315.7206024919</v>
      </c>
      <c r="G56" s="215">
        <f>'Catg-SWelfare'!H12</f>
        <v>3431655.7809074437</v>
      </c>
      <c r="H56" s="215">
        <f>'Catg-SWelfare'!I12</f>
        <v>6985470.6131973285</v>
      </c>
    </row>
    <row r="57" spans="3:8" x14ac:dyDescent="0.25">
      <c r="C57" s="901" t="s">
        <v>578</v>
      </c>
      <c r="D57" s="902">
        <f>'Catg-Agric'!E12</f>
        <v>704000</v>
      </c>
      <c r="E57" s="902">
        <f>'Catg-Agric'!F12</f>
        <v>743424</v>
      </c>
      <c r="F57" s="902">
        <f>'Catg-Agric'!G12</f>
        <v>785055.74399999995</v>
      </c>
      <c r="G57" s="902">
        <f>'Catg-Agric'!H12</f>
        <v>704000</v>
      </c>
      <c r="H57" s="902">
        <f>'Catg-Agric'!I12</f>
        <v>704000</v>
      </c>
    </row>
    <row r="59" spans="3:8" x14ac:dyDescent="0.25">
      <c r="C59" s="458" t="s">
        <v>669</v>
      </c>
    </row>
    <row r="60" spans="3:8" ht="26.25" x14ac:dyDescent="0.25">
      <c r="C60" s="903"/>
      <c r="D60" s="1130" t="s">
        <v>1815</v>
      </c>
      <c r="E60" s="1130">
        <v>0</v>
      </c>
      <c r="F60" s="1130">
        <v>0</v>
      </c>
      <c r="G60" s="28" t="s">
        <v>1814</v>
      </c>
      <c r="H60" s="715" t="s">
        <v>1759</v>
      </c>
    </row>
    <row r="61" spans="3:8" x14ac:dyDescent="0.25">
      <c r="C61" s="27"/>
      <c r="D61" s="898" t="s">
        <v>385</v>
      </c>
      <c r="E61" s="898" t="s">
        <v>386</v>
      </c>
      <c r="F61" s="898" t="s">
        <v>1033</v>
      </c>
      <c r="G61" s="28" t="s">
        <v>385</v>
      </c>
      <c r="H61" s="29" t="s">
        <v>385</v>
      </c>
    </row>
    <row r="62" spans="3:8" x14ac:dyDescent="0.25">
      <c r="C62" s="76" t="s">
        <v>598</v>
      </c>
      <c r="D62" s="899">
        <f>'Catg-all'!E17</f>
        <v>10472726078.552628</v>
      </c>
      <c r="E62" s="899">
        <f>'Catg-all'!F17</f>
        <v>11062536545.644043</v>
      </c>
      <c r="F62" s="899">
        <f>'Catg-all'!G17</f>
        <v>11674611519.103426</v>
      </c>
      <c r="G62" s="899">
        <f>'Catg-all'!H17</f>
        <v>7948247546.1777067</v>
      </c>
      <c r="H62" s="899">
        <f>'Catg-all'!I17</f>
        <v>10840428421.137239</v>
      </c>
    </row>
    <row r="63" spans="3:8" x14ac:dyDescent="0.25">
      <c r="C63" s="900" t="s">
        <v>756</v>
      </c>
      <c r="D63" s="215">
        <f>'Catg-all'!E21</f>
        <v>9237305981.3303566</v>
      </c>
      <c r="E63" s="215">
        <f>'Catg-all'!F21</f>
        <v>9744472661.96492</v>
      </c>
      <c r="F63" s="215">
        <f>'Catg-all'!G21</f>
        <v>10268340861.292505</v>
      </c>
      <c r="G63" s="215">
        <f>'Catg-all'!H21</f>
        <v>7715479447.0947008</v>
      </c>
      <c r="H63" s="215">
        <f>'Catg-all'!I21</f>
        <v>9600270527.7912998</v>
      </c>
    </row>
    <row r="64" spans="3:8" x14ac:dyDescent="0.25">
      <c r="C64" s="348" t="s">
        <v>1748</v>
      </c>
    </row>
    <row r="65" spans="3:8" x14ac:dyDescent="0.25">
      <c r="C65" s="988" t="s">
        <v>1721</v>
      </c>
      <c r="D65" s="989">
        <f>SASSA!H8</f>
        <v>6351114347.7041874</v>
      </c>
      <c r="E65" s="989">
        <f>SASSA!I8</f>
        <v>6668670065.0893965</v>
      </c>
      <c r="F65" s="989">
        <f>SASSA!J8</f>
        <v>7002103568.3438663</v>
      </c>
      <c r="G65" s="989">
        <f>SASSA!K8</f>
        <v>6351114347.7041874</v>
      </c>
      <c r="H65" s="989">
        <f>SASSA!L8</f>
        <v>6351114347.7041874</v>
      </c>
    </row>
    <row r="66" spans="3:8" x14ac:dyDescent="0.25">
      <c r="C66" s="90" t="s">
        <v>1262</v>
      </c>
      <c r="D66" s="215">
        <f>SASSA!H6+SASSA!H7</f>
        <v>262669905.53677592</v>
      </c>
      <c r="E66" s="215">
        <f>SASSA!I6+SASSA!I7</f>
        <v>277379420.24683535</v>
      </c>
      <c r="F66" s="215">
        <f>SASSA!J6+SASSA!J7</f>
        <v>292912667.78065819</v>
      </c>
      <c r="G66" s="215">
        <f>SASSA!K6+SASSA!K7</f>
        <v>262669905.53677592</v>
      </c>
      <c r="H66" s="215">
        <f>SASSA!L6+SASSA!L7</f>
        <v>262669905.53677592</v>
      </c>
    </row>
    <row r="67" spans="3:8" x14ac:dyDescent="0.25">
      <c r="C67" s="990" t="s">
        <v>1749</v>
      </c>
      <c r="D67" s="991">
        <f>PDSD!H10</f>
        <v>2623521728.0893946</v>
      </c>
      <c r="E67" s="991">
        <f>PDSD!I10</f>
        <v>2798423176.6286879</v>
      </c>
      <c r="F67" s="991">
        <f>PDSD!J10</f>
        <v>2973324625.1679807</v>
      </c>
      <c r="G67" s="991">
        <f>PDSD!K10</f>
        <v>1101695193.8537378</v>
      </c>
      <c r="H67" s="991">
        <f>PDSD!L10</f>
        <v>2986486274.5503373</v>
      </c>
    </row>
    <row r="68" spans="3:8" x14ac:dyDescent="0.25">
      <c r="C68" s="1090" t="s">
        <v>597</v>
      </c>
      <c r="D68" s="365">
        <f>'Catg-all'!E19</f>
        <v>2974198.7196474834</v>
      </c>
      <c r="E68" s="365">
        <f>'Catg-all'!F19</f>
        <v>3131038.4718685318</v>
      </c>
      <c r="F68" s="365">
        <f>'Catg-all'!G19</f>
        <v>3303630.8502139584</v>
      </c>
      <c r="G68" s="365">
        <f>'Catg-all'!H19</f>
        <v>1725224.9226106438</v>
      </c>
      <c r="H68" s="365">
        <f>'Catg-all'!I19</f>
        <v>2641666.4746861123</v>
      </c>
    </row>
    <row r="69" spans="3:8" x14ac:dyDescent="0.25">
      <c r="C69" s="27" t="s">
        <v>998</v>
      </c>
      <c r="D69" s="215">
        <f>'Catg-all'!E20</f>
        <v>47729891.810816929</v>
      </c>
      <c r="E69" s="215">
        <f>'Catg-all'!F20</f>
        <v>52025582.073790453</v>
      </c>
      <c r="F69" s="215">
        <f>'Catg-all'!G20</f>
        <v>56707884.460431606</v>
      </c>
      <c r="G69" s="215">
        <f>'Catg-all'!H20</f>
        <v>24747263.428621925</v>
      </c>
      <c r="H69" s="215">
        <f>'Catg-all'!I20</f>
        <v>43818049.304529928</v>
      </c>
    </row>
    <row r="70" spans="3:8" x14ac:dyDescent="0.25">
      <c r="C70" s="1091" t="s">
        <v>596</v>
      </c>
      <c r="D70" s="215">
        <f>'Catg-all'!E18</f>
        <v>1184716006.6918063</v>
      </c>
      <c r="E70" s="215">
        <f>'Catg-all'!F18</f>
        <v>1262907263.1334658</v>
      </c>
      <c r="F70" s="215">
        <f>'Catg-all'!G18</f>
        <v>1346259142.5002747</v>
      </c>
      <c r="G70" s="215">
        <f>'Catg-all'!H18</f>
        <v>206295610.73177332</v>
      </c>
      <c r="H70" s="215">
        <f>'Catg-all'!I18</f>
        <v>1193698177.5667233</v>
      </c>
    </row>
    <row r="71" spans="3:8" x14ac:dyDescent="0.25">
      <c r="C71" s="76" t="s">
        <v>0</v>
      </c>
      <c r="D71" s="365">
        <f>'Catg-Health'!E17</f>
        <v>1212807001.9721565</v>
      </c>
      <c r="E71" s="365">
        <f>'Catg-Health'!F17</f>
        <v>1293976250.0774546</v>
      </c>
      <c r="F71" s="365">
        <f>'Catg-Health'!G17</f>
        <v>1380604559.3640275</v>
      </c>
      <c r="G71" s="365">
        <f>'Catg-Health'!H17</f>
        <v>210155003.83289149</v>
      </c>
      <c r="H71" s="365">
        <f>'Catg-Health'!I17</f>
        <v>1217544798.0958252</v>
      </c>
    </row>
    <row r="72" spans="3:8" x14ac:dyDescent="0.25">
      <c r="C72" s="76" t="s">
        <v>1521</v>
      </c>
      <c r="D72" s="215">
        <f>'Catg-SWelfare'!E17</f>
        <v>9259919076.580471</v>
      </c>
      <c r="E72" s="215">
        <f>'Catg-SWelfare'!F17</f>
        <v>9768560295.5665894</v>
      </c>
      <c r="F72" s="215">
        <f>'Catg-SWelfare'!G17</f>
        <v>10294006959.739399</v>
      </c>
      <c r="G72" s="215">
        <f>'Catg-SWelfare'!H17</f>
        <v>7738092542.3448153</v>
      </c>
      <c r="H72" s="215">
        <f>'Catg-SWelfare'!I17</f>
        <v>9622883623.0414143</v>
      </c>
    </row>
    <row r="73" spans="3:8" x14ac:dyDescent="0.25">
      <c r="C73" s="901" t="s">
        <v>578</v>
      </c>
      <c r="D73" s="902">
        <f>'Catg-Agric'!E17</f>
        <v>0</v>
      </c>
      <c r="E73" s="902">
        <f>'Catg-Agric'!F17</f>
        <v>0</v>
      </c>
      <c r="F73" s="902">
        <f>'Catg-Agric'!G17</f>
        <v>0</v>
      </c>
      <c r="G73" s="902">
        <f>'Catg-Agric'!H17</f>
        <v>0</v>
      </c>
      <c r="H73" s="902">
        <f>'Catg-Agric'!I17</f>
        <v>0</v>
      </c>
    </row>
    <row r="76" spans="3:8" x14ac:dyDescent="0.25">
      <c r="C76" s="458" t="s">
        <v>670</v>
      </c>
    </row>
    <row r="77" spans="3:8" ht="26.25" x14ac:dyDescent="0.25">
      <c r="C77" s="903"/>
      <c r="D77" s="1130" t="s">
        <v>1815</v>
      </c>
      <c r="E77" s="1130">
        <v>0</v>
      </c>
      <c r="F77" s="1130">
        <v>0</v>
      </c>
      <c r="G77" s="28" t="s">
        <v>1814</v>
      </c>
      <c r="H77" s="715" t="s">
        <v>1759</v>
      </c>
    </row>
    <row r="78" spans="3:8" x14ac:dyDescent="0.25">
      <c r="C78" s="27"/>
      <c r="D78" s="898" t="s">
        <v>385</v>
      </c>
      <c r="E78" s="898" t="s">
        <v>386</v>
      </c>
      <c r="F78" s="898" t="s">
        <v>1033</v>
      </c>
      <c r="G78" s="28" t="s">
        <v>385</v>
      </c>
      <c r="H78" s="29" t="s">
        <v>385</v>
      </c>
    </row>
    <row r="79" spans="3:8" x14ac:dyDescent="0.25">
      <c r="C79" s="76" t="s">
        <v>598</v>
      </c>
      <c r="D79" s="899">
        <f>'Catg-all'!E22</f>
        <v>4015255140.2937579</v>
      </c>
      <c r="E79" s="899">
        <f>'Catg-all'!F22</f>
        <v>4409951648.46385</v>
      </c>
      <c r="F79" s="899">
        <f>'Catg-all'!G22</f>
        <v>4689494575.9620314</v>
      </c>
      <c r="G79" s="899">
        <f>'Catg-all'!H22</f>
        <v>2153384516.5964804</v>
      </c>
      <c r="H79" s="899">
        <f>'Catg-all'!I22</f>
        <v>2100468775.8049231</v>
      </c>
    </row>
    <row r="80" spans="3:8" x14ac:dyDescent="0.25">
      <c r="C80" s="900" t="s">
        <v>596</v>
      </c>
      <c r="D80" s="215">
        <f>'Catg-all'!E23</f>
        <v>2096859656.1810446</v>
      </c>
      <c r="E80" s="215">
        <f>'Catg-all'!F23</f>
        <v>2376029373.7113795</v>
      </c>
      <c r="F80" s="215">
        <f>'Catg-all'!G23</f>
        <v>2532847312.3763304</v>
      </c>
      <c r="G80" s="215">
        <f>'Catg-all'!H23</f>
        <v>1157308294.6939931</v>
      </c>
      <c r="H80" s="215">
        <f>'Catg-all'!I23</f>
        <v>1256650033.3148825</v>
      </c>
    </row>
    <row r="81" spans="3:8" x14ac:dyDescent="0.25">
      <c r="C81" s="27" t="s">
        <v>597</v>
      </c>
      <c r="D81" s="215">
        <f>'Catg-all'!E24</f>
        <v>1680258909.7173111</v>
      </c>
      <c r="E81" s="215">
        <f>'Catg-all'!F24</f>
        <v>1774353408.6614807</v>
      </c>
      <c r="F81" s="215">
        <f>'Catg-all'!G24</f>
        <v>1873717199.5465238</v>
      </c>
      <c r="G81" s="215">
        <f>'Catg-all'!H24</f>
        <v>872430162.7883774</v>
      </c>
      <c r="H81" s="215">
        <f>'Catg-all'!I24</f>
        <v>729156051.90765917</v>
      </c>
    </row>
    <row r="82" spans="3:8" x14ac:dyDescent="0.25">
      <c r="C82" s="27" t="s">
        <v>998</v>
      </c>
      <c r="D82" s="215">
        <f>'Catg-all'!E25</f>
        <v>238136574.39540255</v>
      </c>
      <c r="E82" s="215">
        <f>'Catg-all'!F25</f>
        <v>259568866.09098881</v>
      </c>
      <c r="F82" s="215">
        <f>'Catg-all'!G25</f>
        <v>282930064.03917783</v>
      </c>
      <c r="G82" s="215">
        <f>'Catg-all'!H25</f>
        <v>123646059.11410995</v>
      </c>
      <c r="H82" s="215">
        <f>'Catg-all'!I25</f>
        <v>114662690.58238102</v>
      </c>
    </row>
    <row r="83" spans="3:8" x14ac:dyDescent="0.25">
      <c r="C83" s="905" t="s">
        <v>756</v>
      </c>
      <c r="D83" s="906">
        <f>'Catg-all'!E26</f>
        <v>0</v>
      </c>
      <c r="E83" s="906">
        <f>'Catg-all'!F26</f>
        <v>0</v>
      </c>
      <c r="F83" s="906">
        <f>'Catg-all'!G26</f>
        <v>0</v>
      </c>
      <c r="G83" s="906">
        <f>'Catg-all'!H26</f>
        <v>0</v>
      </c>
      <c r="H83" s="907">
        <f>'Catg-all'!I26</f>
        <v>0</v>
      </c>
    </row>
    <row r="84" spans="3:8" x14ac:dyDescent="0.25">
      <c r="C84" s="76" t="s">
        <v>0</v>
      </c>
      <c r="D84" s="365">
        <f>'Catg-Health'!E22</f>
        <v>4015255140.2937579</v>
      </c>
      <c r="E84" s="365">
        <f>'Catg-Health'!F22</f>
        <v>4409951648.46385</v>
      </c>
      <c r="F84" s="365">
        <f>'Catg-Health'!G22</f>
        <v>4689494575.9620314</v>
      </c>
      <c r="G84" s="365">
        <f>'Catg-Health'!H22</f>
        <v>2153384516.5964804</v>
      </c>
      <c r="H84" s="365">
        <f>'Catg-Health'!I22</f>
        <v>2100468775.8049231</v>
      </c>
    </row>
    <row r="85" spans="3:8" x14ac:dyDescent="0.25">
      <c r="C85" s="76" t="s">
        <v>1521</v>
      </c>
      <c r="D85" s="215">
        <f>'Catg-SWelfare'!E22</f>
        <v>0</v>
      </c>
      <c r="E85" s="215">
        <f>'Catg-SWelfare'!F22</f>
        <v>0</v>
      </c>
      <c r="F85" s="215">
        <f>'Catg-SWelfare'!G22</f>
        <v>0</v>
      </c>
      <c r="G85" s="215">
        <f>'Catg-SWelfare'!H22</f>
        <v>0</v>
      </c>
      <c r="H85" s="215">
        <f>'Catg-SWelfare'!I22</f>
        <v>0</v>
      </c>
    </row>
    <row r="86" spans="3:8" x14ac:dyDescent="0.25">
      <c r="C86" s="901" t="s">
        <v>578</v>
      </c>
      <c r="D86" s="902">
        <f>'Catg-Agric'!E22</f>
        <v>0</v>
      </c>
      <c r="E86" s="902">
        <f>'Catg-Agric'!F22</f>
        <v>0</v>
      </c>
      <c r="F86" s="902">
        <f>'Catg-Agric'!G22</f>
        <v>0</v>
      </c>
      <c r="G86" s="902">
        <f>'Catg-Agric'!H22</f>
        <v>0</v>
      </c>
      <c r="H86" s="902">
        <f>'Catg-Agric'!I22</f>
        <v>0</v>
      </c>
    </row>
    <row r="89" spans="3:8" x14ac:dyDescent="0.25">
      <c r="C89" s="458" t="s">
        <v>1747</v>
      </c>
    </row>
    <row r="90" spans="3:8" ht="26.25" x14ac:dyDescent="0.25">
      <c r="C90" s="903"/>
      <c r="D90" s="1130" t="s">
        <v>1815</v>
      </c>
      <c r="E90" s="1130">
        <v>0</v>
      </c>
      <c r="F90" s="1130">
        <v>0</v>
      </c>
      <c r="G90" s="28" t="s">
        <v>1814</v>
      </c>
      <c r="H90" s="715" t="s">
        <v>1760</v>
      </c>
    </row>
    <row r="91" spans="3:8" x14ac:dyDescent="0.25">
      <c r="C91" s="27"/>
      <c r="D91" s="993" t="s">
        <v>385</v>
      </c>
      <c r="E91" s="993" t="s">
        <v>386</v>
      </c>
      <c r="F91" s="993" t="s">
        <v>1033</v>
      </c>
      <c r="G91" s="994" t="s">
        <v>385</v>
      </c>
      <c r="H91" s="995" t="s">
        <v>385</v>
      </c>
    </row>
    <row r="92" spans="3:8" x14ac:dyDescent="0.25">
      <c r="C92" s="992" t="s">
        <v>1751</v>
      </c>
      <c r="D92" s="239">
        <f>SUM(D93:D94)</f>
        <v>8974636075.7935829</v>
      </c>
      <c r="E92" s="239">
        <f t="shared" ref="E92:H92" si="10">SUM(E93:E94)</f>
        <v>9467093241.7180843</v>
      </c>
      <c r="F92" s="239">
        <f t="shared" si="10"/>
        <v>9975428193.5118465</v>
      </c>
      <c r="G92" s="239">
        <f t="shared" si="10"/>
        <v>7452809541.5579252</v>
      </c>
      <c r="H92" s="239">
        <f t="shared" si="10"/>
        <v>9337600622.2545242</v>
      </c>
    </row>
    <row r="93" spans="3:8" x14ac:dyDescent="0.25">
      <c r="C93" s="6" t="s">
        <v>1721</v>
      </c>
      <c r="D93" s="365">
        <f>SASSA!H8</f>
        <v>6351114347.7041874</v>
      </c>
      <c r="E93" s="365">
        <f>SASSA!I8</f>
        <v>6668670065.0893965</v>
      </c>
      <c r="F93" s="365">
        <f>SASSA!J8</f>
        <v>7002103568.3438663</v>
      </c>
      <c r="G93" s="365">
        <f>SASSA!K8</f>
        <v>6351114347.7041874</v>
      </c>
      <c r="H93" s="365">
        <f>SASSA!L8</f>
        <v>6351114347.7041874</v>
      </c>
    </row>
    <row r="94" spans="3:8" x14ac:dyDescent="0.25">
      <c r="C94" s="6" t="s">
        <v>1752</v>
      </c>
      <c r="D94" s="285">
        <f>PDSD!H10</f>
        <v>2623521728.0893946</v>
      </c>
      <c r="E94" s="285">
        <f>PDSD!I10</f>
        <v>2798423176.6286879</v>
      </c>
      <c r="F94" s="285">
        <f>PDSD!J10</f>
        <v>2973324625.1679807</v>
      </c>
      <c r="G94" s="285">
        <f>PDSD!K10</f>
        <v>1101695193.8537378</v>
      </c>
      <c r="H94" s="285">
        <f>PDSD!L10</f>
        <v>2986486274.5503373</v>
      </c>
    </row>
    <row r="95" spans="3:8" x14ac:dyDescent="0.25">
      <c r="C95" s="992" t="s">
        <v>1750</v>
      </c>
      <c r="D95" s="239">
        <f>SUM(D96:D97)</f>
        <v>17949272151.587166</v>
      </c>
      <c r="E95" s="239">
        <f t="shared" ref="E95:H95" si="11">SUM(E96:E97)</f>
        <v>18934186483.436169</v>
      </c>
      <c r="F95" s="239">
        <f t="shared" si="11"/>
        <v>19950856387.023697</v>
      </c>
      <c r="G95" s="239">
        <f t="shared" si="11"/>
        <v>14905619083.11585</v>
      </c>
      <c r="H95" s="239">
        <f t="shared" si="11"/>
        <v>18675201244.509048</v>
      </c>
    </row>
    <row r="96" spans="3:8" x14ac:dyDescent="0.25">
      <c r="C96" s="996" t="s">
        <v>1721</v>
      </c>
      <c r="D96" s="997">
        <f>SASSA!H12</f>
        <v>12702228695.408375</v>
      </c>
      <c r="E96" s="997">
        <f>SASSA!I12</f>
        <v>13337340130.178793</v>
      </c>
      <c r="F96" s="997">
        <f>SASSA!J12</f>
        <v>14004207136.687733</v>
      </c>
      <c r="G96" s="997">
        <f>SASSA!K12</f>
        <v>12702228695.408375</v>
      </c>
      <c r="H96" s="997">
        <f>SASSA!L12</f>
        <v>12702228695.408375</v>
      </c>
    </row>
    <row r="97" spans="3:8" x14ac:dyDescent="0.25">
      <c r="C97" s="998" t="s">
        <v>1752</v>
      </c>
      <c r="D97" s="902">
        <f>PDSD!H9</f>
        <v>5247043456.1787891</v>
      </c>
      <c r="E97" s="902">
        <f>PDSD!I9</f>
        <v>5596846353.2573757</v>
      </c>
      <c r="F97" s="902">
        <f>PDSD!J9</f>
        <v>5946649250.3359623</v>
      </c>
      <c r="G97" s="902">
        <f>PDSD!K9</f>
        <v>2203390387.7074752</v>
      </c>
      <c r="H97" s="902">
        <f>PDSD!L9</f>
        <v>5972972549.1006746</v>
      </c>
    </row>
    <row r="99" spans="3:8" x14ac:dyDescent="0.25">
      <c r="C99" s="458" t="s">
        <v>671</v>
      </c>
    </row>
    <row r="100" spans="3:8" ht="26.25" x14ac:dyDescent="0.25">
      <c r="C100" s="903"/>
      <c r="D100" s="1130" t="s">
        <v>1815</v>
      </c>
      <c r="E100" s="1130">
        <v>0</v>
      </c>
      <c r="F100" s="1130">
        <v>0</v>
      </c>
      <c r="G100" s="28" t="s">
        <v>1814</v>
      </c>
      <c r="H100" s="715" t="s">
        <v>1760</v>
      </c>
    </row>
    <row r="101" spans="3:8" x14ac:dyDescent="0.25">
      <c r="C101" s="27"/>
      <c r="D101" s="1001" t="s">
        <v>385</v>
      </c>
      <c r="E101" s="1001" t="s">
        <v>386</v>
      </c>
      <c r="F101" s="1001" t="s">
        <v>1033</v>
      </c>
      <c r="G101" s="28" t="s">
        <v>385</v>
      </c>
      <c r="H101" s="29" t="s">
        <v>385</v>
      </c>
    </row>
    <row r="102" spans="3:8" x14ac:dyDescent="0.25">
      <c r="C102" s="76" t="s">
        <v>598</v>
      </c>
      <c r="D102" s="899">
        <f>'Catg-all'!E27</f>
        <v>29244880.954610541</v>
      </c>
      <c r="E102" s="899">
        <f>'Catg-all'!F27</f>
        <v>31012443.794648942</v>
      </c>
      <c r="F102" s="899">
        <f>'Catg-all'!G27</f>
        <v>32887560.221163787</v>
      </c>
      <c r="G102" s="899">
        <f>'Catg-all'!H27</f>
        <v>29244880.954610541</v>
      </c>
      <c r="H102" s="899">
        <f>'Catg-all'!I27</f>
        <v>29244880.954610541</v>
      </c>
    </row>
    <row r="103" spans="3:8" x14ac:dyDescent="0.25">
      <c r="C103" s="900" t="s">
        <v>596</v>
      </c>
      <c r="D103" s="215">
        <f>'Catg-all'!E28</f>
        <v>12984950.65802088</v>
      </c>
      <c r="E103" s="215">
        <f>'Catg-all'!F28</f>
        <v>13841957.401450258</v>
      </c>
      <c r="F103" s="215">
        <f>'Catg-all'!G28</f>
        <v>14755526.589945979</v>
      </c>
      <c r="G103" s="215">
        <f>'Catg-all'!H28</f>
        <v>12984950.65802088</v>
      </c>
      <c r="H103" s="215">
        <f>'Catg-all'!I28</f>
        <v>12984950.65802088</v>
      </c>
    </row>
    <row r="104" spans="3:8" x14ac:dyDescent="0.25">
      <c r="C104" s="27" t="s">
        <v>597</v>
      </c>
      <c r="D104" s="215">
        <f>'Catg-all'!E29</f>
        <v>16259930.29658966</v>
      </c>
      <c r="E104" s="215">
        <f>'Catg-all'!F29</f>
        <v>17170486.393198684</v>
      </c>
      <c r="F104" s="215">
        <f>'Catg-all'!G29</f>
        <v>18132033.631217811</v>
      </c>
      <c r="G104" s="215">
        <f>'Catg-all'!H29</f>
        <v>16259930.29658966</v>
      </c>
      <c r="H104" s="215">
        <f>'Catg-all'!I29</f>
        <v>16259930.29658966</v>
      </c>
    </row>
    <row r="105" spans="3:8" x14ac:dyDescent="0.25">
      <c r="C105" s="27" t="s">
        <v>998</v>
      </c>
      <c r="D105" s="215">
        <f>'Catg-all'!E30</f>
        <v>0</v>
      </c>
      <c r="E105" s="215">
        <f>'Catg-all'!F30</f>
        <v>0</v>
      </c>
      <c r="F105" s="215">
        <f>'Catg-all'!G30</f>
        <v>0</v>
      </c>
      <c r="G105" s="215">
        <f>'Catg-all'!H30</f>
        <v>0</v>
      </c>
      <c r="H105" s="215">
        <f>'Catg-all'!I30</f>
        <v>0</v>
      </c>
    </row>
    <row r="106" spans="3:8" x14ac:dyDescent="0.25">
      <c r="C106" s="905" t="s">
        <v>756</v>
      </c>
      <c r="D106" s="906">
        <f>'Catg-all'!E31</f>
        <v>0</v>
      </c>
      <c r="E106" s="906">
        <f>'Catg-all'!F31</f>
        <v>0</v>
      </c>
      <c r="F106" s="906">
        <f>'Catg-all'!G31</f>
        <v>0</v>
      </c>
      <c r="G106" s="906">
        <f>'Catg-all'!H31</f>
        <v>0</v>
      </c>
      <c r="H106" s="907">
        <f>'Catg-all'!I31</f>
        <v>0</v>
      </c>
    </row>
    <row r="107" spans="3:8" x14ac:dyDescent="0.25">
      <c r="C107" s="76" t="s">
        <v>0</v>
      </c>
      <c r="D107" s="365">
        <f>'Catg-Health'!E27</f>
        <v>0</v>
      </c>
      <c r="E107" s="365">
        <f>'Catg-Health'!F27</f>
        <v>0</v>
      </c>
      <c r="F107" s="365">
        <f>'Catg-Health'!G27</f>
        <v>0</v>
      </c>
      <c r="G107" s="365">
        <f>'Catg-Health'!H27</f>
        <v>0</v>
      </c>
      <c r="H107" s="365">
        <f>'Catg-Health'!I27</f>
        <v>0</v>
      </c>
    </row>
    <row r="108" spans="3:8" x14ac:dyDescent="0.25">
      <c r="C108" s="76" t="s">
        <v>1521</v>
      </c>
      <c r="D108" s="215">
        <f>'Catg-SWelfare'!E27</f>
        <v>0</v>
      </c>
      <c r="E108" s="215">
        <f>'Catg-SWelfare'!F27</f>
        <v>0</v>
      </c>
      <c r="F108" s="215">
        <f>'Catg-SWelfare'!G27</f>
        <v>0</v>
      </c>
      <c r="G108" s="215">
        <f>'Catg-SWelfare'!H27</f>
        <v>0</v>
      </c>
      <c r="H108" s="215">
        <f>'Catg-SWelfare'!I27</f>
        <v>0</v>
      </c>
    </row>
    <row r="109" spans="3:8" x14ac:dyDescent="0.25">
      <c r="C109" s="901" t="s">
        <v>578</v>
      </c>
      <c r="D109" s="902">
        <f>'Catg-Agric'!E27</f>
        <v>29244880.954610541</v>
      </c>
      <c r="E109" s="902">
        <f>'Catg-Agric'!F27</f>
        <v>31012443.794648942</v>
      </c>
      <c r="F109" s="902">
        <f>'Catg-Agric'!G27</f>
        <v>32887560.221163787</v>
      </c>
      <c r="G109" s="902">
        <f>'Catg-Agric'!H27</f>
        <v>29244880.954610541</v>
      </c>
      <c r="H109" s="902">
        <f>'Catg-Agric'!I27</f>
        <v>29244880.954610541</v>
      </c>
    </row>
    <row r="111" spans="3:8" x14ac:dyDescent="0.25">
      <c r="C111" s="458" t="s">
        <v>1832</v>
      </c>
    </row>
    <row r="112" spans="3:8" ht="26.25" x14ac:dyDescent="0.25">
      <c r="C112" s="903"/>
      <c r="D112" s="1130" t="s">
        <v>1815</v>
      </c>
      <c r="E112" s="1130">
        <v>0</v>
      </c>
      <c r="F112" s="1130">
        <v>0</v>
      </c>
      <c r="G112" s="28" t="s">
        <v>1814</v>
      </c>
      <c r="H112" s="715" t="s">
        <v>1760</v>
      </c>
    </row>
    <row r="113" spans="3:8" x14ac:dyDescent="0.25">
      <c r="C113" s="1120"/>
      <c r="D113" s="1093" t="s">
        <v>385</v>
      </c>
      <c r="E113" s="1093" t="s">
        <v>386</v>
      </c>
      <c r="F113" s="1093" t="s">
        <v>1033</v>
      </c>
      <c r="G113" s="28" t="s">
        <v>385</v>
      </c>
      <c r="H113" s="29" t="s">
        <v>385</v>
      </c>
    </row>
    <row r="114" spans="3:8" x14ac:dyDescent="0.25">
      <c r="C114" s="74" t="s">
        <v>1833</v>
      </c>
      <c r="D114" s="215">
        <f>PDSD!H9</f>
        <v>5247043456.1787891</v>
      </c>
      <c r="E114" s="215">
        <f>PDSD!I9</f>
        <v>5596846353.2573757</v>
      </c>
      <c r="F114" s="215">
        <f>PDSD!J9</f>
        <v>5946649250.3359623</v>
      </c>
      <c r="G114" s="215">
        <f>PDSD!K9</f>
        <v>2203390387.7074752</v>
      </c>
      <c r="H114" s="215">
        <f>PDSD!L9</f>
        <v>5972972549.1006746</v>
      </c>
    </row>
    <row r="115" spans="3:8" x14ac:dyDescent="0.25">
      <c r="C115" s="74" t="s">
        <v>1834</v>
      </c>
      <c r="D115" s="215">
        <f>PDSD!H10</f>
        <v>2623521728.0893946</v>
      </c>
      <c r="E115" s="215">
        <f>PDSD!I10</f>
        <v>2798423176.6286879</v>
      </c>
      <c r="F115" s="215">
        <f>PDSD!J10</f>
        <v>2973324625.1679807</v>
      </c>
      <c r="G115" s="215">
        <f>PDSD!K10</f>
        <v>1101695193.8537378</v>
      </c>
      <c r="H115" s="215">
        <f>PDSD!L10</f>
        <v>2986486274.5503373</v>
      </c>
    </row>
    <row r="116" spans="3:8" x14ac:dyDescent="0.25">
      <c r="C116" s="1118" t="s">
        <v>426</v>
      </c>
      <c r="D116" s="324"/>
      <c r="E116" s="324"/>
      <c r="F116" s="324"/>
      <c r="G116" s="324"/>
      <c r="H116" s="1118"/>
    </row>
    <row r="117" spans="3:8" x14ac:dyDescent="0.25">
      <c r="C117" s="74" t="str">
        <f>PDSD!D19</f>
        <v>Number of children per facility</v>
      </c>
      <c r="D117" s="120">
        <f>PDSD!H19</f>
        <v>30</v>
      </c>
      <c r="E117" s="120">
        <f>PDSD!I19</f>
        <v>30</v>
      </c>
      <c r="F117" s="120">
        <f>PDSD!J19</f>
        <v>30</v>
      </c>
      <c r="G117" s="120">
        <f>PDSD!K19</f>
        <v>30</v>
      </c>
      <c r="H117" s="120">
        <f>PDSD!L19</f>
        <v>30</v>
      </c>
    </row>
    <row r="118" spans="3:8" x14ac:dyDescent="0.25">
      <c r="C118" s="74" t="str">
        <f>PDSD!D20</f>
        <v>Per cent of children per quintile at subsidised facilities</v>
      </c>
      <c r="D118" s="25"/>
      <c r="E118" s="25"/>
      <c r="F118" s="25"/>
      <c r="G118" s="25"/>
      <c r="H118" s="25"/>
    </row>
    <row r="119" spans="3:8" x14ac:dyDescent="0.25">
      <c r="C119" s="1119" t="str">
        <f>PDSD!D21</f>
        <v>Quntile 1</v>
      </c>
      <c r="D119" s="69">
        <f>PDSD!H21</f>
        <v>0.8</v>
      </c>
      <c r="E119" s="69">
        <f>PDSD!I21</f>
        <v>0.8</v>
      </c>
      <c r="F119" s="69">
        <f>PDSD!J21</f>
        <v>0.8</v>
      </c>
      <c r="G119" s="69">
        <f>PDSD!K21</f>
        <v>0.31</v>
      </c>
      <c r="H119" s="69">
        <f>PDSD!L21</f>
        <v>0.65</v>
      </c>
    </row>
    <row r="120" spans="3:8" x14ac:dyDescent="0.25">
      <c r="C120" s="1119" t="str">
        <f>PDSD!D22</f>
        <v>Quntile 2</v>
      </c>
      <c r="D120" s="69">
        <f>PDSD!H22</f>
        <v>0.8</v>
      </c>
      <c r="E120" s="69">
        <f>PDSD!I22</f>
        <v>0.8</v>
      </c>
      <c r="F120" s="69">
        <f>PDSD!J22</f>
        <v>0.8</v>
      </c>
      <c r="G120" s="69">
        <f>PDSD!K22</f>
        <v>0.31</v>
      </c>
      <c r="H120" s="69">
        <f>PDSD!L22</f>
        <v>0.65</v>
      </c>
    </row>
    <row r="121" spans="3:8" x14ac:dyDescent="0.25">
      <c r="C121" s="1119" t="str">
        <f>PDSD!D23</f>
        <v>Quntile 3</v>
      </c>
      <c r="D121" s="69">
        <f>PDSD!H23</f>
        <v>0.35</v>
      </c>
      <c r="E121" s="69">
        <f>PDSD!I23</f>
        <v>0.35</v>
      </c>
      <c r="F121" s="69">
        <f>PDSD!J23</f>
        <v>0.35</v>
      </c>
      <c r="G121" s="69">
        <f>PDSD!K23</f>
        <v>0.2</v>
      </c>
      <c r="H121" s="69">
        <f>PDSD!L23</f>
        <v>0.35</v>
      </c>
    </row>
    <row r="122" spans="3:8" x14ac:dyDescent="0.25">
      <c r="C122" s="1119" t="str">
        <f>PDSD!D24</f>
        <v>Quntile 4</v>
      </c>
      <c r="D122" s="69">
        <f>PDSD!H24</f>
        <v>0</v>
      </c>
      <c r="E122" s="69">
        <f>PDSD!I24</f>
        <v>0</v>
      </c>
      <c r="F122" s="69">
        <f>PDSD!J24</f>
        <v>0</v>
      </c>
      <c r="G122" s="69">
        <f>PDSD!K24</f>
        <v>0</v>
      </c>
      <c r="H122" s="69">
        <f>PDSD!L24</f>
        <v>0</v>
      </c>
    </row>
    <row r="123" spans="3:8" x14ac:dyDescent="0.25">
      <c r="C123" s="1119" t="str">
        <f>PDSD!D25</f>
        <v>Quntile 5</v>
      </c>
      <c r="D123" s="69">
        <f>PDSD!H25</f>
        <v>0</v>
      </c>
      <c r="E123" s="69">
        <f>PDSD!I25</f>
        <v>0</v>
      </c>
      <c r="F123" s="69">
        <f>PDSD!J25</f>
        <v>0</v>
      </c>
      <c r="G123" s="69">
        <f>PDSD!K25</f>
        <v>0</v>
      </c>
      <c r="H123" s="69">
        <f>PDSD!L25</f>
        <v>0</v>
      </c>
    </row>
    <row r="124" spans="3:8" x14ac:dyDescent="0.25">
      <c r="C124" s="74" t="str">
        <f>PDSD!D26</f>
        <v>Age Groups - attending ECD facilities (Yes/No)</v>
      </c>
      <c r="D124" s="27"/>
      <c r="E124" s="27"/>
      <c r="F124" s="27"/>
      <c r="G124" s="27"/>
      <c r="H124" s="27"/>
    </row>
    <row r="125" spans="3:8" x14ac:dyDescent="0.25">
      <c r="C125" s="1119" t="str">
        <f>PDSD!D27</f>
        <v>Under 24 Months</v>
      </c>
      <c r="D125" s="166" t="str">
        <f>PDSD!H27</f>
        <v>No</v>
      </c>
      <c r="E125" s="166" t="str">
        <f>PDSD!I27</f>
        <v>No</v>
      </c>
      <c r="F125" s="166" t="str">
        <f>PDSD!J27</f>
        <v>No</v>
      </c>
      <c r="G125" s="166" t="str">
        <f>PDSD!K27</f>
        <v>No</v>
      </c>
      <c r="H125" s="166" t="str">
        <f>PDSD!L27</f>
        <v>No</v>
      </c>
    </row>
    <row r="126" spans="3:8" x14ac:dyDescent="0.25">
      <c r="C126" s="1119" t="str">
        <f>PDSD!D28</f>
        <v>24 Months to 36 Months</v>
      </c>
      <c r="D126" s="166" t="str">
        <f>PDSD!H28</f>
        <v>No</v>
      </c>
      <c r="E126" s="166" t="str">
        <f>PDSD!I28</f>
        <v>No</v>
      </c>
      <c r="F126" s="166" t="str">
        <f>PDSD!J28</f>
        <v>No</v>
      </c>
      <c r="G126" s="166" t="str">
        <f>PDSD!K28</f>
        <v>No</v>
      </c>
      <c r="H126" s="166" t="str">
        <f>PDSD!L28</f>
        <v>Yes</v>
      </c>
    </row>
    <row r="127" spans="3:8" x14ac:dyDescent="0.25">
      <c r="C127" s="1119" t="str">
        <f>PDSD!D29</f>
        <v>36 Months to 48 Months</v>
      </c>
      <c r="D127" s="166" t="str">
        <f>PDSD!H29</f>
        <v>Yes</v>
      </c>
      <c r="E127" s="166" t="str">
        <f>PDSD!I29</f>
        <v>Yes</v>
      </c>
      <c r="F127" s="166" t="str">
        <f>PDSD!J29</f>
        <v>Yes</v>
      </c>
      <c r="G127" s="166" t="str">
        <f>PDSD!K29</f>
        <v>Yes</v>
      </c>
      <c r="H127" s="166" t="str">
        <f>PDSD!L29</f>
        <v>Yes</v>
      </c>
    </row>
    <row r="128" spans="3:8" x14ac:dyDescent="0.25">
      <c r="C128" s="1119" t="str">
        <f>PDSD!D30</f>
        <v>48 Months to 60 Months</v>
      </c>
      <c r="D128" s="166" t="str">
        <f>PDSD!H30</f>
        <v>Yes</v>
      </c>
      <c r="E128" s="166" t="str">
        <f>PDSD!I30</f>
        <v>Yes</v>
      </c>
      <c r="F128" s="166" t="str">
        <f>PDSD!J30</f>
        <v>Yes</v>
      </c>
      <c r="G128" s="166" t="str">
        <f>PDSD!K30</f>
        <v>Yes</v>
      </c>
      <c r="H128" s="166" t="str">
        <f>PDSD!L30</f>
        <v>Yes</v>
      </c>
    </row>
    <row r="129" spans="3:8" x14ac:dyDescent="0.25">
      <c r="C129" s="1119" t="str">
        <f>PDSD!D31</f>
        <v>60 Months to 72 Months</v>
      </c>
      <c r="D129" s="166" t="str">
        <f>PDSD!H31</f>
        <v>Yes</v>
      </c>
      <c r="E129" s="166" t="str">
        <f>PDSD!I31</f>
        <v>Yes</v>
      </c>
      <c r="F129" s="166" t="str">
        <f>PDSD!J31</f>
        <v>Yes</v>
      </c>
      <c r="G129" s="166" t="str">
        <f>PDSD!K31</f>
        <v>Yes</v>
      </c>
      <c r="H129" s="166" t="str">
        <f>PDSD!L31</f>
        <v>Yes</v>
      </c>
    </row>
    <row r="130" spans="3:8" x14ac:dyDescent="0.25">
      <c r="C130" s="74" t="str">
        <f>PDSD!D32</f>
        <v>Number of subsidised children</v>
      </c>
      <c r="D130" s="188">
        <f>PDSD!H32</f>
        <v>1325010.9737825226</v>
      </c>
      <c r="E130" s="188">
        <f>PDSD!I32</f>
        <v>1325010.9737825226</v>
      </c>
      <c r="F130" s="188">
        <f>PDSD!J32</f>
        <v>1325010.9737825226</v>
      </c>
      <c r="G130" s="188">
        <f>PDSD!K32</f>
        <v>556411.71406754432</v>
      </c>
      <c r="H130" s="188">
        <f>PDSD!L32</f>
        <v>1508326.4012880491</v>
      </c>
    </row>
    <row r="131" spans="3:8" x14ac:dyDescent="0.25">
      <c r="C131" s="74" t="str">
        <f>PDSD!D33</f>
        <v>Number of facilities</v>
      </c>
      <c r="D131" s="184">
        <f>PDSD!H33</f>
        <v>44167.032459417424</v>
      </c>
      <c r="E131" s="184">
        <f>PDSD!I33</f>
        <v>44167.032459417424</v>
      </c>
      <c r="F131" s="184">
        <f>PDSD!J33</f>
        <v>44167.032459417424</v>
      </c>
      <c r="G131" s="184">
        <f>PDSD!K33</f>
        <v>18547.057135584811</v>
      </c>
      <c r="H131" s="184">
        <f>PDSD!L33</f>
        <v>50277.546709601636</v>
      </c>
    </row>
    <row r="132" spans="3:8" x14ac:dyDescent="0.25">
      <c r="C132" s="74" t="str">
        <f>PDSD!D34</f>
        <v>Value of ECD Subsidy Per Child Per Day</v>
      </c>
      <c r="D132" s="1122">
        <f>PDSD!H34</f>
        <v>15</v>
      </c>
      <c r="E132" s="1122">
        <f>PDSD!I34</f>
        <v>16</v>
      </c>
      <c r="F132" s="1122">
        <f>PDSD!J34</f>
        <v>17</v>
      </c>
      <c r="G132" s="1122">
        <f>PDSD!K34</f>
        <v>15</v>
      </c>
      <c r="H132" s="1122">
        <f>PDSD!L34</f>
        <v>15</v>
      </c>
    </row>
    <row r="133" spans="3:8" x14ac:dyDescent="0.25">
      <c r="C133" s="74" t="str">
        <f>PDSD!D35</f>
        <v>Number of days paid per year</v>
      </c>
      <c r="D133" s="120">
        <f>PDSD!H35</f>
        <v>264</v>
      </c>
      <c r="E133" s="120">
        <f>PDSD!I35</f>
        <v>264</v>
      </c>
      <c r="F133" s="120">
        <f>PDSD!J35</f>
        <v>264</v>
      </c>
      <c r="G133" s="120">
        <f>PDSD!K35</f>
        <v>264</v>
      </c>
      <c r="H133" s="120">
        <f>PDSD!L35</f>
        <v>264</v>
      </c>
    </row>
    <row r="134" spans="3:8" x14ac:dyDescent="0.25">
      <c r="C134" s="1120" t="str">
        <f>PDSD!D36</f>
        <v>Per cent of ECD Subsidy to be spent on nutrition</v>
      </c>
      <c r="D134" s="1121">
        <f>PDSD!H36</f>
        <v>0.5</v>
      </c>
      <c r="E134" s="1121">
        <f>PDSD!I36</f>
        <v>0.5</v>
      </c>
      <c r="F134" s="1121">
        <f>PDSD!J36</f>
        <v>0.5</v>
      </c>
      <c r="G134" s="1121">
        <f>PDSD!K36</f>
        <v>0.5</v>
      </c>
      <c r="H134" s="1121">
        <f>PDSD!L36</f>
        <v>0.5</v>
      </c>
    </row>
    <row r="136" spans="3:8" x14ac:dyDescent="0.25">
      <c r="C136" s="1052" t="s">
        <v>1835</v>
      </c>
    </row>
    <row r="137" spans="3:8" ht="26.25" x14ac:dyDescent="0.25">
      <c r="C137" s="903"/>
      <c r="D137" s="1130" t="s">
        <v>1815</v>
      </c>
      <c r="E137" s="1130">
        <v>0</v>
      </c>
      <c r="F137" s="1130">
        <v>0</v>
      </c>
      <c r="G137" s="28" t="s">
        <v>1814</v>
      </c>
      <c r="H137" s="715" t="s">
        <v>1760</v>
      </c>
    </row>
    <row r="138" spans="3:8" x14ac:dyDescent="0.25">
      <c r="C138" s="1120"/>
      <c r="D138" s="1093" t="s">
        <v>385</v>
      </c>
      <c r="E138" s="1093" t="s">
        <v>386</v>
      </c>
      <c r="F138" s="1093" t="s">
        <v>1033</v>
      </c>
      <c r="G138" s="28" t="s">
        <v>385</v>
      </c>
      <c r="H138" s="29" t="s">
        <v>385</v>
      </c>
    </row>
    <row r="139" spans="3:8" x14ac:dyDescent="0.25">
      <c r="C139" s="74" t="s">
        <v>1836</v>
      </c>
      <c r="D139" s="215">
        <f>SASSA!H149</f>
        <v>12702228695.408375</v>
      </c>
      <c r="E139" s="215">
        <f>SASSA!I149</f>
        <v>13337340130.178793</v>
      </c>
      <c r="F139" s="215">
        <f>SASSA!J149</f>
        <v>14004207136.687733</v>
      </c>
      <c r="G139" s="215">
        <f>SASSA!K149</f>
        <v>12702228695.408375</v>
      </c>
      <c r="H139" s="215">
        <f>SASSA!L149</f>
        <v>12702228695.408375</v>
      </c>
    </row>
    <row r="140" spans="3:8" x14ac:dyDescent="0.25">
      <c r="C140" s="74" t="str">
        <f>SASSA!E8</f>
        <v>Child Support Grant (spent on Nutrition)</v>
      </c>
      <c r="D140" s="215">
        <f>SASSA!H8</f>
        <v>6351114347.7041874</v>
      </c>
      <c r="E140" s="215">
        <f>SASSA!I8</f>
        <v>6668670065.0893965</v>
      </c>
      <c r="F140" s="215">
        <f>SASSA!J8</f>
        <v>7002103568.3438663</v>
      </c>
      <c r="G140" s="215">
        <f>SASSA!K8</f>
        <v>6351114347.7041874</v>
      </c>
      <c r="H140" s="215">
        <f>SASSA!L8</f>
        <v>6351114347.7041874</v>
      </c>
    </row>
    <row r="141" spans="3:8" x14ac:dyDescent="0.25">
      <c r="C141" s="1118" t="s">
        <v>426</v>
      </c>
      <c r="D141" s="324"/>
      <c r="E141" s="324"/>
      <c r="F141" s="324"/>
      <c r="G141" s="324"/>
      <c r="H141" s="1118"/>
    </row>
    <row r="142" spans="3:8" x14ac:dyDescent="0.25">
      <c r="C142" t="str">
        <f>SASSA!D35</f>
        <v>Monthly value of the Child Support Grant</v>
      </c>
      <c r="D142" s="190">
        <f>SASSA!H35</f>
        <v>320</v>
      </c>
      <c r="E142" s="190">
        <f>SASSA!I35</f>
        <v>336</v>
      </c>
      <c r="F142" s="190">
        <f>SASSA!J35</f>
        <v>352.8</v>
      </c>
      <c r="G142" s="190">
        <f>SASSA!K35</f>
        <v>320</v>
      </c>
      <c r="H142" s="190">
        <f>SASSA!L35</f>
        <v>320</v>
      </c>
    </row>
    <row r="143" spans="3:8" ht="30" x14ac:dyDescent="0.25">
      <c r="C143" s="1123" t="str">
        <f>SASSA!D36</f>
        <v>Per cent of Quintiles 1 and 2 that access the Child Support Grant, per age group</v>
      </c>
      <c r="D143" s="6"/>
      <c r="E143" s="6"/>
      <c r="F143" s="6"/>
      <c r="G143" s="6"/>
      <c r="H143" s="6"/>
    </row>
    <row r="144" spans="3:8" x14ac:dyDescent="0.25">
      <c r="C144" s="1117" t="str">
        <f>SASSA!D37</f>
        <v>0 Months to 11 Months</v>
      </c>
      <c r="D144" s="69">
        <f>SASSA!H37</f>
        <v>0.95</v>
      </c>
      <c r="E144" s="69">
        <f>SASSA!I37</f>
        <v>0.95</v>
      </c>
      <c r="F144" s="69">
        <f>SASSA!J37</f>
        <v>0.95</v>
      </c>
      <c r="G144" s="69">
        <f>SASSA!K37</f>
        <v>0.95</v>
      </c>
      <c r="H144" s="69">
        <f>SASSA!L37</f>
        <v>0.95</v>
      </c>
    </row>
    <row r="145" spans="3:8" x14ac:dyDescent="0.25">
      <c r="C145" s="1117" t="str">
        <f>SASSA!D38</f>
        <v>12 Months to 23 Months</v>
      </c>
      <c r="D145" s="69">
        <f>SASSA!H38</f>
        <v>0.95</v>
      </c>
      <c r="E145" s="69">
        <f>SASSA!I38</f>
        <v>0.95</v>
      </c>
      <c r="F145" s="69">
        <f>SASSA!J38</f>
        <v>0.95</v>
      </c>
      <c r="G145" s="69">
        <f>SASSA!K38</f>
        <v>0.95</v>
      </c>
      <c r="H145" s="69">
        <f>SASSA!L38</f>
        <v>0.95</v>
      </c>
    </row>
    <row r="146" spans="3:8" x14ac:dyDescent="0.25">
      <c r="C146" s="1117" t="str">
        <f>SASSA!D39</f>
        <v>24 Months to 35 Months</v>
      </c>
      <c r="D146" s="69">
        <f>SASSA!H39</f>
        <v>0.95</v>
      </c>
      <c r="E146" s="69">
        <f>SASSA!I39</f>
        <v>0.95</v>
      </c>
      <c r="F146" s="69">
        <f>SASSA!J39</f>
        <v>0.95</v>
      </c>
      <c r="G146" s="69">
        <f>SASSA!K39</f>
        <v>0.95</v>
      </c>
      <c r="H146" s="69">
        <f>SASSA!L39</f>
        <v>0.95</v>
      </c>
    </row>
    <row r="147" spans="3:8" x14ac:dyDescent="0.25">
      <c r="C147" s="1117" t="str">
        <f>SASSA!D40</f>
        <v>36 Months to 47 Months</v>
      </c>
      <c r="D147" s="69">
        <f>SASSA!H40</f>
        <v>0.95</v>
      </c>
      <c r="E147" s="69">
        <f>SASSA!I40</f>
        <v>0.95</v>
      </c>
      <c r="F147" s="69">
        <f>SASSA!J40</f>
        <v>0.95</v>
      </c>
      <c r="G147" s="69">
        <f>SASSA!K40</f>
        <v>0.95</v>
      </c>
      <c r="H147" s="69">
        <f>SASSA!L40</f>
        <v>0.95</v>
      </c>
    </row>
    <row r="148" spans="3:8" x14ac:dyDescent="0.25">
      <c r="C148" s="1117" t="str">
        <f>SASSA!D41</f>
        <v>48 Months to 59 Months</v>
      </c>
      <c r="D148" s="69">
        <f>SASSA!H41</f>
        <v>0.95</v>
      </c>
      <c r="E148" s="69">
        <f>SASSA!I41</f>
        <v>0.95</v>
      </c>
      <c r="F148" s="69">
        <f>SASSA!J41</f>
        <v>0.95</v>
      </c>
      <c r="G148" s="69">
        <f>SASSA!K41</f>
        <v>0.95</v>
      </c>
      <c r="H148" s="69">
        <f>SASSA!L41</f>
        <v>0.95</v>
      </c>
    </row>
    <row r="149" spans="3:8" ht="6.75" customHeight="1" x14ac:dyDescent="0.25">
      <c r="D149" s="967"/>
      <c r="E149" s="5"/>
      <c r="F149" s="6"/>
      <c r="G149" s="6"/>
      <c r="H149" s="967"/>
    </row>
    <row r="150" spans="3:8" x14ac:dyDescent="0.25">
      <c r="C150" s="74" t="str">
        <f>SASSA!D43</f>
        <v>Is Quintile 3 included in the above coverage rates</v>
      </c>
      <c r="D150" s="166" t="str">
        <f>SASSA!H43</f>
        <v>Yes</v>
      </c>
      <c r="E150" s="166" t="str">
        <f>SASSA!I43</f>
        <v>Yes</v>
      </c>
      <c r="F150" s="166" t="str">
        <f>SASSA!J43</f>
        <v>Yes</v>
      </c>
      <c r="G150" s="166" t="str">
        <f>SASSA!K43</f>
        <v>Yes</v>
      </c>
      <c r="H150" s="166" t="str">
        <f>SASSA!L43</f>
        <v>Yes</v>
      </c>
    </row>
    <row r="151" spans="3:8" x14ac:dyDescent="0.25">
      <c r="C151" s="1120" t="str">
        <f>SASSA!D44</f>
        <v>Proportion of grant spent on nutrition</v>
      </c>
      <c r="D151" s="1121">
        <f>SASSA!H44</f>
        <v>0.5</v>
      </c>
      <c r="E151" s="1121">
        <f>SASSA!I44</f>
        <v>0.5</v>
      </c>
      <c r="F151" s="1121">
        <f>SASSA!J44</f>
        <v>0.5</v>
      </c>
      <c r="G151" s="1121">
        <f>SASSA!K44</f>
        <v>0.5</v>
      </c>
      <c r="H151" s="1121">
        <f>SASSA!L44</f>
        <v>0.5</v>
      </c>
    </row>
  </sheetData>
  <mergeCells count="12">
    <mergeCell ref="I9:I10"/>
    <mergeCell ref="D90:F90"/>
    <mergeCell ref="D77:F77"/>
    <mergeCell ref="D112:F112"/>
    <mergeCell ref="D137:F137"/>
    <mergeCell ref="D2:F2"/>
    <mergeCell ref="D21:F21"/>
    <mergeCell ref="D48:F48"/>
    <mergeCell ref="D60:F60"/>
    <mergeCell ref="D34:F34"/>
    <mergeCell ref="D100:F100"/>
    <mergeCell ref="D9:F9"/>
  </mergeCells>
  <pageMargins left="0.7" right="0.7" top="0.75" bottom="0.75" header="0.3" footer="0.3"/>
  <pageSetup paperSize="9"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O33"/>
  <sheetViews>
    <sheetView showGridLines="0" topLeftCell="C1" workbookViewId="0">
      <pane xSplit="2" ySplit="6" topLeftCell="E7" activePane="bottomRight" state="frozen"/>
      <selection activeCell="H37" sqref="H37"/>
      <selection pane="topRight" activeCell="H37" sqref="H37"/>
      <selection pane="bottomLeft" activeCell="H37" sqref="H37"/>
      <selection pane="bottomRight" activeCell="H37" sqref="H37"/>
    </sheetView>
  </sheetViews>
  <sheetFormatPr defaultColWidth="8.85546875" defaultRowHeight="12.75" x14ac:dyDescent="0.2"/>
  <cols>
    <col min="1" max="2" width="0" style="5" hidden="1" customWidth="1"/>
    <col min="3" max="3" width="8.85546875" style="389"/>
    <col min="4" max="4" width="30" style="5" bestFit="1" customWidth="1"/>
    <col min="5" max="9" width="20.85546875" style="5" customWidth="1"/>
    <col min="10" max="10" width="20.85546875" style="5" hidden="1" customWidth="1"/>
    <col min="11" max="12" width="8.85546875" style="5"/>
    <col min="13" max="13" width="14" style="366" bestFit="1" customWidth="1"/>
    <col min="14" max="15" width="12.85546875" style="366" bestFit="1" customWidth="1"/>
    <col min="16" max="16384" width="8.85546875" style="5"/>
  </cols>
  <sheetData>
    <row r="1" spans="1:15" ht="23.25" x14ac:dyDescent="0.35">
      <c r="B1" s="422"/>
      <c r="C1" s="109"/>
      <c r="D1" s="109" t="s">
        <v>1011</v>
      </c>
      <c r="E1" s="109"/>
      <c r="F1" s="109"/>
      <c r="G1" s="109"/>
      <c r="H1" s="109"/>
      <c r="I1" s="109"/>
      <c r="J1" s="109"/>
      <c r="K1" s="109"/>
      <c r="L1" s="109"/>
    </row>
    <row r="2" spans="1:15" x14ac:dyDescent="0.2">
      <c r="D2" s="419" t="str">
        <f>Summary!B4</f>
        <v>South Africa</v>
      </c>
      <c r="E2" s="5" t="s">
        <v>1337</v>
      </c>
    </row>
    <row r="3" spans="1:15" hidden="1" x14ac:dyDescent="0.2">
      <c r="D3" s="5">
        <f>IF(D2="South Africa",1,0)</f>
        <v>1</v>
      </c>
    </row>
    <row r="4" spans="1:15" hidden="1" x14ac:dyDescent="0.2">
      <c r="E4" s="288"/>
      <c r="F4" s="289"/>
      <c r="G4" s="290"/>
      <c r="H4" s="291"/>
      <c r="I4" s="291"/>
      <c r="J4" s="292"/>
    </row>
    <row r="5" spans="1:15" x14ac:dyDescent="0.2">
      <c r="E5" s="1130" t="s">
        <v>381</v>
      </c>
      <c r="F5" s="1130"/>
      <c r="G5" s="1130"/>
      <c r="H5" s="28" t="s">
        <v>382</v>
      </c>
      <c r="I5" s="29" t="s">
        <v>383</v>
      </c>
      <c r="J5" s="607" t="s">
        <v>1289</v>
      </c>
    </row>
    <row r="6" spans="1:15" x14ac:dyDescent="0.2">
      <c r="E6" s="404" t="s">
        <v>385</v>
      </c>
      <c r="F6" s="404" t="s">
        <v>386</v>
      </c>
      <c r="G6" s="404" t="s">
        <v>1033</v>
      </c>
      <c r="H6" s="28" t="s">
        <v>385</v>
      </c>
      <c r="I6" s="29" t="s">
        <v>385</v>
      </c>
      <c r="J6" s="29" t="s">
        <v>385</v>
      </c>
    </row>
    <row r="7" spans="1:15" x14ac:dyDescent="0.2">
      <c r="B7" s="5" t="s">
        <v>984</v>
      </c>
      <c r="D7" s="423" t="s">
        <v>945</v>
      </c>
      <c r="E7" s="424">
        <f>SUMIF(NDSD!$R:$R,$B7,NDSD!H:H)+SUMIF(PDSD!$R:$R,$B7,PDSD!H:H)+SUMIF(SASSA!$R:$R,$B7,SASSA!H:H)</f>
        <v>5609457.6426630244</v>
      </c>
      <c r="F7" s="424">
        <f>SUMIF(NDSD!$R:$R,$B7,NDSD!I:I)+SUMIF(PDSD!$R:$R,$B7,PDSD!I:I)+SUMIF(SASSA!$R:$R,$B7,SASSA!I:I)</f>
        <v>5973125.5271541364</v>
      </c>
      <c r="G7" s="424">
        <f>SUMIF(NDSD!$R:$R,$B7,NDSD!J:J)+SUMIF(PDSD!$R:$R,$B7,PDSD!J:J)+SUMIF(SASSA!$R:$R,$B7,SASSA!J:J)</f>
        <v>6360428.3381058834</v>
      </c>
      <c r="H7" s="424">
        <f>SUMIF(NDSD!$R:$R,$B7,NDSD!K:K)+SUMIF(PDSD!$R:$R,$B7,PDSD!K:K)+SUMIF(SASSA!$R:$R,$B7,SASSA!K:K)</f>
        <v>3522064.0708921794</v>
      </c>
      <c r="I7" s="424">
        <f>SUMIF(NDSD!$R:$R,$B7,NDSD!L:L)+SUMIF(PDSD!$R:$R,$B7,PDSD!L:L)+SUMIF(SASSA!$R:$R,$B7,SASSA!L:L)</f>
        <v>6107313.2418518141</v>
      </c>
      <c r="J7" s="424">
        <f>SUMIF(NDSD!$R:$R,$B7,NDSD!M:M)+SUMIF(PDSD!$R:$R,$B7,PDSD!M:M)+SUMIF(SASSA!$R:$R,$B7,SASSA!M:M)</f>
        <v>5053700.8508186406</v>
      </c>
      <c r="M7" s="366">
        <f>E7-SUM(E8:E11)</f>
        <v>0</v>
      </c>
      <c r="N7" s="366">
        <f t="shared" ref="N7:O7" si="0">F7-SUM(F8:F11)</f>
        <v>0</v>
      </c>
      <c r="O7" s="366">
        <f t="shared" si="0"/>
        <v>0</v>
      </c>
    </row>
    <row r="8" spans="1:15" x14ac:dyDescent="0.2">
      <c r="A8" s="5" t="str">
        <f>CONCATENATE(B8,$B$7)</f>
        <v>COEPM</v>
      </c>
      <c r="B8" s="260" t="s">
        <v>865</v>
      </c>
      <c r="D8" s="6" t="s">
        <v>596</v>
      </c>
      <c r="E8" s="215">
        <f>SUMIF(NDSD!$S:$S,$A8,NDSD!H:H)*$D$3+SUMIF(PDSD!$S:$S,$A8,PDSD!H:H)+SUMIF(SASSA!$S:$S,$A8,SASSA!H:H)</f>
        <v>4953825.6501982603</v>
      </c>
      <c r="F8" s="215">
        <f>SUMIF(NDSD!$S:$S,$A8,NDSD!I:I)*$D$3+SUMIF(PDSD!$S:$S,$A8,PDSD!I:I)+SUMIF(SASSA!$S:$S,$A8,SASSA!I:I)</f>
        <v>5280778.1431113454</v>
      </c>
      <c r="G8" s="215">
        <f>SUMIF(NDSD!$S:$S,$A8,NDSD!J:J)*$D$3+SUMIF(PDSD!$S:$S,$A8,PDSD!J:J)+SUMIF(SASSA!$S:$S,$A8,SASSA!J:J)</f>
        <v>5629309.5005566962</v>
      </c>
      <c r="H8" s="215">
        <f>SUMIF(NDSD!$S:$S,$A8,NDSD!K:K)*$D$3+SUMIF(PDSD!$S:$S,$A8,PDSD!K:K)+SUMIF(SASSA!$S:$S,$A8,SASSA!K:K)</f>
        <v>3246744.599625133</v>
      </c>
      <c r="I8" s="215">
        <f>SUMIF(NDSD!$S:$S,$A8,NDSD!L:L)*$D$3+SUMIF(PDSD!$S:$S,$A8,PDSD!L:L)+SUMIF(SASSA!$S:$S,$A8,SASSA!L:L)</f>
        <v>5360974.4844144713</v>
      </c>
      <c r="J8" s="215">
        <f>SUMIF(NDSD!$S:$S,$A8,NDSD!M:M)*$D$3+SUMIF(PDSD!$S:$S,$A8,PDSD!M:M)+SUMIF(SASSA!$S:$S,$A8,SASSA!M:M)</f>
        <v>4499324.9269446135</v>
      </c>
    </row>
    <row r="9" spans="1:15" x14ac:dyDescent="0.2">
      <c r="A9" s="5" t="str">
        <f t="shared" ref="A9:A11" si="1">CONCATENATE(B9,$B$7)</f>
        <v>GSPM</v>
      </c>
      <c r="B9" s="260" t="s">
        <v>866</v>
      </c>
      <c r="D9" s="6" t="s">
        <v>597</v>
      </c>
      <c r="E9" s="215">
        <f>SUMIF(NDSD!$S:$S,$A9,NDSD!H:H)*$D$3+SUMIF(PDSD!$S:$S,$A9,PDSD!H:H)+SUMIF(SASSA!$S:$S,$A9,SASSA!H:H)</f>
        <v>655631.99246476451</v>
      </c>
      <c r="F9" s="215">
        <f>SUMIF(NDSD!$S:$S,$A9,NDSD!I:I)*$D$3+SUMIF(PDSD!$S:$S,$A9,PDSD!I:I)+SUMIF(SASSA!$S:$S,$A9,SASSA!I:I)</f>
        <v>692347.38404279144</v>
      </c>
      <c r="G9" s="215">
        <f>SUMIF(NDSD!$S:$S,$A9,NDSD!J:J)*$D$3+SUMIF(PDSD!$S:$S,$A9,PDSD!J:J)+SUMIF(SASSA!$S:$S,$A9,SASSA!J:J)</f>
        <v>731118.83754918771</v>
      </c>
      <c r="H9" s="215">
        <f>SUMIF(NDSD!$S:$S,$A9,NDSD!K:K)*$D$3+SUMIF(PDSD!$S:$S,$A9,PDSD!K:K)+SUMIF(SASSA!$S:$S,$A9,SASSA!K:K)</f>
        <v>275319.47126704681</v>
      </c>
      <c r="I9" s="215">
        <f>SUMIF(NDSD!$S:$S,$A9,NDSD!L:L)*$D$3+SUMIF(PDSD!$S:$S,$A9,PDSD!L:L)+SUMIF(SASSA!$S:$S,$A9,SASSA!L:L)</f>
        <v>746338.75743734289</v>
      </c>
      <c r="J9" s="215">
        <f>SUMIF(NDSD!$S:$S,$A9,NDSD!M:M)*$D$3+SUMIF(PDSD!$S:$S,$A9,PDSD!M:M)+SUMIF(SASSA!$S:$S,$A9,SASSA!M:M)</f>
        <v>554375.9238740271</v>
      </c>
    </row>
    <row r="10" spans="1:15" x14ac:dyDescent="0.2">
      <c r="A10" s="5" t="str">
        <f t="shared" si="1"/>
        <v>MSPM</v>
      </c>
      <c r="B10" s="260" t="s">
        <v>864</v>
      </c>
      <c r="D10" s="6" t="s">
        <v>998</v>
      </c>
      <c r="E10" s="215">
        <f>SUMIF(NDSD!$S:$S,$A10,NDSD!H:H)*$D$3+SUMIF(PDSD!$S:$S,$A10,PDSD!H:H)+SUMIF(SASSA!$S:$S,$A10,SASSA!H:H)</f>
        <v>0</v>
      </c>
      <c r="F10" s="215">
        <f>SUMIF(NDSD!$S:$S,$A10,NDSD!I:I)*$D$3+SUMIF(PDSD!$S:$S,$A10,PDSD!I:I)+SUMIF(SASSA!$S:$S,$A10,SASSA!I:I)</f>
        <v>0</v>
      </c>
      <c r="G10" s="215">
        <f>SUMIF(NDSD!$S:$S,$A10,NDSD!J:J)*$D$3+SUMIF(PDSD!$S:$S,$A10,PDSD!J:J)+SUMIF(SASSA!$S:$S,$A10,SASSA!J:J)</f>
        <v>0</v>
      </c>
      <c r="H10" s="215">
        <f>SUMIF(NDSD!$S:$S,$A10,NDSD!K:K)*$D$3+SUMIF(PDSD!$S:$S,$A10,PDSD!K:K)+SUMIF(SASSA!$S:$S,$A10,SASSA!K:K)</f>
        <v>0</v>
      </c>
      <c r="I10" s="215">
        <f>SUMIF(NDSD!$S:$S,$A10,NDSD!L:L)*$D$3+SUMIF(PDSD!$S:$S,$A10,PDSD!L:L)+SUMIF(SASSA!$S:$S,$A10,SASSA!L:L)</f>
        <v>0</v>
      </c>
      <c r="J10" s="215">
        <f>SUMIF(NDSD!$S:$S,$A10,NDSD!M:M)*$D$3+SUMIF(PDSD!$S:$S,$A10,PDSD!M:M)+SUMIF(SASSA!$S:$S,$A10,SASSA!M:M)</f>
        <v>0</v>
      </c>
    </row>
    <row r="11" spans="1:15" x14ac:dyDescent="0.2">
      <c r="A11" s="5" t="str">
        <f t="shared" si="1"/>
        <v>TSPM</v>
      </c>
      <c r="B11" s="260" t="s">
        <v>992</v>
      </c>
      <c r="D11" s="6" t="s">
        <v>756</v>
      </c>
      <c r="E11" s="215">
        <f>SUMIF(NDSD!$S:$S,$A11,NDSD!H:H)*$D$3+SUMIF(PDSD!$S:$S,$A11,PDSD!H:H)+SUMIF(SASSA!$S:$S,$A11,SASSA!H:H)</f>
        <v>0</v>
      </c>
      <c r="F11" s="215">
        <f>SUMIF(NDSD!$S:$S,$A11,NDSD!I:I)*$D$3+SUMIF(PDSD!$S:$S,$A11,PDSD!I:I)+SUMIF(SASSA!$S:$S,$A11,SASSA!I:I)</f>
        <v>0</v>
      </c>
      <c r="G11" s="215">
        <f>SUMIF(NDSD!$S:$S,$A11,NDSD!J:J)*$D$3+SUMIF(PDSD!$S:$S,$A11,PDSD!J:J)+SUMIF(SASSA!$S:$S,$A11,SASSA!J:J)</f>
        <v>0</v>
      </c>
      <c r="H11" s="215">
        <f>SUMIF(NDSD!$S:$S,$A11,NDSD!K:K)*$D$3+SUMIF(PDSD!$S:$S,$A11,PDSD!K:K)+SUMIF(SASSA!$S:$S,$A11,SASSA!K:K)</f>
        <v>0</v>
      </c>
      <c r="I11" s="215">
        <f>SUMIF(NDSD!$S:$S,$A11,NDSD!L:L)*$D$3+SUMIF(PDSD!$S:$S,$A11,PDSD!L:L)+SUMIF(SASSA!$S:$S,$A11,SASSA!L:L)</f>
        <v>0</v>
      </c>
      <c r="J11" s="215">
        <f>SUMIF(NDSD!$S:$S,$A11,NDSD!M:M)*$D$3+SUMIF(PDSD!$S:$S,$A11,PDSD!M:M)+SUMIF(SASSA!$S:$S,$A11,SASSA!M:M)</f>
        <v>0</v>
      </c>
    </row>
    <row r="12" spans="1:15" x14ac:dyDescent="0.2">
      <c r="B12" s="5" t="s">
        <v>985</v>
      </c>
      <c r="D12" s="423" t="s">
        <v>946</v>
      </c>
      <c r="E12" s="424">
        <f>SUMIF(NDSD!$R:$R,$B12,NDSD!H:H)+SUMIF(PDSD!$R:$R,$B12,PDSD!H:H)+SUMIF(SASSA!$R:$R,$B12,SASSA!H:H)</f>
        <v>6301093.0171766961</v>
      </c>
      <c r="F12" s="424">
        <f>SUMIF(NDSD!$R:$R,$B12,NDSD!I:I)+SUMIF(PDSD!$R:$R,$B12,PDSD!I:I)+SUMIF(SASSA!$R:$R,$B12,SASSA!I:I)</f>
        <v>6667498.0799558107</v>
      </c>
      <c r="G12" s="424">
        <f>SUMIF(NDSD!$R:$R,$B12,NDSD!J:J)+SUMIF(PDSD!$R:$R,$B12,PDSD!J:J)+SUMIF(SASSA!$R:$R,$B12,SASSA!J:J)</f>
        <v>7055315.7206024919</v>
      </c>
      <c r="H12" s="424">
        <f>SUMIF(NDSD!$R:$R,$B12,NDSD!K:K)+SUMIF(PDSD!$R:$R,$B12,PDSD!K:K)+SUMIF(SASSA!$R:$R,$B12,SASSA!K:K)</f>
        <v>3431655.7809074437</v>
      </c>
      <c r="I12" s="424">
        <f>SUMIF(NDSD!$R:$R,$B12,NDSD!L:L)+SUMIF(PDSD!$R:$R,$B12,PDSD!L:L)+SUMIF(SASSA!$R:$R,$B12,SASSA!L:L)</f>
        <v>6985470.6131973285</v>
      </c>
      <c r="J12" s="424">
        <f>SUMIF(NDSD!$R:$R,$B12,NDSD!M:M)+SUMIF(PDSD!$R:$R,$B12,PDSD!M:M)+SUMIF(SASSA!$R:$R,$B12,SASSA!M:M)</f>
        <v>5537121.5005474947</v>
      </c>
      <c r="M12" s="366">
        <f>E12-SUM(E13:E16)</f>
        <v>0</v>
      </c>
      <c r="N12" s="366">
        <f t="shared" ref="N12" si="2">F12-SUM(F13:F16)</f>
        <v>0</v>
      </c>
      <c r="O12" s="366">
        <f t="shared" ref="O12" si="3">G12-SUM(G13:G16)</f>
        <v>0</v>
      </c>
    </row>
    <row r="13" spans="1:15" x14ac:dyDescent="0.2">
      <c r="A13" s="5" t="str">
        <f>CONCATENATE(B13,$B$12)</f>
        <v>COEEC</v>
      </c>
      <c r="B13" s="260" t="s">
        <v>865</v>
      </c>
      <c r="D13" s="6" t="s">
        <v>596</v>
      </c>
      <c r="E13" s="215">
        <f>SUMIF(NDSD!$S:$S,$A13,NDSD!H:H)*$D$3+SUMIF(PDSD!$S:$S,$A13,PDSD!H:H)+SUMIF(SASSA!$S:$S,$A13,SASSA!H:H)</f>
        <v>1354385.3817219452</v>
      </c>
      <c r="F13" s="215">
        <f>SUMIF(NDSD!$S:$S,$A13,NDSD!I:I)*$D$3+SUMIF(PDSD!$S:$S,$A13,PDSD!I:I)+SUMIF(SASSA!$S:$S,$A13,SASSA!I:I)</f>
        <v>1443774.8169155936</v>
      </c>
      <c r="G13" s="215">
        <f>SUMIF(NDSD!$S:$S,$A13,NDSD!J:J)*$D$3+SUMIF(PDSD!$S:$S,$A13,PDSD!J:J)+SUMIF(SASSA!$S:$S,$A13,SASSA!J:J)</f>
        <v>1539063.954832023</v>
      </c>
      <c r="H13" s="215">
        <f>SUMIF(NDSD!$S:$S,$A13,NDSD!K:K)*$D$3+SUMIF(PDSD!$S:$S,$A13,PDSD!K:K)+SUMIF(SASSA!$S:$S,$A13,SASSA!K:K)</f>
        <v>1354385.3817219452</v>
      </c>
      <c r="I13" s="215">
        <f>SUMIF(NDSD!$S:$S,$A13,NDSD!L:L)*$D$3+SUMIF(PDSD!$S:$S,$A13,PDSD!L:L)+SUMIF(SASSA!$S:$S,$A13,SASSA!L:L)</f>
        <v>1354385.3817219452</v>
      </c>
      <c r="J13" s="215">
        <f>SUMIF(NDSD!$S:$S,$A13,NDSD!M:M)*$D$3+SUMIF(PDSD!$S:$S,$A13,PDSD!M:M)+SUMIF(SASSA!$S:$S,$A13,SASSA!M:M)</f>
        <v>1354385.3817219452</v>
      </c>
    </row>
    <row r="14" spans="1:15" x14ac:dyDescent="0.2">
      <c r="A14" s="5" t="str">
        <f t="shared" ref="A14:A16" si="4">CONCATENATE(B14,$B$12)</f>
        <v>GSEC</v>
      </c>
      <c r="B14" s="260" t="s">
        <v>866</v>
      </c>
      <c r="D14" s="6" t="s">
        <v>597</v>
      </c>
      <c r="E14" s="215">
        <f>SUMIF(NDSD!$S:$S,$A14,NDSD!H:H)*$D$3+SUMIF(PDSD!$S:$S,$A14,PDSD!H:H)+SUMIF(SASSA!$S:$S,$A14,SASSA!H:H)</f>
        <v>4946707.6354547506</v>
      </c>
      <c r="F14" s="215">
        <f>SUMIF(NDSD!$S:$S,$A14,NDSD!I:I)*$D$3+SUMIF(PDSD!$S:$S,$A14,PDSD!I:I)+SUMIF(SASSA!$S:$S,$A14,SASSA!I:I)</f>
        <v>5223723.2630402166</v>
      </c>
      <c r="G14" s="215">
        <f>SUMIF(NDSD!$S:$S,$A14,NDSD!J:J)*$D$3+SUMIF(PDSD!$S:$S,$A14,PDSD!J:J)+SUMIF(SASSA!$S:$S,$A14,SASSA!J:J)</f>
        <v>5516251.7657704689</v>
      </c>
      <c r="H14" s="215">
        <f>SUMIF(NDSD!$S:$S,$A14,NDSD!K:K)*$D$3+SUMIF(PDSD!$S:$S,$A14,PDSD!K:K)+SUMIF(SASSA!$S:$S,$A14,SASSA!K:K)</f>
        <v>2077270.3991854985</v>
      </c>
      <c r="I14" s="215">
        <f>SUMIF(NDSD!$S:$S,$A14,NDSD!L:L)*$D$3+SUMIF(PDSD!$S:$S,$A14,PDSD!L:L)+SUMIF(SASSA!$S:$S,$A14,SASSA!L:L)</f>
        <v>5631085.231475383</v>
      </c>
      <c r="J14" s="215">
        <f>SUMIF(NDSD!$S:$S,$A14,NDSD!M:M)*$D$3+SUMIF(PDSD!$S:$S,$A14,PDSD!M:M)+SUMIF(SASSA!$S:$S,$A14,SASSA!M:M)</f>
        <v>4182736.1188255497</v>
      </c>
    </row>
    <row r="15" spans="1:15" x14ac:dyDescent="0.2">
      <c r="A15" s="5" t="str">
        <f t="shared" si="4"/>
        <v>MSEC</v>
      </c>
      <c r="B15" s="260" t="s">
        <v>864</v>
      </c>
      <c r="D15" s="6" t="s">
        <v>998</v>
      </c>
      <c r="E15" s="215">
        <f>SUMIF(NDSD!$S:$S,$A15,NDSD!H:H)*$D$3+SUMIF(PDSD!$S:$S,$A15,PDSD!H:H)+SUMIF(SASSA!$S:$S,$A15,SASSA!H:H)</f>
        <v>0</v>
      </c>
      <c r="F15" s="215">
        <f>SUMIF(NDSD!$S:$S,$A15,NDSD!I:I)*$D$3+SUMIF(PDSD!$S:$S,$A15,PDSD!I:I)+SUMIF(SASSA!$S:$S,$A15,SASSA!I:I)</f>
        <v>0</v>
      </c>
      <c r="G15" s="215">
        <f>SUMIF(NDSD!$S:$S,$A15,NDSD!J:J)*$D$3+SUMIF(PDSD!$S:$S,$A15,PDSD!J:J)+SUMIF(SASSA!$S:$S,$A15,SASSA!J:J)</f>
        <v>0</v>
      </c>
      <c r="H15" s="215">
        <f>SUMIF(NDSD!$S:$S,$A15,NDSD!K:K)*$D$3+SUMIF(PDSD!$S:$S,$A15,PDSD!K:K)+SUMIF(SASSA!$S:$S,$A15,SASSA!K:K)</f>
        <v>0</v>
      </c>
      <c r="I15" s="215">
        <f>SUMIF(NDSD!$S:$S,$A15,NDSD!L:L)*$D$3+SUMIF(PDSD!$S:$S,$A15,PDSD!L:L)+SUMIF(SASSA!$S:$S,$A15,SASSA!L:L)</f>
        <v>0</v>
      </c>
      <c r="J15" s="215">
        <f>SUMIF(NDSD!$S:$S,$A15,NDSD!M:M)*$D$3+SUMIF(PDSD!$S:$S,$A15,PDSD!M:M)+SUMIF(SASSA!$S:$S,$A15,SASSA!M:M)</f>
        <v>0</v>
      </c>
    </row>
    <row r="16" spans="1:15" x14ac:dyDescent="0.2">
      <c r="A16" s="5" t="str">
        <f t="shared" si="4"/>
        <v>TSEC</v>
      </c>
      <c r="B16" s="260" t="s">
        <v>992</v>
      </c>
      <c r="D16" s="6" t="s">
        <v>756</v>
      </c>
      <c r="E16" s="215">
        <f>SUMIF(NDSD!$S:$S,$A16,NDSD!H:H)*$D$3+SUMIF(PDSD!$S:$S,$A16,PDSD!H:H)+SUMIF(SASSA!$S:$S,$A16,SASSA!H:H)</f>
        <v>0</v>
      </c>
      <c r="F16" s="215">
        <f>SUMIF(NDSD!$S:$S,$A16,NDSD!I:I)*$D$3+SUMIF(PDSD!$S:$S,$A16,PDSD!I:I)+SUMIF(SASSA!$S:$S,$A16,SASSA!I:I)</f>
        <v>0</v>
      </c>
      <c r="G16" s="215">
        <f>SUMIF(NDSD!$S:$S,$A16,NDSD!J:J)*$D$3+SUMIF(PDSD!$S:$S,$A16,PDSD!J:J)+SUMIF(SASSA!$S:$S,$A16,SASSA!J:J)</f>
        <v>0</v>
      </c>
      <c r="H16" s="215">
        <f>SUMIF(NDSD!$S:$S,$A16,NDSD!K:K)*$D$3+SUMIF(PDSD!$S:$S,$A16,PDSD!K:K)+SUMIF(SASSA!$S:$S,$A16,SASSA!K:K)</f>
        <v>0</v>
      </c>
      <c r="I16" s="215">
        <f>SUMIF(NDSD!$S:$S,$A16,NDSD!L:L)*$D$3+SUMIF(PDSD!$S:$S,$A16,PDSD!L:L)+SUMIF(SASSA!$S:$S,$A16,SASSA!L:L)</f>
        <v>0</v>
      </c>
      <c r="J16" s="215">
        <f>SUMIF(NDSD!$S:$S,$A16,NDSD!M:M)*$D$3+SUMIF(PDSD!$S:$S,$A16,PDSD!M:M)+SUMIF(SASSA!$S:$S,$A16,SASSA!M:M)</f>
        <v>0</v>
      </c>
    </row>
    <row r="17" spans="1:15" x14ac:dyDescent="0.2">
      <c r="B17" s="5" t="s">
        <v>986</v>
      </c>
      <c r="D17" s="423" t="s">
        <v>947</v>
      </c>
      <c r="E17" s="424">
        <f>SUMIF(NDSD!$R:$R,$B17,NDSD!H:H)+SUMIF(PDSD!$R:$R,$B17,PDSD!H:H)+SUMIF(SASSA!$R:$R,$B17,SASSA!H:H)</f>
        <v>9259919076.580471</v>
      </c>
      <c r="F17" s="424">
        <f>SUMIF(NDSD!$R:$R,$B17,NDSD!I:I)+SUMIF(PDSD!$R:$R,$B17,PDSD!I:I)+SUMIF(SASSA!$R:$R,$B17,SASSA!I:I)</f>
        <v>9768560295.5665894</v>
      </c>
      <c r="G17" s="424">
        <f>SUMIF(NDSD!$R:$R,$B17,NDSD!J:J)+SUMIF(PDSD!$R:$R,$B17,PDSD!J:J)+SUMIF(SASSA!$R:$R,$B17,SASSA!J:J)</f>
        <v>10294006959.739399</v>
      </c>
      <c r="H17" s="424">
        <f>SUMIF(NDSD!$R:$R,$B17,NDSD!K:K)+SUMIF(PDSD!$R:$R,$B17,PDSD!K:K)+SUMIF(SASSA!$R:$R,$B17,SASSA!K:K)</f>
        <v>7738092542.3448153</v>
      </c>
      <c r="I17" s="424">
        <f>SUMIF(NDSD!$R:$R,$B17,NDSD!L:L)+SUMIF(PDSD!$R:$R,$B17,PDSD!L:L)+SUMIF(SASSA!$R:$R,$B17,SASSA!L:L)</f>
        <v>9622883623.0414143</v>
      </c>
      <c r="J17" s="424">
        <f>SUMIF(NDSD!$R:$R,$B17,NDSD!M:M)+SUMIF(PDSD!$R:$R,$B17,PDSD!M:M)+SUMIF(SASSA!$R:$R,$B17,SASSA!M:M)</f>
        <v>8854741325.796772</v>
      </c>
      <c r="M17" s="366">
        <f>E17-SUM(E18:E21)</f>
        <v>0</v>
      </c>
      <c r="N17" s="366">
        <f t="shared" ref="N17" si="5">F17-SUM(F18:F21)</f>
        <v>0</v>
      </c>
      <c r="O17" s="366">
        <f t="shared" ref="O17" si="6">G17-SUM(G18:G21)</f>
        <v>0</v>
      </c>
    </row>
    <row r="18" spans="1:15" x14ac:dyDescent="0.2">
      <c r="A18" s="5" t="str">
        <f>CONCATENATE(B18,$B$17)</f>
        <v>COEPI</v>
      </c>
      <c r="B18" s="260" t="s">
        <v>865</v>
      </c>
      <c r="D18" s="6" t="s">
        <v>596</v>
      </c>
      <c r="E18" s="215">
        <f>SUMIF(NDSD!$S:$S,$A18,NDSD!H:H)*$D$3+SUMIF(PDSD!$S:$S,$A18,PDSD!H:H)+SUMIF(SASSA!$S:$S,$A18,SASSA!H:H)</f>
        <v>21792039.362863548</v>
      </c>
      <c r="F18" s="215">
        <f>SUMIF(NDSD!$S:$S,$A18,NDSD!I:I)*$D$3+SUMIF(PDSD!$S:$S,$A18,PDSD!I:I)+SUMIF(SASSA!$S:$S,$A18,SASSA!I:I)</f>
        <v>23230313.960812539</v>
      </c>
      <c r="G18" s="215">
        <f>SUMIF(NDSD!$S:$S,$A18,NDSD!J:J)*$D$3+SUMIF(PDSD!$S:$S,$A18,PDSD!J:J)+SUMIF(SASSA!$S:$S,$A18,SASSA!J:J)</f>
        <v>24763514.68222617</v>
      </c>
      <c r="H18" s="215">
        <f>SUMIF(NDSD!$S:$S,$A18,NDSD!K:K)*$D$3+SUMIF(PDSD!$S:$S,$A18,PDSD!K:K)+SUMIF(SASSA!$S:$S,$A18,SASSA!K:K)</f>
        <v>21792039.362863548</v>
      </c>
      <c r="I18" s="215">
        <f>SUMIF(NDSD!$S:$S,$A18,NDSD!L:L)*$D$3+SUMIF(PDSD!$S:$S,$A18,PDSD!L:L)+SUMIF(SASSA!$S:$S,$A18,SASSA!L:L)</f>
        <v>21792039.362863548</v>
      </c>
      <c r="J18" s="215">
        <f>SUMIF(NDSD!$S:$S,$A18,NDSD!M:M)*$D$3+SUMIF(PDSD!$S:$S,$A18,PDSD!M:M)+SUMIF(SASSA!$S:$S,$A18,SASSA!M:M)</f>
        <v>21792039.362863548</v>
      </c>
    </row>
    <row r="19" spans="1:15" x14ac:dyDescent="0.2">
      <c r="A19" s="5" t="str">
        <f t="shared" ref="A19:A21" si="7">CONCATENATE(B19,$B$17)</f>
        <v>GSPI</v>
      </c>
      <c r="B19" s="260" t="s">
        <v>866</v>
      </c>
      <c r="D19" s="6" t="s">
        <v>597</v>
      </c>
      <c r="E19" s="215">
        <f>SUMIF(NDSD!$S:$S,$A19,NDSD!H:H)*$D$3+SUMIF(PDSD!$S:$S,$A19,PDSD!H:H)+SUMIF(SASSA!$S:$S,$A19,SASSA!H:H)</f>
        <v>821055.88725088409</v>
      </c>
      <c r="F19" s="215">
        <f>SUMIF(NDSD!$S:$S,$A19,NDSD!I:I)*$D$3+SUMIF(PDSD!$S:$S,$A19,PDSD!I:I)+SUMIF(SASSA!$S:$S,$A19,SASSA!I:I)</f>
        <v>857319.64085772261</v>
      </c>
      <c r="G19" s="215">
        <f>SUMIF(NDSD!$S:$S,$A19,NDSD!J:J)*$D$3+SUMIF(PDSD!$S:$S,$A19,PDSD!J:J)+SUMIF(SASSA!$S:$S,$A19,SASSA!J:J)</f>
        <v>902583.76466654404</v>
      </c>
      <c r="H19" s="215">
        <f>SUMIF(NDSD!$S:$S,$A19,NDSD!K:K)*$D$3+SUMIF(PDSD!$S:$S,$A19,PDSD!K:K)+SUMIF(SASSA!$S:$S,$A19,SASSA!K:K)</f>
        <v>821055.88725088409</v>
      </c>
      <c r="I19" s="215">
        <f>SUMIF(NDSD!$S:$S,$A19,NDSD!L:L)*$D$3+SUMIF(PDSD!$S:$S,$A19,PDSD!L:L)+SUMIF(SASSA!$S:$S,$A19,SASSA!L:L)</f>
        <v>821055.88725088409</v>
      </c>
      <c r="J19" s="215">
        <f>SUMIF(NDSD!$S:$S,$A19,NDSD!M:M)*$D$3+SUMIF(PDSD!$S:$S,$A19,PDSD!M:M)+SUMIF(SASSA!$S:$S,$A19,SASSA!M:M)</f>
        <v>821055.88725088409</v>
      </c>
    </row>
    <row r="20" spans="1:15" x14ac:dyDescent="0.2">
      <c r="A20" s="5" t="str">
        <f t="shared" si="7"/>
        <v>MSPI</v>
      </c>
      <c r="B20" s="260" t="s">
        <v>864</v>
      </c>
      <c r="D20" s="6" t="s">
        <v>998</v>
      </c>
      <c r="E20" s="215">
        <f>SUMIF(NDSD!$S:$S,$A20,NDSD!H:H)*$D$3+SUMIF(PDSD!$S:$S,$A20,PDSD!H:H)+SUMIF(SASSA!$S:$S,$A20,SASSA!H:H)</f>
        <v>0</v>
      </c>
      <c r="F20" s="215">
        <f>SUMIF(NDSD!$S:$S,$A20,NDSD!I:I)*$D$3+SUMIF(PDSD!$S:$S,$A20,PDSD!I:I)+SUMIF(SASSA!$S:$S,$A20,SASSA!I:I)</f>
        <v>0</v>
      </c>
      <c r="G20" s="215">
        <f>SUMIF(NDSD!$S:$S,$A20,NDSD!J:J)*$D$3+SUMIF(PDSD!$S:$S,$A20,PDSD!J:J)+SUMIF(SASSA!$S:$S,$A20,SASSA!J:J)</f>
        <v>0</v>
      </c>
      <c r="H20" s="215">
        <f>SUMIF(NDSD!$S:$S,$A20,NDSD!K:K)*$D$3+SUMIF(PDSD!$S:$S,$A20,PDSD!K:K)+SUMIF(SASSA!$S:$S,$A20,SASSA!K:K)</f>
        <v>0</v>
      </c>
      <c r="I20" s="215">
        <f>SUMIF(NDSD!$S:$S,$A20,NDSD!L:L)*$D$3+SUMIF(PDSD!$S:$S,$A20,PDSD!L:L)+SUMIF(SASSA!$S:$S,$A20,SASSA!L:L)</f>
        <v>0</v>
      </c>
      <c r="J20" s="215">
        <f>SUMIF(NDSD!$S:$S,$A20,NDSD!M:M)*$D$3+SUMIF(PDSD!$S:$S,$A20,PDSD!M:M)+SUMIF(SASSA!$S:$S,$A20,SASSA!M:M)</f>
        <v>0</v>
      </c>
    </row>
    <row r="21" spans="1:15" x14ac:dyDescent="0.2">
      <c r="A21" s="5" t="str">
        <f t="shared" si="7"/>
        <v>TSPI</v>
      </c>
      <c r="B21" s="260" t="s">
        <v>992</v>
      </c>
      <c r="D21" s="6" t="s">
        <v>756</v>
      </c>
      <c r="E21" s="215">
        <f>SUMIF(NDSD!$S:$S,$A21,NDSD!H:H)*$D$3+SUMIF(PDSD!$S:$S,$A21,PDSD!H:H)+SUMIF(SASSA!$S:$S,$A21,SASSA!H:H)</f>
        <v>9237305981.3303566</v>
      </c>
      <c r="F21" s="215">
        <f>SUMIF(NDSD!$S:$S,$A21,NDSD!I:I)*$D$3+SUMIF(PDSD!$S:$S,$A21,PDSD!I:I)+SUMIF(SASSA!$S:$S,$A21,SASSA!I:I)</f>
        <v>9744472661.96492</v>
      </c>
      <c r="G21" s="215">
        <f>SUMIF(NDSD!$S:$S,$A21,NDSD!J:J)*$D$3+SUMIF(PDSD!$S:$S,$A21,PDSD!J:J)+SUMIF(SASSA!$S:$S,$A21,SASSA!J:J)</f>
        <v>10268340861.292505</v>
      </c>
      <c r="H21" s="215">
        <f>SUMIF(NDSD!$S:$S,$A21,NDSD!K:K)*$D$3+SUMIF(PDSD!$S:$S,$A21,PDSD!K:K)+SUMIF(SASSA!$S:$S,$A21,SASSA!K:K)</f>
        <v>7715479447.0947008</v>
      </c>
      <c r="I21" s="215">
        <f>SUMIF(NDSD!$S:$S,$A21,NDSD!L:L)*$D$3+SUMIF(PDSD!$S:$S,$A21,PDSD!L:L)+SUMIF(SASSA!$S:$S,$A21,SASSA!L:L)</f>
        <v>9600270527.7912998</v>
      </c>
      <c r="J21" s="215">
        <f>SUMIF(NDSD!$S:$S,$A21,NDSD!M:M)*$D$3+SUMIF(PDSD!$S:$S,$A21,PDSD!M:M)+SUMIF(SASSA!$S:$S,$A21,SASSA!M:M)</f>
        <v>8832128230.5466576</v>
      </c>
    </row>
    <row r="22" spans="1:15" x14ac:dyDescent="0.2">
      <c r="B22" s="5" t="s">
        <v>987</v>
      </c>
      <c r="D22" s="423" t="s">
        <v>948</v>
      </c>
      <c r="E22" s="424">
        <f>SUMIF(NDSD!$R:$R,$B22,NDSD!H:H)+SUMIF(PDSD!$R:$R,$B22,PDSD!H:H)+SUMIF(SASSA!$R:$R,$B22,SASSA!H:H)</f>
        <v>0</v>
      </c>
      <c r="F22" s="424">
        <f>SUMIF(NDSD!$R:$R,$B22,NDSD!I:I)+SUMIF(PDSD!$R:$R,$B22,PDSD!I:I)+SUMIF(SASSA!$R:$R,$B22,SASSA!I:I)</f>
        <v>0</v>
      </c>
      <c r="G22" s="424">
        <f>SUMIF(NDSD!$R:$R,$B22,NDSD!J:J)+SUMIF(PDSD!$R:$R,$B22,PDSD!J:J)+SUMIF(SASSA!$R:$R,$B22,SASSA!J:J)</f>
        <v>0</v>
      </c>
      <c r="H22" s="424">
        <f>SUMIF(NDSD!$R:$R,$B22,NDSD!K:K)+SUMIF(PDSD!$R:$R,$B22,PDSD!K:K)+SUMIF(SASSA!$R:$R,$B22,SASSA!K:K)</f>
        <v>0</v>
      </c>
      <c r="I22" s="424">
        <f>SUMIF(NDSD!$R:$R,$B22,NDSD!L:L)+SUMIF(PDSD!$R:$R,$B22,PDSD!L:L)+SUMIF(SASSA!$R:$R,$B22,SASSA!L:L)</f>
        <v>0</v>
      </c>
      <c r="J22" s="424">
        <f>SUMIF(NDSD!$R:$R,$B22,NDSD!M:M)+SUMIF(PDSD!$R:$R,$B22,PDSD!M:M)+SUMIF(SASSA!$R:$R,$B22,SASSA!M:M)</f>
        <v>0</v>
      </c>
      <c r="M22" s="366">
        <f>E22-SUM(E23:E26)</f>
        <v>0</v>
      </c>
      <c r="N22" s="366">
        <f t="shared" ref="N22" si="8">F22-SUM(F23:F26)</f>
        <v>0</v>
      </c>
      <c r="O22" s="366">
        <f t="shared" ref="O22" si="9">G22-SUM(G23:G26)</f>
        <v>0</v>
      </c>
    </row>
    <row r="23" spans="1:15" x14ac:dyDescent="0.2">
      <c r="A23" s="5" t="str">
        <f>CONCATENATE(B23,$B$22)</f>
        <v>COECI</v>
      </c>
      <c r="B23" s="260" t="s">
        <v>865</v>
      </c>
      <c r="D23" s="6" t="s">
        <v>596</v>
      </c>
      <c r="E23" s="215">
        <f>SUMIF(NDSD!$S:$S,$A23,NDSD!H:H)*$D$3+SUMIF(PDSD!$S:$S,$A23,PDSD!H:H)+SUMIF(SASSA!$S:$S,$A23,SASSA!H:H)</f>
        <v>0</v>
      </c>
      <c r="F23" s="215">
        <f>SUMIF(NDSD!$S:$S,$A23,NDSD!I:I)*$D$3+SUMIF(PDSD!$S:$S,$A23,PDSD!I:I)+SUMIF(SASSA!$S:$S,$A23,SASSA!I:I)</f>
        <v>0</v>
      </c>
      <c r="G23" s="215">
        <f>SUMIF(NDSD!$S:$S,$A23,NDSD!J:J)*$D$3+SUMIF(PDSD!$S:$S,$A23,PDSD!J:J)+SUMIF(SASSA!$S:$S,$A23,SASSA!J:J)</f>
        <v>0</v>
      </c>
      <c r="H23" s="215">
        <f>SUMIF(NDSD!$S:$S,$A23,NDSD!K:K)*$D$3+SUMIF(PDSD!$S:$S,$A23,PDSD!K:K)+SUMIF(SASSA!$S:$S,$A23,SASSA!K:K)</f>
        <v>0</v>
      </c>
      <c r="I23" s="215">
        <f>SUMIF(NDSD!$S:$S,$A23,NDSD!L:L)*$D$3+SUMIF(PDSD!$S:$S,$A23,PDSD!L:L)+SUMIF(SASSA!$S:$S,$A23,SASSA!L:L)</f>
        <v>0</v>
      </c>
      <c r="J23" s="215">
        <f>SUMIF(NDSD!$S:$S,$A23,NDSD!M:M)*$D$3+SUMIF(PDSD!$S:$S,$A23,PDSD!M:M)+SUMIF(SASSA!$S:$S,$A23,SASSA!M:M)</f>
        <v>0</v>
      </c>
    </row>
    <row r="24" spans="1:15" x14ac:dyDescent="0.2">
      <c r="A24" s="5" t="str">
        <f t="shared" ref="A24:A26" si="10">CONCATENATE(B24,$B$22)</f>
        <v>GSCI</v>
      </c>
      <c r="B24" s="260" t="s">
        <v>866</v>
      </c>
      <c r="D24" s="6" t="s">
        <v>597</v>
      </c>
      <c r="E24" s="215">
        <f>SUMIF(NDSD!$S:$S,$A24,NDSD!H:H)*$D$3+SUMIF(PDSD!$S:$S,$A24,PDSD!H:H)+SUMIF(SASSA!$S:$S,$A24,SASSA!H:H)</f>
        <v>0</v>
      </c>
      <c r="F24" s="215">
        <f>SUMIF(NDSD!$S:$S,$A24,NDSD!I:I)*$D$3+SUMIF(PDSD!$S:$S,$A24,PDSD!I:I)+SUMIF(SASSA!$S:$S,$A24,SASSA!I:I)</f>
        <v>0</v>
      </c>
      <c r="G24" s="215">
        <f>SUMIF(NDSD!$S:$S,$A24,NDSD!J:J)*$D$3+SUMIF(PDSD!$S:$S,$A24,PDSD!J:J)+SUMIF(SASSA!$S:$S,$A24,SASSA!J:J)</f>
        <v>0</v>
      </c>
      <c r="H24" s="215">
        <f>SUMIF(NDSD!$S:$S,$A24,NDSD!K:K)*$D$3+SUMIF(PDSD!$S:$S,$A24,PDSD!K:K)+SUMIF(SASSA!$S:$S,$A24,SASSA!K:K)</f>
        <v>0</v>
      </c>
      <c r="I24" s="215">
        <f>SUMIF(NDSD!$S:$S,$A24,NDSD!L:L)*$D$3+SUMIF(PDSD!$S:$S,$A24,PDSD!L:L)+SUMIF(SASSA!$S:$S,$A24,SASSA!L:L)</f>
        <v>0</v>
      </c>
      <c r="J24" s="215">
        <f>SUMIF(NDSD!$S:$S,$A24,NDSD!M:M)*$D$3+SUMIF(PDSD!$S:$S,$A24,PDSD!M:M)+SUMIF(SASSA!$S:$S,$A24,SASSA!M:M)</f>
        <v>0</v>
      </c>
    </row>
    <row r="25" spans="1:15" x14ac:dyDescent="0.2">
      <c r="A25" s="5" t="str">
        <f t="shared" si="10"/>
        <v>MSCI</v>
      </c>
      <c r="B25" s="260" t="s">
        <v>864</v>
      </c>
      <c r="D25" s="6" t="s">
        <v>998</v>
      </c>
      <c r="E25" s="215">
        <f>SUMIF(NDSD!$S:$S,$A25,NDSD!H:H)*$D$3+SUMIF(PDSD!$S:$S,$A25,PDSD!H:H)+SUMIF(SASSA!$S:$S,$A25,SASSA!H:H)</f>
        <v>0</v>
      </c>
      <c r="F25" s="215">
        <f>SUMIF(NDSD!$S:$S,$A25,NDSD!I:I)*$D$3+SUMIF(PDSD!$S:$S,$A25,PDSD!I:I)+SUMIF(SASSA!$S:$S,$A25,SASSA!I:I)</f>
        <v>0</v>
      </c>
      <c r="G25" s="215">
        <f>SUMIF(NDSD!$S:$S,$A25,NDSD!J:J)*$D$3+SUMIF(PDSD!$S:$S,$A25,PDSD!J:J)+SUMIF(SASSA!$S:$S,$A25,SASSA!J:J)</f>
        <v>0</v>
      </c>
      <c r="H25" s="215">
        <f>SUMIF(NDSD!$S:$S,$A25,NDSD!K:K)*$D$3+SUMIF(PDSD!$S:$S,$A25,PDSD!K:K)+SUMIF(SASSA!$S:$S,$A25,SASSA!K:K)</f>
        <v>0</v>
      </c>
      <c r="I25" s="215">
        <f>SUMIF(NDSD!$S:$S,$A25,NDSD!L:L)*$D$3+SUMIF(PDSD!$S:$S,$A25,PDSD!L:L)+SUMIF(SASSA!$S:$S,$A25,SASSA!L:L)</f>
        <v>0</v>
      </c>
      <c r="J25" s="215">
        <f>SUMIF(NDSD!$S:$S,$A25,NDSD!M:M)*$D$3+SUMIF(PDSD!$S:$S,$A25,PDSD!M:M)+SUMIF(SASSA!$S:$S,$A25,SASSA!M:M)</f>
        <v>0</v>
      </c>
    </row>
    <row r="26" spans="1:15" x14ac:dyDescent="0.2">
      <c r="A26" s="5" t="str">
        <f t="shared" si="10"/>
        <v>TSCI</v>
      </c>
      <c r="B26" s="260" t="s">
        <v>992</v>
      </c>
      <c r="D26" s="6" t="s">
        <v>756</v>
      </c>
      <c r="E26" s="215">
        <f>SUMIF(NDSD!$S:$S,$A26,NDSD!H:H)*$D$3+SUMIF(PDSD!$S:$S,$A26,PDSD!H:H)+SUMIF(SASSA!$S:$S,$A26,SASSA!H:H)</f>
        <v>0</v>
      </c>
      <c r="F26" s="215">
        <f>SUMIF(NDSD!$S:$S,$A26,NDSD!I:I)*$D$3+SUMIF(PDSD!$S:$S,$A26,PDSD!I:I)+SUMIF(SASSA!$S:$S,$A26,SASSA!I:I)</f>
        <v>0</v>
      </c>
      <c r="G26" s="215">
        <f>SUMIF(NDSD!$S:$S,$A26,NDSD!J:J)*$D$3+SUMIF(PDSD!$S:$S,$A26,PDSD!J:J)+SUMIF(SASSA!$S:$S,$A26,SASSA!J:J)</f>
        <v>0</v>
      </c>
      <c r="H26" s="215">
        <f>SUMIF(NDSD!$S:$S,$A26,NDSD!K:K)*$D$3+SUMIF(PDSD!$S:$S,$A26,PDSD!K:K)+SUMIF(SASSA!$S:$S,$A26,SASSA!K:K)</f>
        <v>0</v>
      </c>
      <c r="I26" s="215">
        <f>SUMIF(NDSD!$S:$S,$A26,NDSD!L:L)*$D$3+SUMIF(PDSD!$S:$S,$A26,PDSD!L:L)+SUMIF(SASSA!$S:$S,$A26,SASSA!L:L)</f>
        <v>0</v>
      </c>
      <c r="J26" s="215">
        <f>SUMIF(NDSD!$S:$S,$A26,NDSD!M:M)*$D$3+SUMIF(PDSD!$S:$S,$A26,PDSD!M:M)+SUMIF(SASSA!$S:$S,$A26,SASSA!M:M)</f>
        <v>0</v>
      </c>
    </row>
    <row r="27" spans="1:15" x14ac:dyDescent="0.2">
      <c r="B27" s="5" t="s">
        <v>988</v>
      </c>
      <c r="D27" s="423" t="s">
        <v>949</v>
      </c>
      <c r="E27" s="424">
        <f>SUMIF(NDSD!$R:$R,$B27,NDSD!H:H)+SUMIF(PDSD!$R:$R,$B27,PDSD!H:H)+SUMIF(SASSA!$R:$R,$B27,SASSA!H:H)</f>
        <v>0</v>
      </c>
      <c r="F27" s="424">
        <f>SUMIF(NDSD!$R:$R,$B27,NDSD!I:I)+SUMIF(PDSD!$R:$R,$B27,PDSD!I:I)+SUMIF(SASSA!$R:$R,$B27,SASSA!I:I)</f>
        <v>0</v>
      </c>
      <c r="G27" s="424">
        <f>SUMIF(NDSD!$R:$R,$B27,NDSD!J:J)+SUMIF(PDSD!$R:$R,$B27,PDSD!J:J)+SUMIF(SASSA!$R:$R,$B27,SASSA!J:J)</f>
        <v>0</v>
      </c>
      <c r="H27" s="424">
        <f>SUMIF(NDSD!$R:$R,$B27,NDSD!K:K)+SUMIF(PDSD!$R:$R,$B27,PDSD!K:K)+SUMIF(SASSA!$R:$R,$B27,SASSA!K:K)</f>
        <v>0</v>
      </c>
      <c r="I27" s="424">
        <f>SUMIF(NDSD!$R:$R,$B27,NDSD!L:L)+SUMIF(PDSD!$R:$R,$B27,PDSD!L:L)+SUMIF(SASSA!$R:$R,$B27,SASSA!L:L)</f>
        <v>0</v>
      </c>
      <c r="J27" s="424">
        <f>SUMIF(NDSD!$R:$R,$B27,NDSD!M:M)+SUMIF(PDSD!$R:$R,$B27,PDSD!M:M)+SUMIF(SASSA!$R:$R,$B27,SASSA!M:M)</f>
        <v>0</v>
      </c>
      <c r="M27" s="366">
        <f>E27-SUM(E28:E31)</f>
        <v>0</v>
      </c>
      <c r="N27" s="366">
        <f t="shared" ref="N27" si="11">F27-SUM(F28:F31)</f>
        <v>0</v>
      </c>
      <c r="O27" s="366">
        <f t="shared" ref="O27" si="12">G27-SUM(G28:G31)</f>
        <v>0</v>
      </c>
    </row>
    <row r="28" spans="1:15" x14ac:dyDescent="0.2">
      <c r="A28" s="5" t="str">
        <f>CONCATENATE(B28,$B$27)</f>
        <v>COENSP</v>
      </c>
      <c r="B28" s="260" t="s">
        <v>865</v>
      </c>
      <c r="D28" s="6" t="s">
        <v>596</v>
      </c>
      <c r="E28" s="215">
        <f>SUMIF(NDSD!$S:$S,$A28,NDSD!H:H)*$D$3+SUMIF(PDSD!$S:$S,$A28,PDSD!H:H)+SUMIF(SASSA!$S:$S,$A28,SASSA!H:H)</f>
        <v>0</v>
      </c>
      <c r="F28" s="215">
        <f>SUMIF(NDSD!$S:$S,$A28,NDSD!I:I)*$D$3+SUMIF(PDSD!$S:$S,$A28,PDSD!I:I)+SUMIF(SASSA!$S:$S,$A28,SASSA!I:I)</f>
        <v>0</v>
      </c>
      <c r="G28" s="215">
        <f>SUMIF(NDSD!$S:$S,$A28,NDSD!J:J)*$D$3+SUMIF(PDSD!$S:$S,$A28,PDSD!J:J)+SUMIF(SASSA!$S:$S,$A28,SASSA!J:J)</f>
        <v>0</v>
      </c>
      <c r="H28" s="215">
        <f>SUMIF(NDSD!$S:$S,$A28,NDSD!K:K)*$D$3+SUMIF(PDSD!$S:$S,$A28,PDSD!K:K)+SUMIF(SASSA!$S:$S,$A28,SASSA!K:K)</f>
        <v>0</v>
      </c>
      <c r="I28" s="215">
        <f>SUMIF(NDSD!$S:$S,$A28,NDSD!L:L)*$D$3+SUMIF(PDSD!$S:$S,$A28,PDSD!L:L)+SUMIF(SASSA!$S:$S,$A28,SASSA!L:L)</f>
        <v>0</v>
      </c>
      <c r="J28" s="215">
        <f>SUMIF(NDSD!$S:$S,$A28,NDSD!M:M)*$D$3+SUMIF(PDSD!$S:$S,$A28,PDSD!M:M)+SUMIF(SASSA!$S:$S,$A28,SASSA!M:M)</f>
        <v>0</v>
      </c>
    </row>
    <row r="29" spans="1:15" x14ac:dyDescent="0.2">
      <c r="A29" s="5" t="str">
        <f t="shared" ref="A29:A31" si="13">CONCATENATE(B29,$B$27)</f>
        <v>GSNSP</v>
      </c>
      <c r="B29" s="260" t="s">
        <v>866</v>
      </c>
      <c r="D29" s="6" t="s">
        <v>597</v>
      </c>
      <c r="E29" s="215">
        <f>SUMIF(NDSD!$S:$S,$A29,NDSD!H:H)*$D$3+SUMIF(PDSD!$S:$S,$A29,PDSD!H:H)+SUMIF(SASSA!$S:$S,$A29,SASSA!H:H)</f>
        <v>0</v>
      </c>
      <c r="F29" s="215">
        <f>SUMIF(NDSD!$S:$S,$A29,NDSD!I:I)*$D$3+SUMIF(PDSD!$S:$S,$A29,PDSD!I:I)+SUMIF(SASSA!$S:$S,$A29,SASSA!I:I)</f>
        <v>0</v>
      </c>
      <c r="G29" s="215">
        <f>SUMIF(NDSD!$S:$S,$A29,NDSD!J:J)*$D$3+SUMIF(PDSD!$S:$S,$A29,PDSD!J:J)+SUMIF(SASSA!$S:$S,$A29,SASSA!J:J)</f>
        <v>0</v>
      </c>
      <c r="H29" s="215">
        <f>SUMIF(NDSD!$S:$S,$A29,NDSD!K:K)*$D$3+SUMIF(PDSD!$S:$S,$A29,PDSD!K:K)+SUMIF(SASSA!$S:$S,$A29,SASSA!K:K)</f>
        <v>0</v>
      </c>
      <c r="I29" s="215">
        <f>SUMIF(NDSD!$S:$S,$A29,NDSD!L:L)*$D$3+SUMIF(PDSD!$S:$S,$A29,PDSD!L:L)+SUMIF(SASSA!$S:$S,$A29,SASSA!L:L)</f>
        <v>0</v>
      </c>
      <c r="J29" s="215">
        <f>SUMIF(NDSD!$S:$S,$A29,NDSD!M:M)*$D$3+SUMIF(PDSD!$S:$S,$A29,PDSD!M:M)+SUMIF(SASSA!$S:$S,$A29,SASSA!M:M)</f>
        <v>0</v>
      </c>
    </row>
    <row r="30" spans="1:15" x14ac:dyDescent="0.2">
      <c r="A30" s="5" t="str">
        <f t="shared" si="13"/>
        <v>MSNSP</v>
      </c>
      <c r="B30" s="260" t="s">
        <v>864</v>
      </c>
      <c r="D30" s="6" t="s">
        <v>998</v>
      </c>
      <c r="E30" s="215">
        <f>SUMIF(NDSD!$S:$S,$A30,NDSD!H:H)*$D$3+SUMIF(PDSD!$S:$S,$A30,PDSD!H:H)+SUMIF(SASSA!$S:$S,$A30,SASSA!H:H)</f>
        <v>0</v>
      </c>
      <c r="F30" s="215">
        <f>SUMIF(NDSD!$S:$S,$A30,NDSD!I:I)*$D$3+SUMIF(PDSD!$S:$S,$A30,PDSD!I:I)+SUMIF(SASSA!$S:$S,$A30,SASSA!I:I)</f>
        <v>0</v>
      </c>
      <c r="G30" s="215">
        <f>SUMIF(NDSD!$S:$S,$A30,NDSD!J:J)*$D$3+SUMIF(PDSD!$S:$S,$A30,PDSD!J:J)+SUMIF(SASSA!$S:$S,$A30,SASSA!J:J)</f>
        <v>0</v>
      </c>
      <c r="H30" s="215">
        <f>SUMIF(NDSD!$S:$S,$A30,NDSD!K:K)*$D$3+SUMIF(PDSD!$S:$S,$A30,PDSD!K:K)+SUMIF(SASSA!$S:$S,$A30,SASSA!K:K)</f>
        <v>0</v>
      </c>
      <c r="I30" s="215">
        <f>SUMIF(NDSD!$S:$S,$A30,NDSD!L:L)*$D$3+SUMIF(PDSD!$S:$S,$A30,PDSD!L:L)+SUMIF(SASSA!$S:$S,$A30,SASSA!L:L)</f>
        <v>0</v>
      </c>
      <c r="J30" s="215">
        <f>SUMIF(NDSD!$S:$S,$A30,NDSD!M:M)*$D$3+SUMIF(PDSD!$S:$S,$A30,PDSD!M:M)+SUMIF(SASSA!$S:$S,$A30,SASSA!M:M)</f>
        <v>0</v>
      </c>
    </row>
    <row r="31" spans="1:15" x14ac:dyDescent="0.2">
      <c r="A31" s="5" t="str">
        <f t="shared" si="13"/>
        <v>TSNSP</v>
      </c>
      <c r="B31" s="260" t="s">
        <v>992</v>
      </c>
      <c r="D31" s="6" t="s">
        <v>756</v>
      </c>
      <c r="E31" s="215">
        <f>SUMIF(NDSD!$S:$S,$A31,NDSD!H:H)*$D$3+SUMIF(PDSD!$S:$S,$A31,PDSD!H:H)+SUMIF(SASSA!$S:$S,$A31,SASSA!H:H)</f>
        <v>0</v>
      </c>
      <c r="F31" s="215">
        <f>SUMIF(NDSD!$S:$S,$A31,NDSD!I:I)*$D$3+SUMIF(PDSD!$S:$S,$A31,PDSD!I:I)+SUMIF(SASSA!$S:$S,$A31,SASSA!I:I)</f>
        <v>0</v>
      </c>
      <c r="G31" s="215">
        <f>SUMIF(NDSD!$S:$S,$A31,NDSD!J:J)*$D$3+SUMIF(PDSD!$S:$S,$A31,PDSD!J:J)+SUMIF(SASSA!$S:$S,$A31,SASSA!J:J)</f>
        <v>0</v>
      </c>
      <c r="H31" s="215">
        <f>SUMIF(NDSD!$S:$S,$A31,NDSD!K:K)*$D$3+SUMIF(PDSD!$S:$S,$A31,PDSD!K:K)+SUMIF(SASSA!$S:$S,$A31,SASSA!K:K)</f>
        <v>0</v>
      </c>
      <c r="I31" s="215">
        <f>SUMIF(NDSD!$S:$S,$A31,NDSD!L:L)*$D$3+SUMIF(PDSD!$S:$S,$A31,PDSD!L:L)+SUMIF(SASSA!$S:$S,$A31,SASSA!L:L)</f>
        <v>0</v>
      </c>
      <c r="J31" s="215">
        <f>SUMIF(NDSD!$S:$S,$A31,NDSD!M:M)*$D$3+SUMIF(PDSD!$S:$S,$A31,PDSD!M:M)+SUMIF(SASSA!$S:$S,$A31,SASSA!M:M)</f>
        <v>0</v>
      </c>
    </row>
    <row r="33" spans="5:10" x14ac:dyDescent="0.2">
      <c r="E33" s="239">
        <f t="shared" ref="E33:J33" si="14">E27+E22+E17+E12+E7</f>
        <v>9271829627.2403126</v>
      </c>
      <c r="F33" s="239">
        <f t="shared" si="14"/>
        <v>9781200919.1737003</v>
      </c>
      <c r="G33" s="239">
        <f t="shared" si="14"/>
        <v>10307422703.798107</v>
      </c>
      <c r="H33" s="239">
        <f t="shared" si="14"/>
        <v>7745046262.1966152</v>
      </c>
      <c r="I33" s="239">
        <f t="shared" si="14"/>
        <v>9635976406.8964634</v>
      </c>
      <c r="J33" s="239">
        <f t="shared" si="14"/>
        <v>8865332148.148138</v>
      </c>
    </row>
  </sheetData>
  <mergeCells count="1">
    <mergeCell ref="E5:G5"/>
  </mergeCells>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680DC62D227E241A06A23B437F65E54" ma:contentTypeVersion="2" ma:contentTypeDescription="Create a new document." ma:contentTypeScope="" ma:versionID="17061442032aa63aaa5c83ecdcabcf8e">
  <xsd:schema xmlns:xsd="http://www.w3.org/2001/XMLSchema" xmlns:xs="http://www.w3.org/2001/XMLSchema" xmlns:p="http://schemas.microsoft.com/office/2006/metadata/properties" xmlns:ns2="248278ac-8b35-4549-bcbe-7275929347ac" targetNamespace="http://schemas.microsoft.com/office/2006/metadata/properties" ma:root="true" ma:fieldsID="d0bdb4b7f9fe8f2c661e63966651a10b" ns2:_="">
    <xsd:import namespace="248278ac-8b35-4549-bcbe-7275929347ac"/>
    <xsd:element name="properties">
      <xsd:complexType>
        <xsd:sequence>
          <xsd:element name="documentManagement">
            <xsd:complexType>
              <xsd:all>
                <xsd:element ref="ns2:Order0" minOccurs="0"/>
                <xsd:element ref="ns2:Ste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8278ac-8b35-4549-bcbe-7275929347ac" elementFormDefault="qualified">
    <xsd:import namespace="http://schemas.microsoft.com/office/2006/documentManagement/types"/>
    <xsd:import namespace="http://schemas.microsoft.com/office/infopath/2007/PartnerControls"/>
    <xsd:element name="Order0" ma:index="8" nillable="true" ma:displayName="Order" ma:internalName="Order0">
      <xsd:simpleType>
        <xsd:restriction base="dms:Text">
          <xsd:maxLength value="255"/>
        </xsd:restriction>
      </xsd:simpleType>
    </xsd:element>
    <xsd:element name="Step" ma:index="9" nillable="true" ma:displayName="Step" ma:format="Dropdown" ma:internalName="Step">
      <xsd:simpleType>
        <xsd:restriction base="dms:Choice">
          <xsd:enumeration value="Step 1"/>
          <xsd:enumeration value="Step 2"/>
          <xsd:enumeration value="Step 3"/>
          <xsd:enumeration value="Step 4"/>
          <xsd:enumeration value="Step 5"/>
          <xsd:enumeration value="Step 6"/>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rder0 xmlns="248278ac-8b35-4549-bcbe-7275929347ac">1</Order0>
    <Step xmlns="248278ac-8b35-4549-bcbe-7275929347ac">Step 5</Step>
  </documentManagement>
</p:properties>
</file>

<file path=customXml/itemProps1.xml><?xml version="1.0" encoding="utf-8"?>
<ds:datastoreItem xmlns:ds="http://schemas.openxmlformats.org/officeDocument/2006/customXml" ds:itemID="{0C77076D-AD2D-4CB8-A4BB-AB25FE0C7769}"/>
</file>

<file path=customXml/itemProps2.xml><?xml version="1.0" encoding="utf-8"?>
<ds:datastoreItem xmlns:ds="http://schemas.openxmlformats.org/officeDocument/2006/customXml" ds:itemID="{FEE4326F-8ACC-4D6D-9024-805820C82BC9}"/>
</file>

<file path=customXml/itemProps3.xml><?xml version="1.0" encoding="utf-8"?>
<ds:datastoreItem xmlns:ds="http://schemas.openxmlformats.org/officeDocument/2006/customXml" ds:itemID="{D9229468-1BA0-4E6E-A88B-6D198DB2B66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38</vt:i4>
      </vt:variant>
      <vt:variant>
        <vt:lpstr>Named Ranges</vt:lpstr>
      </vt:variant>
      <vt:variant>
        <vt:i4>4</vt:i4>
      </vt:variant>
    </vt:vector>
  </HeadingPairs>
  <TitlesOfParts>
    <vt:vector size="42" baseType="lpstr">
      <vt:lpstr>Front</vt:lpstr>
      <vt:lpstr>Contents</vt:lpstr>
      <vt:lpstr>Budget Choices</vt:lpstr>
      <vt:lpstr>Budget Choices Workings</vt:lpstr>
      <vt:lpstr>Summary</vt:lpstr>
      <vt:lpstr>Catg-all</vt:lpstr>
      <vt:lpstr>Catg-Health</vt:lpstr>
      <vt:lpstr>Report tables</vt:lpstr>
      <vt:lpstr>Catg-SWelfare</vt:lpstr>
      <vt:lpstr>Catg-Agric</vt:lpstr>
      <vt:lpstr>Intervention List</vt:lpstr>
      <vt:lpstr>Policy Questions</vt:lpstr>
      <vt:lpstr>Health - Flow</vt:lpstr>
      <vt:lpstr>GenAssumptions</vt:lpstr>
      <vt:lpstr>NDOH</vt:lpstr>
      <vt:lpstr>PDOH</vt:lpstr>
      <vt:lpstr>Prev Treat</vt:lpstr>
      <vt:lpstr>Acute Prevalence</vt:lpstr>
      <vt:lpstr>Acute Treat</vt:lpstr>
      <vt:lpstr>Med-Prices</vt:lpstr>
      <vt:lpstr>DM&amp;Metros</vt:lpstr>
      <vt:lpstr>NDSD</vt:lpstr>
      <vt:lpstr>PDSD</vt:lpstr>
      <vt:lpstr>PDSD (2)</vt:lpstr>
      <vt:lpstr>SASSA</vt:lpstr>
      <vt:lpstr>SASSA (2)</vt:lpstr>
      <vt:lpstr>Agriculture</vt:lpstr>
      <vt:lpstr>H&amp;S Demand</vt:lpstr>
      <vt:lpstr>Agric Demand</vt:lpstr>
      <vt:lpstr>District</vt:lpstr>
      <vt:lpstr>Municipal</vt:lpstr>
      <vt:lpstr>IES</vt:lpstr>
      <vt:lpstr>Lists</vt:lpstr>
      <vt:lpstr>Maths Acute Treatment</vt:lpstr>
      <vt:lpstr>Census - years</vt:lpstr>
      <vt:lpstr>CBA</vt:lpstr>
      <vt:lpstr>CBA final</vt:lpstr>
      <vt:lpstr>Scenario</vt:lpstr>
      <vt:lpstr>List_YesNO</vt:lpstr>
      <vt:lpstr>Minutes_per_Year</vt:lpstr>
      <vt:lpstr>Policy_categories</vt:lpstr>
      <vt:lpstr>Provinces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2015.08.03 Nutrition PER Costing Model Final</dc:title>
  <dc:creator>CER002</dc:creator>
  <cp:lastModifiedBy>CER002</cp:lastModifiedBy>
  <cp:lastPrinted>2015-03-02T09:50:04Z</cp:lastPrinted>
  <dcterms:created xsi:type="dcterms:W3CDTF">2015-02-23T10:44:42Z</dcterms:created>
  <dcterms:modified xsi:type="dcterms:W3CDTF">2015-12-02T10:37:26Z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0x010100A680DC62D227E241A06A23B437F65E54</vt:lpwstr>
  </property>
</Properties>
</file>